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brado.vazquez\Documents\cursos\Excel intermedio\"/>
    </mc:Choice>
  </mc:AlternateContent>
  <bookViews>
    <workbookView xWindow="0" yWindow="0" windowWidth="20490" windowHeight="7650" activeTab="13"/>
  </bookViews>
  <sheets>
    <sheet name="Lista de pedidos" sheetId="1" r:id="rId1"/>
    <sheet name="Clientes" sheetId="2" r:id="rId2"/>
    <sheet name="Proveedores" sheetId="4" r:id="rId3"/>
    <sheet name="Inventario" sheetId="5" r:id="rId4"/>
    <sheet name="GraficoInventario" sheetId="12" r:id="rId5"/>
    <sheet name="Clasificación" sheetId="6" r:id="rId6"/>
    <sheet name="Grafico clasificación" sheetId="13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T. Dinamicas Top Empresas Méxic" sheetId="14" state="hidden" r:id="rId13"/>
    <sheet name="Dashboard Top 10" sheetId="15" r:id="rId14"/>
  </sheets>
  <externalReferences>
    <externalReference r:id="rId15"/>
  </externalReferences>
  <definedNames>
    <definedName name="_xlnm._FilterDatabase" localSheetId="8" hidden="1">RécordClientes!$E$6:$J$33</definedName>
    <definedName name="_xlnm._FilterDatabase" localSheetId="9" hidden="1">RécordFacturas!$B$12:$B$66</definedName>
    <definedName name="_xlnm.Extract">#REF!</definedName>
    <definedName name="_xlnm.Print_Area" localSheetId="11">'Top Empresas México'!$B$4:$V$24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0" r:id="rId16"/>
    <pivotCache cacheId="1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U25" i="11" l="1"/>
  <c r="G25" i="11"/>
  <c r="F25" i="11"/>
  <c r="E25" i="11"/>
  <c r="L24" i="11"/>
  <c r="K24" i="11"/>
  <c r="J24" i="11"/>
  <c r="I24" i="11"/>
  <c r="L23" i="11"/>
  <c r="K23" i="11"/>
  <c r="J23" i="11"/>
  <c r="I23" i="11"/>
  <c r="L22" i="11"/>
  <c r="K22" i="11"/>
  <c r="J22" i="11"/>
  <c r="I22" i="11"/>
  <c r="L21" i="11"/>
  <c r="K21" i="11"/>
  <c r="J21" i="11"/>
  <c r="I21" i="11"/>
  <c r="L20" i="11"/>
  <c r="K20" i="11"/>
  <c r="J20" i="11"/>
  <c r="I20" i="11"/>
  <c r="L19" i="11"/>
  <c r="K19" i="11"/>
  <c r="J19" i="11"/>
  <c r="I19" i="11"/>
  <c r="L18" i="11"/>
  <c r="K18" i="11"/>
  <c r="J18" i="11"/>
  <c r="I18" i="11"/>
  <c r="L17" i="11"/>
  <c r="K17" i="11"/>
  <c r="J17" i="11"/>
  <c r="I17" i="11"/>
  <c r="L16" i="11"/>
  <c r="K16" i="11"/>
  <c r="J16" i="11"/>
  <c r="I16" i="11"/>
  <c r="L15" i="11"/>
  <c r="K15" i="11"/>
  <c r="J15" i="11"/>
  <c r="I15" i="11"/>
  <c r="L14" i="11"/>
  <c r="K14" i="11"/>
  <c r="J14" i="11"/>
  <c r="I14" i="11"/>
  <c r="L13" i="11"/>
  <c r="K13" i="11"/>
  <c r="J13" i="11"/>
  <c r="I13" i="11"/>
  <c r="L12" i="11"/>
  <c r="K12" i="11"/>
  <c r="J12" i="11"/>
  <c r="I12" i="11"/>
  <c r="L11" i="11"/>
  <c r="K11" i="11"/>
  <c r="J11" i="11"/>
  <c r="I11" i="11"/>
  <c r="L10" i="11"/>
  <c r="K10" i="11"/>
  <c r="J10" i="11"/>
  <c r="I10" i="11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H29" i="7"/>
  <c r="E29" i="7"/>
  <c r="H28" i="7"/>
  <c r="E28" i="7"/>
  <c r="H37" i="6"/>
  <c r="G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K40" i="5"/>
  <c r="I40" i="5"/>
  <c r="H40" i="5"/>
  <c r="F40" i="5"/>
  <c r="E15" i="4"/>
  <c r="B15" i="4"/>
  <c r="D42" i="2"/>
  <c r="J37" i="2"/>
  <c r="J36" i="2"/>
  <c r="I36" i="2"/>
  <c r="H36" i="2"/>
  <c r="G36" i="2"/>
  <c r="F36" i="2"/>
  <c r="E36" i="2"/>
  <c r="D36" i="2"/>
  <c r="C36" i="2"/>
  <c r="B36" i="2"/>
  <c r="A36" i="2"/>
  <c r="J55" i="1"/>
  <c r="H55" i="1"/>
  <c r="M17" i="1"/>
</calcChain>
</file>

<file path=xl/sharedStrings.xml><?xml version="1.0" encoding="utf-8"?>
<sst xmlns="http://schemas.openxmlformats.org/spreadsheetml/2006/main" count="1121" uniqueCount="462">
  <si>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</si>
  <si>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</si>
  <si>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</si>
  <si>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</si>
  <si>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</si>
  <si>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</si>
  <si>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</si>
  <si>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</si>
  <si>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</si>
  <si>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</si>
  <si>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</si>
  <si>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</si>
  <si>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</si>
  <si>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</si>
  <si>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</si>
  <si>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</si>
  <si>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</si>
  <si>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</si>
  <si>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</si>
  <si>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</si>
  <si>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</si>
  <si>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</si>
  <si>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</si>
  <si>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</si>
  <si>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</si>
  <si>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</si>
  <si>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</si>
  <si>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</si>
  <si>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</si>
  <si>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</si>
  <si>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</si>
  <si>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</si>
  <si>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</si>
  <si>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</si>
  <si>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</si>
  <si>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</si>
  <si>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</si>
  <si>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</si>
  <si>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</si>
  <si>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</si>
  <si>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</si>
  <si>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</si>
  <si>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</si>
  <si>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</si>
  <si>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</si>
  <si>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</si>
  <si>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</si>
  <si>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</si>
  <si>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</si>
  <si>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</si>
  <si>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</si>
  <si>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</si>
  <si>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</si>
  <si>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</si>
  <si>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</si>
  <si>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</si>
  <si>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</si>
  <si>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</si>
  <si>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</si>
  <si>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</si>
  <si>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</si>
  <si>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</si>
  <si>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</si>
  <si>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</si>
  <si>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</si>
  <si>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</si>
  <si>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</si>
  <si>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</si>
  <si>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</si>
  <si>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</si>
  <si>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</si>
  <si>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</si>
  <si>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</si>
  <si>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</si>
  <si>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</si>
  <si>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</si>
  <si>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</si>
  <si>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</si>
  <si>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</si>
  <si>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</si>
  <si>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</si>
  <si>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</si>
  <si>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</si>
  <si>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</si>
  <si>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</si>
  <si>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</si>
  <si>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</si>
  <si>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</si>
  <si>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</si>
  <si>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</si>
  <si>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</si>
  <si>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</si>
  <si>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</si>
  <si>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</si>
  <si>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</si>
  <si>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</si>
  <si>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</si>
  <si>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</si>
  <si>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</si>
  <si>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</si>
  <si>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</si>
  <si>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</si>
  <si>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</si>
  <si>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</si>
  <si>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</si>
  <si>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</si>
  <si>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</si>
  <si>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</si>
  <si>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</si>
  <si>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</si>
  <si>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</si>
  <si>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</si>
  <si>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</si>
  <si>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</si>
  <si>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</si>
  <si>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</si>
  <si>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</si>
  <si>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</si>
  <si>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</si>
  <si>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</si>
  <si>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</si>
  <si>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</si>
  <si>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</si>
  <si>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</si>
  <si>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</si>
  <si>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</si>
  <si>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</si>
  <si>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</si>
  <si>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</si>
  <si>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</si>
  <si>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</si>
  <si>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</si>
  <si>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</si>
  <si>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</si>
  <si>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</si>
  <si>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</si>
  <si>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</si>
  <si>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</si>
  <si>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</si>
  <si>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</si>
  <si>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</si>
  <si>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</si>
  <si>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</si>
  <si>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</si>
  <si>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</si>
  <si>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</si>
  <si>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</si>
  <si>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</si>
  <si>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</si>
  <si>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</si>
  <si>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</si>
  <si>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</si>
  <si>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</si>
  <si>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</si>
  <si>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</si>
  <si>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</si>
  <si>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</si>
  <si>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</si>
  <si>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</si>
  <si>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</si>
  <si>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</si>
  <si>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</si>
  <si>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</si>
  <si>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</si>
  <si>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</si>
  <si>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</si>
  <si>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</si>
  <si>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</si>
  <si>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</si>
  <si>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</si>
  <si>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</si>
  <si>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</si>
  <si>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</si>
  <si>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</si>
  <si>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</si>
  <si>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</si>
  <si>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</si>
  <si>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</si>
  <si>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</si>
  <si>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</si>
  <si>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</si>
  <si>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</si>
  <si>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</si>
  <si>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</si>
  <si>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</si>
  <si>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</si>
  <si>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</si>
  <si>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</si>
  <si>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</si>
  <si>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</si>
  <si>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</si>
  <si>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</si>
  <si>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</si>
  <si>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</si>
  <si>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</si>
  <si>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</si>
  <si>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</si>
  <si>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</si>
  <si>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</si>
  <si>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</si>
  <si>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</si>
  <si>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</si>
  <si>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</si>
  <si>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</si>
  <si>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</si>
  <si>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</si>
  <si>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</si>
  <si>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</si>
  <si>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</si>
  <si>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</si>
  <si>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</si>
  <si>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</si>
  <si>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</si>
  <si>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</si>
  <si>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</si>
  <si>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</si>
  <si>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</si>
  <si>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</si>
  <si>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</si>
  <si>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</si>
  <si>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</si>
  <si>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</si>
  <si>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</si>
  <si>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</si>
  <si>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</si>
  <si>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</si>
  <si>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</si>
  <si>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</si>
  <si>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</si>
  <si>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</si>
  <si>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</si>
  <si>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</si>
  <si>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</si>
  <si>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</si>
  <si>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</si>
  <si>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</si>
  <si>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</si>
  <si>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</si>
  <si>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</si>
  <si>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</si>
  <si>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</si>
  <si>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</si>
  <si>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</si>
  <si>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</si>
  <si>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</si>
  <si>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</si>
  <si>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</si>
  <si>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</si>
  <si>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</si>
  <si>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</si>
  <si>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</si>
  <si>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</si>
  <si>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</si>
  <si>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</si>
  <si>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</si>
  <si>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</si>
  <si>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</si>
  <si>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</si>
  <si>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</si>
  <si>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</si>
  <si>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</si>
  <si>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</si>
  <si>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</si>
  <si>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</si>
  <si>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</si>
  <si>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</si>
  <si>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</si>
  <si>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</si>
  <si>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</si>
  <si>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</si>
  <si>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</si>
  <si>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</si>
  <si>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</si>
  <si>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</si>
  <si>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</si>
  <si>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</si>
  <si>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</si>
  <si>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</si>
  <si>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</si>
  <si>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</si>
  <si>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</si>
  <si>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</si>
  <si>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</si>
  <si>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</si>
  <si>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</si>
  <si>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</si>
  <si>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</si>
  <si>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</si>
  <si>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</si>
  <si>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</si>
  <si>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</si>
  <si>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</si>
  <si>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</si>
  <si>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</si>
  <si>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</si>
  <si>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</si>
  <si>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</si>
  <si>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</si>
  <si>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</si>
  <si>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</si>
  <si>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</si>
  <si>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</si>
  <si>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</si>
  <si>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</si>
  <si>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</si>
  <si>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</si>
  <si>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</si>
  <si>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</si>
  <si>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</si>
  <si>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</si>
  <si>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</si>
  <si>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</si>
  <si>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</si>
  <si>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</si>
  <si>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</si>
  <si>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</si>
  <si>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</si>
  <si>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</si>
  <si>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</si>
  <si>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</si>
  <si>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</si>
  <si>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</si>
  <si>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</si>
  <si>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</si>
  <si>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</si>
  <si>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</si>
  <si>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</si>
  <si>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</si>
  <si>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</si>
  <si>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</si>
  <si>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</si>
  <si>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</si>
  <si>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</si>
  <si>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</si>
  <si>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</si>
  <si>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</si>
  <si>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</si>
  <si>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</si>
  <si>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</si>
  <si>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</si>
  <si>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</si>
  <si>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</si>
  <si>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</si>
  <si>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</si>
  <si>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</si>
  <si>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</si>
  <si>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</si>
  <si>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</si>
  <si>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</si>
  <si>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</si>
  <si>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</si>
  <si>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</si>
  <si>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</si>
  <si>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</si>
  <si>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</si>
  <si>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</si>
  <si>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</si>
  <si>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</si>
  <si>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</si>
  <si>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</si>
  <si>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</si>
  <si>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</si>
  <si>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</si>
  <si>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</si>
  <si>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</si>
  <si>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</si>
  <si>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</si>
  <si>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</si>
  <si>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</si>
  <si>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</si>
  <si>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</si>
  <si>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</si>
  <si>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</si>
  <si>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</si>
  <si>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</si>
  <si>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</si>
  <si>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</si>
  <si>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</si>
  <si>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</si>
  <si>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</si>
  <si>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</si>
  <si>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</si>
  <si>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</si>
  <si>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</si>
  <si>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</si>
  <si>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</si>
  <si>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</si>
  <si>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</si>
  <si>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</si>
  <si>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</si>
  <si>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</si>
  <si>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</si>
  <si>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</si>
  <si>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</si>
  <si>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</si>
  <si>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</si>
  <si>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</si>
  <si>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</si>
  <si>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</si>
  <si>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</si>
  <si>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</si>
  <si>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</si>
  <si>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</si>
  <si>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</si>
  <si>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</si>
  <si>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</si>
  <si>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</si>
  <si>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</si>
  <si>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</si>
  <si>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</si>
  <si>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</si>
  <si>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</si>
  <si>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</si>
  <si>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</si>
  <si>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</si>
  <si>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</si>
  <si>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</si>
  <si>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</si>
  <si>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</si>
  <si>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</si>
  <si>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</si>
  <si>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</si>
  <si>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</si>
  <si>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</si>
  <si>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</si>
  <si>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</si>
  <si>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</si>
  <si>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</si>
  <si>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</si>
  <si>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</si>
  <si>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</si>
  <si>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</si>
  <si>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</si>
  <si>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</si>
  <si>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</si>
  <si>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</si>
  <si>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</si>
  <si>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</si>
  <si>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</si>
  <si>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</si>
  <si>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Total de registros</t>
  </si>
  <si>
    <t>Porcentaje de venta</t>
  </si>
  <si>
    <t>Etiquetas de fila</t>
  </si>
  <si>
    <t>Total general</t>
  </si>
  <si>
    <t>Suma de Porcentaje de venta</t>
  </si>
  <si>
    <t>30 Días</t>
  </si>
  <si>
    <t>90 Días</t>
  </si>
  <si>
    <t>120 Días</t>
  </si>
  <si>
    <t>Fecha de vencimiento2</t>
  </si>
  <si>
    <t>Fecha de vencimiento3</t>
  </si>
  <si>
    <t>Promedio valor mercado (mdd) 2014-16</t>
  </si>
  <si>
    <t>% Valor mercado 2014 (mdd)</t>
  </si>
  <si>
    <t>Suma de Promedio valor mercado (mdd) 2014-16</t>
  </si>
  <si>
    <t>Liverpool</t>
  </si>
  <si>
    <t>(Todas)</t>
  </si>
  <si>
    <t>% Valor mercado 2015 (mdd)2</t>
  </si>
  <si>
    <t>% Valor mercado 2016 (mdd)2</t>
  </si>
  <si>
    <t>VM 2014 (mdd)</t>
  </si>
  <si>
    <t>VM 2015 (mdd)</t>
  </si>
  <si>
    <t>VM 2016 (mdd)</t>
  </si>
  <si>
    <t>Valores</t>
  </si>
  <si>
    <t>VM 2015 (mdd)2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</si>
</sst>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0.0%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0"/>
      <color indexed="63"/>
      <name val="Calibri"/>
    </font>
    <font>
      <strike/>
      <outline/>
      <shadow/>
      <sz val="1"/>
      <color indexed="63"/>
      <name val="Calibri"/>
    </font>
    <font>
      <b/>
      <sz val="11"/>
      <color indexed="63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7" xfId="9" applyFill="1" applyBorder="1"/>
    <xf numFmtId="14" fontId="11" fillId="10" borderId="7" xfId="9" applyNumberFormat="1" applyFill="1" applyBorder="1"/>
    <xf numFmtId="165" fontId="11" fillId="10" borderId="7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8" xfId="9" applyFont="1" applyFill="1" applyBorder="1"/>
    <xf numFmtId="0" fontId="12" fillId="11" borderId="9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8" xfId="9" applyFill="1" applyBorder="1"/>
    <xf numFmtId="0" fontId="11" fillId="12" borderId="9" xfId="9" applyFill="1" applyBorder="1"/>
    <xf numFmtId="0" fontId="11" fillId="0" borderId="10" xfId="9" applyBorder="1"/>
    <xf numFmtId="0" fontId="11" fillId="0" borderId="11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0" fontId="16" fillId="13" borderId="12" xfId="10" applyFont="1" applyFill="1" applyBorder="1" applyAlignment="1">
      <alignment horizontal="center" vertical="center" wrapText="1"/>
    </xf>
    <xf numFmtId="0" fontId="16" fillId="13" borderId="13" xfId="10" applyFont="1" applyFill="1" applyBorder="1" applyAlignment="1">
      <alignment horizontal="center" vertical="center" wrapText="1"/>
    </xf>
    <xf numFmtId="14" fontId="17" fillId="14" borderId="14" xfId="11" applyNumberFormat="1" applyFont="1" applyFill="1" applyBorder="1" applyAlignment="1">
      <alignment horizontal="center" vertical="center" wrapText="1"/>
    </xf>
    <xf numFmtId="0" fontId="17" fillId="14" borderId="14" xfId="10" applyFont="1" applyFill="1" applyBorder="1" applyAlignment="1">
      <alignment horizontal="center" vertical="center"/>
    </xf>
    <xf numFmtId="164" fontId="17" fillId="14" borderId="14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5" xfId="10" applyFont="1" applyFill="1" applyBorder="1" applyAlignment="1">
      <alignment horizontal="center"/>
    </xf>
    <xf numFmtId="0" fontId="19" fillId="15" borderId="16" xfId="10" applyFont="1" applyFill="1" applyBorder="1" applyAlignment="1">
      <alignment horizontal="center"/>
    </xf>
    <xf numFmtId="14" fontId="19" fillId="15" borderId="16" xfId="10" applyNumberFormat="1" applyFont="1" applyFill="1" applyBorder="1" applyAlignment="1">
      <alignment horizontal="center"/>
    </xf>
    <xf numFmtId="0" fontId="19" fillId="15" borderId="16" xfId="10" applyFont="1" applyFill="1" applyBorder="1" applyAlignment="1">
      <alignment horizontal="left"/>
    </xf>
    <xf numFmtId="164" fontId="19" fillId="15" borderId="16" xfId="11" applyFont="1" applyFill="1" applyBorder="1"/>
    <xf numFmtId="0" fontId="19" fillId="16" borderId="17" xfId="10" applyFont="1" applyFill="1" applyBorder="1" applyAlignment="1">
      <alignment horizontal="center"/>
    </xf>
    <xf numFmtId="0" fontId="19" fillId="16" borderId="18" xfId="10" applyFont="1" applyFill="1" applyBorder="1" applyAlignment="1">
      <alignment horizontal="center"/>
    </xf>
    <xf numFmtId="14" fontId="19" fillId="16" borderId="18" xfId="10" applyNumberFormat="1" applyFont="1" applyFill="1" applyBorder="1" applyAlignment="1">
      <alignment horizontal="center"/>
    </xf>
    <xf numFmtId="0" fontId="19" fillId="16" borderId="18" xfId="10" applyFont="1" applyFill="1" applyBorder="1" applyAlignment="1">
      <alignment horizontal="left"/>
    </xf>
    <xf numFmtId="164" fontId="19" fillId="16" borderId="18" xfId="11" applyFont="1" applyFill="1" applyBorder="1"/>
    <xf numFmtId="0" fontId="19" fillId="15" borderId="17" xfId="10" applyFont="1" applyFill="1" applyBorder="1" applyAlignment="1">
      <alignment horizontal="center"/>
    </xf>
    <xf numFmtId="0" fontId="19" fillId="15" borderId="18" xfId="10" applyFont="1" applyFill="1" applyBorder="1" applyAlignment="1">
      <alignment horizontal="center"/>
    </xf>
    <xf numFmtId="14" fontId="19" fillId="15" borderId="18" xfId="10" applyNumberFormat="1" applyFont="1" applyFill="1" applyBorder="1" applyAlignment="1">
      <alignment horizontal="center"/>
    </xf>
    <xf numFmtId="0" fontId="19" fillId="15" borderId="18" xfId="10" applyFont="1" applyFill="1" applyBorder="1" applyAlignment="1">
      <alignment horizontal="left"/>
    </xf>
    <xf numFmtId="164" fontId="19" fillId="15" borderId="18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9" xfId="10" applyBorder="1" applyAlignment="1">
      <alignment horizontal="center"/>
    </xf>
    <xf numFmtId="0" fontId="8" fillId="0" borderId="0" xfId="0" applyFont="1" applyAlignment="1"/>
    <xf numFmtId="14" fontId="19" fillId="0" borderId="19" xfId="10" applyNumberFormat="1" applyFont="1" applyBorder="1" applyAlignment="1">
      <alignment horizontal="right"/>
    </xf>
    <xf numFmtId="14" fontId="20" fillId="0" borderId="19" xfId="10" applyNumberFormat="1" applyFont="1" applyBorder="1" applyAlignment="1">
      <alignment horizontal="right" wrapText="1"/>
    </xf>
    <xf numFmtId="164" fontId="19" fillId="0" borderId="19" xfId="11" applyFont="1" applyFill="1" applyBorder="1" applyProtection="1"/>
    <xf numFmtId="164" fontId="19" fillId="0" borderId="19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1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2" xfId="12" applyFont="1" applyBorder="1">
      <alignment vertical="center"/>
    </xf>
    <xf numFmtId="0" fontId="30" fillId="0" borderId="17" xfId="12" applyFont="1" applyBorder="1">
      <alignment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29" fillId="8" borderId="26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0" fillId="0" borderId="0" xfId="0" applyFont="1" applyBorder="1"/>
    <xf numFmtId="0" fontId="3" fillId="0" borderId="0" xfId="0" applyNumberFormat="1" applyFont="1" applyBorder="1"/>
    <xf numFmtId="164" fontId="0" fillId="0" borderId="0" xfId="0" applyNumberFormat="1" applyFont="1" applyBorder="1"/>
    <xf numFmtId="44" fontId="0" fillId="0" borderId="0" xfId="0" applyNumberFormat="1"/>
    <xf numFmtId="42" fontId="0" fillId="0" borderId="0" xfId="0" applyNumberFormat="1"/>
    <xf numFmtId="0" fontId="0" fillId="0" borderId="0" xfId="6" applyFont="1"/>
    <xf numFmtId="0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9" applyNumberFormat="1"/>
    <xf numFmtId="169" fontId="11" fillId="0" borderId="0" xfId="9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9" fontId="11" fillId="0" borderId="0" xfId="0" applyNumberFormat="1" applyFont="1" applyFill="1" applyBorder="1" applyAlignment="1" applyProtection="1"/>
    <xf numFmtId="14" fontId="19" fillId="15" borderId="20" xfId="10" applyNumberFormat="1" applyFont="1" applyFill="1" applyBorder="1" applyAlignment="1">
      <alignment horizontal="left"/>
    </xf>
    <xf numFmtId="14" fontId="17" fillId="14" borderId="19" xfId="10" applyNumberFormat="1" applyFont="1" applyFill="1" applyBorder="1" applyAlignment="1">
      <alignment horizontal="center" vertical="center"/>
    </xf>
    <xf numFmtId="14" fontId="19" fillId="16" borderId="5" xfId="10" applyNumberFormat="1" applyFont="1" applyFill="1" applyBorder="1" applyAlignment="1">
      <alignment horizontal="left"/>
    </xf>
    <xf numFmtId="14" fontId="19" fillId="15" borderId="5" xfId="10" applyNumberFormat="1" applyFont="1" applyFill="1" applyBorder="1" applyAlignment="1">
      <alignment horizontal="left"/>
    </xf>
    <xf numFmtId="14" fontId="15" fillId="0" borderId="0" xfId="10" applyNumberFormat="1" applyFont="1" applyAlignment="1">
      <alignment horizontal="center" wrapText="1"/>
    </xf>
    <xf numFmtId="14" fontId="17" fillId="14" borderId="12" xfId="10" applyNumberFormat="1" applyFont="1" applyFill="1" applyBorder="1" applyAlignment="1">
      <alignment horizontal="center" vertical="center"/>
    </xf>
    <xf numFmtId="0" fontId="14" fillId="0" borderId="27" xfId="10" applyBorder="1" applyAlignment="1">
      <alignment horizontal="center"/>
    </xf>
    <xf numFmtId="0" fontId="20" fillId="0" borderId="12" xfId="10" applyFont="1" applyBorder="1" applyAlignment="1">
      <alignment horizont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0" fontId="21" fillId="17" borderId="29" xfId="7" applyFont="1" applyFill="1" applyBorder="1" applyAlignment="1" applyProtection="1">
      <alignment horizontal="center" vertical="center" wrapText="1"/>
    </xf>
    <xf numFmtId="14" fontId="21" fillId="17" borderId="29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164" fontId="21" fillId="17" borderId="29" xfId="7" applyNumberFormat="1" applyFont="1" applyFill="1" applyBorder="1" applyAlignment="1" applyProtection="1">
      <alignment horizontal="center" vertical="center"/>
    </xf>
    <xf numFmtId="164" fontId="21" fillId="17" borderId="29" xfId="7" applyNumberFormat="1" applyFont="1" applyFill="1" applyBorder="1" applyAlignment="1" applyProtection="1">
      <alignment horizontal="center" vertical="center" wrapText="1"/>
    </xf>
    <xf numFmtId="0" fontId="21" fillId="17" borderId="30" xfId="7" applyNumberFormat="1" applyFont="1" applyFill="1" applyBorder="1" applyAlignment="1" applyProtection="1">
      <alignment horizontal="center" vertical="center" wrapText="1"/>
    </xf>
    <xf numFmtId="0" fontId="14" fillId="0" borderId="31" xfId="10" applyBorder="1" applyAlignment="1">
      <alignment horizontal="center"/>
    </xf>
    <xf numFmtId="0" fontId="14" fillId="0" borderId="32" xfId="10" applyBorder="1" applyAlignment="1">
      <alignment horizontal="center"/>
    </xf>
    <xf numFmtId="14" fontId="19" fillId="0" borderId="32" xfId="10" applyNumberFormat="1" applyFont="1" applyBorder="1" applyAlignment="1">
      <alignment horizontal="right"/>
    </xf>
    <xf numFmtId="14" fontId="20" fillId="0" borderId="32" xfId="10" applyNumberFormat="1" applyFont="1" applyBorder="1" applyAlignment="1">
      <alignment horizontal="right" wrapText="1"/>
    </xf>
    <xf numFmtId="164" fontId="19" fillId="0" borderId="32" xfId="11" applyFont="1" applyFill="1" applyBorder="1" applyProtection="1"/>
    <xf numFmtId="164" fontId="19" fillId="0" borderId="32" xfId="11" applyFont="1" applyFill="1" applyBorder="1" applyAlignment="1" applyProtection="1">
      <alignment horizontal="left"/>
    </xf>
    <xf numFmtId="0" fontId="29" fillId="8" borderId="0" xfId="12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67" fontId="34" fillId="0" borderId="0" xfId="0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9" fontId="31" fillId="0" borderId="0" xfId="16" applyFont="1" applyAlignment="1">
      <alignment horizontal="center" vertical="center"/>
    </xf>
    <xf numFmtId="10" fontId="31" fillId="0" borderId="0" xfId="16" applyNumberFormat="1" applyFont="1" applyAlignment="1">
      <alignment horizontal="center" vertical="center"/>
    </xf>
    <xf numFmtId="10" fontId="31" fillId="0" borderId="0" xfId="12" applyNumberFormat="1" applyFont="1" applyAlignment="1">
      <alignment horizontal="center" vertical="center"/>
    </xf>
    <xf numFmtId="167" fontId="3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0" applyNumberFormat="1" applyAlignment="1">
      <alignment horizontal="left" wrapText="1"/>
    </xf>
    <xf numFmtId="9" fontId="0" fillId="0" borderId="0" xfId="0" applyNumberFormat="1"/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44" fontId="3" fillId="0" borderId="1" xfId="6" applyNumberFormat="1" applyBorder="1" applyAlignment="1">
      <alignment horizontal="center"/>
    </xf>
    <xf numFmtId="44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6" xfId="8" applyFont="1" applyFill="1" applyBorder="1" applyAlignment="1">
      <alignment horizontal="center" vertical="center"/>
    </xf>
    <xf numFmtId="0" fontId="24" fillId="0" borderId="0" xfId="13" applyFont="1" applyFill="1" applyAlignment="1">
      <alignment horizontal="center" vertical="center"/>
    </xf>
  </cellXfs>
  <cellStyles count="17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Porcentaje" xfId="16" builtinId="5"/>
    <cellStyle name="Título 2 2" xfId="14"/>
  </cellStyles>
  <dxfs count="245"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alignment wrapText="1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34" formatCode="_-&quot;$&quot;* #,##0.00_-;\-&quot;$&quot;* #,##0.00_-;_-&quot;$&quot;* &quot;-&quot;??_-;_-@_-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sz val="10"/>
        <color indexed="63"/>
      </font>
      <numFmt numFmtId="14" formatCode="0.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numFmt numFmtId="165" formatCode="[$$-80A]#,##0.00"/>
    </dxf>
    <dxf>
      <numFmt numFmtId="165" formatCode="[$$-80A]#,##0.00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0.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041922"/>
      <color rgb="FF000066"/>
      <color rgb="FF073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1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u="sng">
                <a:solidFill>
                  <a:srgbClr val="FFC000"/>
                </a:solidFill>
              </a:defRPr>
            </a:pPr>
            <a:r>
              <a:rPr lang="es-MX" sz="2000" u="sng">
                <a:solidFill>
                  <a:srgbClr val="FFC000"/>
                </a:solidFill>
              </a:rPr>
              <a:t>INVENTARIO</a:t>
            </a:r>
            <a:r>
              <a:rPr lang="es-MX" sz="2000" u="sng" baseline="0">
                <a:solidFill>
                  <a:srgbClr val="FFC000"/>
                </a:solidFill>
              </a:rPr>
              <a:t> POR ESTADO</a:t>
            </a:r>
            <a:endParaRPr lang="es-MX" sz="2000" u="sng">
              <a:solidFill>
                <a:srgbClr val="FFC000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588340677598791E-2"/>
          <c:y val="6.2784810126582283E-2"/>
          <c:w val="0.95792542079029119"/>
          <c:h val="0.84986664008771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42A-995B-773735DC78B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A-442A-995B-773735DC78B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A-442A-995B-773735DC78B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A-442A-995B-773735DC78B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A-442A-995B-773735DC78B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A-442A-995B-773735DC78B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A-442A-995B-773735DC78B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9357798165137615E-3"/>
                  <c:y val="2.541851888767068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A-442A-995B-773735DC78B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A-442A-995B-773735DC78B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A-442A-995B-773735DC78B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EA-442A-995B-773735DC78B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6.5924848001594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EA-442A-995B-773735DC78B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764401642597454E-16"/>
                  <c:y val="8.76051430280076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A-442A-995B-773735DC78B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67190670786404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EA-442A-995B-773735DC78B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4678899082568807E-3"/>
                  <c:y val="6.592484800159473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EA-442A-995B-773735DC78B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EA-442A-995B-773735DC78B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678899082568807E-3"/>
                  <c:y val="1.87443835343366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EA-442A-995B-773735DC78B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2.0769699990032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EA-442A-995B-773735DC78B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764401642597454E-16"/>
                  <c:y val="1.4693750622944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EA-442A-995B-773735DC78B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EA-442A-995B-773735DC78B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EA-442A-995B-773735DC78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crossAx val="326769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FFFF00"/>
                </a:solidFill>
              </a:rPr>
              <a:t>VALOR</a:t>
            </a:r>
            <a:r>
              <a:rPr lang="es-MX" baseline="0">
                <a:solidFill>
                  <a:srgbClr val="FFFF00"/>
                </a:solidFill>
              </a:rPr>
              <a:t> DEL MERCADO POR EMPRESA</a:t>
            </a:r>
            <a:endParaRPr lang="es-MX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'T. Dinamicas Top Empresas Méxic'!$B$22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4B3-42D6-9073-643F994A128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4B3-42D6-9073-643F994A128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4B3-42D6-9073-643F994A12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Méxic'!$A$23:$A$25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Méxic'!$B$23:$B$25</c:f>
              <c:numCache>
                <c:formatCode>_("$"* #,##0.00_);_("$"* \(#,##0.00\);_("$"* "-"??_);_(@_)</c:formatCode>
                <c:ptCount val="3"/>
                <c:pt idx="0">
                  <c:v>190670</c:v>
                </c:pt>
                <c:pt idx="1">
                  <c:v>226714</c:v>
                </c:pt>
                <c:pt idx="2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3-42D6-9073-643F994A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399007"/>
        <c:axId val="1811389439"/>
      </c:barChart>
      <c:catAx>
        <c:axId val="18113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89439"/>
        <c:crosses val="autoZero"/>
        <c:auto val="1"/>
        <c:lblAlgn val="ctr"/>
        <c:lblOffset val="100"/>
        <c:noMultiLvlLbl val="0"/>
      </c:catAx>
      <c:valAx>
        <c:axId val="1811389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113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041922"/>
        </a:gs>
        <a:gs pos="0">
          <a:schemeClr val="bg1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FFFF00"/>
                </a:solidFill>
              </a:rPr>
              <a:t>VM</a:t>
            </a:r>
            <a:r>
              <a:rPr lang="es-MX" baseline="0">
                <a:solidFill>
                  <a:srgbClr val="FFFF00"/>
                </a:solidFill>
              </a:rPr>
              <a:t> EN MDD POR RAMO</a:t>
            </a:r>
            <a:endParaRPr lang="es-MX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'T. Dinamicas Top Empresas Méxic'!$B$58</c:f>
              <c:strCache>
                <c:ptCount val="1"/>
                <c:pt idx="0">
                  <c:v>VM 2014 (mdd)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'T. Dinamicas Top Empresas Méxic'!$A$59:$A$71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Méxic'!$B$59:$B$71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4DA9-8D2D-18B86D294C02}"/>
            </c:ext>
          </c:extLst>
        </c:ser>
        <c:ser>
          <c:idx val="1"/>
          <c:order val="1"/>
          <c:tx>
            <c:strRef>
              <c:f>'T. Dinamicas Top Empresas Méxic'!$C$58</c:f>
              <c:strCache>
                <c:ptCount val="1"/>
                <c:pt idx="0">
                  <c:v>VM 2015 (mdd)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'T. Dinamicas Top Empresas Méxic'!$A$59:$A$71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Méxic'!$C$59:$C$71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0-4DA9-8D2D-18B86D294C02}"/>
            </c:ext>
          </c:extLst>
        </c:ser>
        <c:ser>
          <c:idx val="2"/>
          <c:order val="2"/>
          <c:tx>
            <c:strRef>
              <c:f>'T. Dinamicas Top Empresas Méxic'!$D$58</c:f>
              <c:strCache>
                <c:ptCount val="1"/>
                <c:pt idx="0">
                  <c:v>VM 2016 (mdd)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'T. Dinamicas Top Empresas Méxic'!$A$59:$A$71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Méxic'!$D$59:$D$71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0-4DA9-8D2D-18B86D294C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7493040"/>
        <c:axId val="897493456"/>
      </c:lineChart>
      <c:catAx>
        <c:axId val="897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456"/>
        <c:crosses val="autoZero"/>
        <c:auto val="1"/>
        <c:lblAlgn val="ctr"/>
        <c:lblOffset val="100"/>
        <c:noMultiLvlLbl val="0"/>
      </c:catAx>
      <c:valAx>
        <c:axId val="897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47000">
          <a:srgbClr val="041922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PROMEDIO</a:t>
            </a:r>
            <a:r>
              <a:rPr lang="en-US" baseline="0">
                <a:solidFill>
                  <a:srgbClr val="FFFF00"/>
                </a:solidFill>
              </a:rPr>
              <a:t> VM</a:t>
            </a:r>
            <a:r>
              <a:rPr lang="en-US">
                <a:solidFill>
                  <a:srgbClr val="FFFF00"/>
                </a:solidFill>
              </a:rPr>
              <a:t> 2014-16</a:t>
            </a:r>
          </a:p>
        </c:rich>
      </c:tx>
      <c:layout>
        <c:manualLayout>
          <c:xMode val="edge"/>
          <c:yMode val="edge"/>
          <c:x val="0.2979451541160094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2705240612046773"/>
              <c:y val="-2.4832312627588219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053495025450585"/>
              <c:y val="-0.215896398366870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2401436121854631"/>
              <c:y val="-0.1687671332750072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6.6071056186469843E-2"/>
              <c:y val="-0.1785983522892970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9.6040803118788182E-2"/>
              <c:y val="-0.1229261446485856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9.380834245034439E-2"/>
              <c:y val="-0.1205099883347914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9.363370674556086E-2"/>
              <c:y val="-0.1023337707786527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5.4139739381892329E-2"/>
              <c:y val="5.7075678040244974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9705636110554674E-2"/>
              <c:y val="3.0194663167104111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5.8520219219172949E-2"/>
              <c:y val="2.218066491688539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9.7509592122902444E-2"/>
              <c:y val="2.6116579177602756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9166782234412528E-2"/>
              <c:y val="2.4309930008748905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277942996851422"/>
              <c:y val="0.1090620443277923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LblPos val="outEnd"/>
          <c:showLegendKey val="1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7.1921494887765891E-2"/>
              <c:y val="-0.1213764946048410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4.4736945195283498E-2"/>
              <c:y val="-0.11804498396033829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</c:pivotFmt>
      <c:pivotFmt>
        <c:idx val="40"/>
        <c:dLbl>
          <c:idx val="0"/>
          <c:layout>
            <c:manualLayout>
              <c:x val="-3.7779605907470705E-3"/>
              <c:y val="-4.891258384368620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6.6820386257687936E-2"/>
              <c:y val="9.448454359871662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7.3771300975437768E-3"/>
              <c:y val="-1.380577427821520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2.2108355858502775E-2"/>
              <c:y val="2.3986585010206635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5.3730873193089668E-2"/>
              <c:y val="-8.674103237095362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  <c:dLbl>
          <c:idx val="0"/>
          <c:layout>
            <c:manualLayout>
              <c:x val="1.1796372468366827E-2"/>
              <c:y val="-0.1170341207349081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51733458690793"/>
                  <c:h val="0.11560185185185186"/>
                </c:manualLayout>
              </c15:layout>
            </c:ext>
          </c:extLst>
        </c:dLbl>
      </c:pivotFmt>
      <c:pivotFmt>
        <c:idx val="48"/>
        <c:dLbl>
          <c:idx val="0"/>
          <c:layout>
            <c:manualLayout>
              <c:x val="1.6719551847063801E-3"/>
              <c:y val="-0.12216134441528151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-7.5535707290320053E-2"/>
              <c:y val="-3.611840186643336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7.6955380577427802E-3"/>
              <c:y val="-3.317585301837270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</c:pivotFmt>
      <c:pivotFmt>
        <c:idx val="5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'T. Dinamicas Top Empresas Méxic'!$D$41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49E-4334-AB09-0E0FD849FF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49E-4334-AB09-0E0FD849FF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49E-4334-AB09-0E0FD849FF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49E-4334-AB09-0E0FD849FF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49E-4334-AB09-0E0FD849FF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49E-4334-AB09-0E0FD849FF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49E-4334-AB09-0E0FD849FF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49E-4334-AB09-0E0FD849FF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49E-4334-AB09-0E0FD849FF9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49E-4334-AB09-0E0FD849FF9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49E-4334-AB09-0E0FD849FF9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249E-4334-AB09-0E0FD849FF9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249E-4334-AB09-0E0FD849FF9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249E-4334-AB09-0E0FD849FF9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249E-4334-AB09-0E0FD849F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'T. Dinamicas Top Empresas Méxic'!$C$42:$C$57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'T. Dinamicas Top Empresas Méxic'!$D$42:$D$57</c:f>
              <c:numCache>
                <c:formatCode>_("$"* #,##0.00_);_("$"* \(#,##0.00\);_("$"* "-"??_);_(@_)</c:formatCode>
                <c:ptCount val="15"/>
                <c:pt idx="0">
                  <c:v>56028.666666666664</c:v>
                </c:pt>
                <c:pt idx="1">
                  <c:v>12946.333333333334</c:v>
                </c:pt>
                <c:pt idx="2">
                  <c:v>19476.333333333332</c:v>
                </c:pt>
                <c:pt idx="3">
                  <c:v>19609</c:v>
                </c:pt>
                <c:pt idx="4">
                  <c:v>27409.333333333332</c:v>
                </c:pt>
                <c:pt idx="5">
                  <c:v>-187.33333333333334</c:v>
                </c:pt>
                <c:pt idx="6">
                  <c:v>17598</c:v>
                </c:pt>
                <c:pt idx="7">
                  <c:v>5904</c:v>
                </c:pt>
                <c:pt idx="8">
                  <c:v>8241.6666666666661</c:v>
                </c:pt>
                <c:pt idx="9">
                  <c:v>6968.666666666667</c:v>
                </c:pt>
                <c:pt idx="10">
                  <c:v>19271.666666666668</c:v>
                </c:pt>
                <c:pt idx="11">
                  <c:v>-400.33333333333331</c:v>
                </c:pt>
                <c:pt idx="12">
                  <c:v>-1397.6666666666667</c:v>
                </c:pt>
                <c:pt idx="13">
                  <c:v>9926</c:v>
                </c:pt>
                <c:pt idx="14">
                  <c:v>10358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9E-4334-AB09-0E0FD849FF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47000">
          <a:srgbClr val="041922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FFFF00"/>
                </a:solidFill>
              </a:rPr>
              <a:t>%</a:t>
            </a:r>
            <a:r>
              <a:rPr lang="es-MX" baseline="0">
                <a:solidFill>
                  <a:srgbClr val="FFFF00"/>
                </a:solidFill>
              </a:rPr>
              <a:t> VM POR RAMO</a:t>
            </a:r>
            <a:endParaRPr lang="es-MX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'T. Dinamicas Top Empresas Méxic'!$B$73</c:f>
              <c:strCache>
                <c:ptCount val="1"/>
                <c:pt idx="0">
                  <c:v>VM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440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Méxic'!$A$74:$A$86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Méxic'!$B$74:$B$86</c:f>
              <c:numCache>
                <c:formatCode>0%</c:formatCode>
                <c:ptCount val="12"/>
                <c:pt idx="0">
                  <c:v>-2.8053705354801488E-2</c:v>
                </c:pt>
                <c:pt idx="1">
                  <c:v>5.2971101903812878E-3</c:v>
                </c:pt>
                <c:pt idx="2">
                  <c:v>0.2317354591702942</c:v>
                </c:pt>
                <c:pt idx="3">
                  <c:v>-8.0610478837782554E-3</c:v>
                </c:pt>
                <c:pt idx="4">
                  <c:v>8.0028321183196111E-2</c:v>
                </c:pt>
                <c:pt idx="5">
                  <c:v>-1.1050506110033042E-2</c:v>
                </c:pt>
                <c:pt idx="6">
                  <c:v>-2.4676142025489064E-2</c:v>
                </c:pt>
                <c:pt idx="7">
                  <c:v>0.11183196097970315</c:v>
                </c:pt>
                <c:pt idx="8">
                  <c:v>8.8739707347773644E-2</c:v>
                </c:pt>
                <c:pt idx="9">
                  <c:v>6.0313630880579013E-2</c:v>
                </c:pt>
                <c:pt idx="10">
                  <c:v>0.32058530445271938</c:v>
                </c:pt>
                <c:pt idx="11">
                  <c:v>0.17330990716945507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3-45FF-85E8-CE5F25FEE57D}"/>
            </c:ext>
          </c:extLst>
        </c:ser>
        <c:ser>
          <c:idx val="1"/>
          <c:order val="1"/>
          <c:tx>
            <c:strRef>
              <c:f>'T. Dinamicas Top Empresas Méxic'!$C$73</c:f>
              <c:strCache>
                <c:ptCount val="1"/>
                <c:pt idx="0">
                  <c:v>VM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Méxic'!$A$74:$A$86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Méxic'!$C$74:$C$86</c:f>
              <c:numCache>
                <c:formatCode>0%</c:formatCode>
                <c:ptCount val="12"/>
                <c:pt idx="0">
                  <c:v>5.9546388842329982E-2</c:v>
                </c:pt>
                <c:pt idx="1">
                  <c:v>0.12570904311158554</c:v>
                </c:pt>
                <c:pt idx="2">
                  <c:v>0.19804687844597157</c:v>
                </c:pt>
                <c:pt idx="3">
                  <c:v>1.0453699374542375E-3</c:v>
                </c:pt>
                <c:pt idx="4">
                  <c:v>8.7775787997212348E-2</c:v>
                </c:pt>
                <c:pt idx="5">
                  <c:v>7.8071932037721535E-4</c:v>
                </c:pt>
                <c:pt idx="6">
                  <c:v>3.2640242772832735E-2</c:v>
                </c:pt>
                <c:pt idx="7">
                  <c:v>4.4990604903093763E-2</c:v>
                </c:pt>
                <c:pt idx="8">
                  <c:v>6.880916044002576E-2</c:v>
                </c:pt>
                <c:pt idx="9">
                  <c:v>8.1600606932081834E-2</c:v>
                </c:pt>
                <c:pt idx="10">
                  <c:v>0.22892278377162417</c:v>
                </c:pt>
                <c:pt idx="11">
                  <c:v>7.0132413525410872E-2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3-45FF-85E8-CE5F25FEE57D}"/>
            </c:ext>
          </c:extLst>
        </c:ser>
        <c:ser>
          <c:idx val="2"/>
          <c:order val="2"/>
          <c:tx>
            <c:strRef>
              <c:f>'T. Dinamicas Top Empresas Méxic'!$D$73</c:f>
              <c:strCache>
                <c:ptCount val="1"/>
                <c:pt idx="0">
                  <c:v>VM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Méxic'!$A$74:$A$86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Méxic'!$D$74:$D$86</c:f>
              <c:numCache>
                <c:formatCode>0%</c:formatCode>
                <c:ptCount val="12"/>
                <c:pt idx="0">
                  <c:v>4.3883363243724556E-2</c:v>
                </c:pt>
                <c:pt idx="1">
                  <c:v>9.7185057349924039E-2</c:v>
                </c:pt>
                <c:pt idx="2">
                  <c:v>0.14679193842284266</c:v>
                </c:pt>
                <c:pt idx="3">
                  <c:v>4.543931556457202E-4</c:v>
                </c:pt>
                <c:pt idx="4">
                  <c:v>0.19442519265810815</c:v>
                </c:pt>
                <c:pt idx="5">
                  <c:v>-1.0386784961881463E-2</c:v>
                </c:pt>
                <c:pt idx="6">
                  <c:v>-1.4949075837758695E-2</c:v>
                </c:pt>
                <c:pt idx="7">
                  <c:v>0.12349396207882574</c:v>
                </c:pt>
                <c:pt idx="8">
                  <c:v>-6.6368939703405194E-3</c:v>
                </c:pt>
                <c:pt idx="9">
                  <c:v>0.12766611741702735</c:v>
                </c:pt>
                <c:pt idx="10">
                  <c:v>0.25271603181670055</c:v>
                </c:pt>
                <c:pt idx="11">
                  <c:v>4.5356698627181891E-2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3-45FF-85E8-CE5F25FEE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7488736"/>
        <c:axId val="707484992"/>
      </c:areaChart>
      <c:catAx>
        <c:axId val="7074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4992"/>
        <c:crosses val="autoZero"/>
        <c:auto val="1"/>
        <c:lblAlgn val="ctr"/>
        <c:lblOffset val="100"/>
        <c:noMultiLvlLbl val="0"/>
      </c:catAx>
      <c:valAx>
        <c:axId val="707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7000">
          <a:schemeClr val="accent1">
            <a:lumMod val="5000"/>
            <a:lumOff val="95000"/>
          </a:schemeClr>
        </a:gs>
        <a:gs pos="39000">
          <a:srgbClr val="041922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2.xlsx]Grafico clasificación!TablaDinámica2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Porcentaje de ventas por alquiler en los estados</a:t>
            </a:r>
          </a:p>
        </c:rich>
      </c:tx>
      <c:layout>
        <c:manualLayout>
          <c:xMode val="edge"/>
          <c:yMode val="edge"/>
          <c:x val="0.15713888888888888"/>
          <c:y val="3.036599591717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 clasificación'!$B$3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FB-4E1C-A04E-AEFD85FF8C71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FB-4E1C-A04E-AEFD85FF8C71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FB-4E1C-A04E-AEFD85FF8C71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FB-4E1C-A04E-AEFD85FF8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clasificación'!$A$4:$A$8</c:f>
              <c:strCache>
                <c:ptCount val="4"/>
                <c:pt idx="0">
                  <c:v>Hidalgo</c:v>
                </c:pt>
                <c:pt idx="1">
                  <c:v>Puebla</c:v>
                </c:pt>
                <c:pt idx="2">
                  <c:v>Tlaxcala</c:v>
                </c:pt>
                <c:pt idx="3">
                  <c:v>Veracruz</c:v>
                </c:pt>
              </c:strCache>
            </c:strRef>
          </c:cat>
          <c:val>
            <c:numRef>
              <c:f>'Grafico clasificación'!$B$4:$B$8</c:f>
              <c:numCache>
                <c:formatCode>0.00%</c:formatCode>
                <c:ptCount val="4"/>
                <c:pt idx="0">
                  <c:v>0.22005247809385872</c:v>
                </c:pt>
                <c:pt idx="1">
                  <c:v>0.10993768537565259</c:v>
                </c:pt>
                <c:pt idx="2">
                  <c:v>0.113188567036374</c:v>
                </c:pt>
                <c:pt idx="3">
                  <c:v>0.11584616739144876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6-45AF-BA9B-222DC7C0D3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17079008"/>
        <c:axId val="717074016"/>
      </c:barChart>
      <c:catAx>
        <c:axId val="7170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074016"/>
        <c:crosses val="autoZero"/>
        <c:auto val="1"/>
        <c:lblAlgn val="ctr"/>
        <c:lblOffset val="100"/>
        <c:noMultiLvlLbl val="0"/>
      </c:catAx>
      <c:valAx>
        <c:axId val="71707401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170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DEL MERCADO POR AÑO Y RAMO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'T. Dinamicas Top Empresas Méxic'!$B$5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9DA-455C-A13F-E3A9EB8CA3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9DA-455C-A13F-E3A9EB8CA3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9DA-455C-A13F-E3A9EB8CA3C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9DA-455C-A13F-E3A9EB8CA3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9DA-455C-A13F-E3A9EB8CA3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9DA-455C-A13F-E3A9EB8CA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'T. Dinamicas Top Empresas Méxic'!$A$6:$A$8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Méxic'!$B$6:$B$8</c:f>
              <c:numCache>
                <c:formatCode>_("$"* #,##0.00_);_("$"* \(#,##0.00\);_("$"* "-"??_);_(@_)</c:formatCode>
                <c:ptCount val="3"/>
                <c:pt idx="0">
                  <c:v>190670</c:v>
                </c:pt>
                <c:pt idx="1">
                  <c:v>226714</c:v>
                </c:pt>
                <c:pt idx="2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150-4DC7-B05F-ED7EC739326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VALOR</a:t>
            </a:r>
            <a:r>
              <a:rPr lang="es-MX" baseline="0"/>
              <a:t> DEL MERCADO POR EMPRESA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'T. Dinamicas Top Empresas Méxic'!$B$22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068-4046-9E4A-5C07701D5C9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068-4046-9E4A-5C07701D5C9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068-4046-9E4A-5C07701D5C92}"/>
              </c:ext>
            </c:extLst>
          </c:dPt>
          <c:cat>
            <c:strRef>
              <c:f>'T. Dinamicas Top Empresas Méxic'!$A$23:$A$25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Méxic'!$B$23:$B$25</c:f>
              <c:numCache>
                <c:formatCode>_("$"* #,##0.00_);_("$"* \(#,##0.00\);_("$"* "-"??_);_(@_)</c:formatCode>
                <c:ptCount val="3"/>
                <c:pt idx="0">
                  <c:v>190670</c:v>
                </c:pt>
                <c:pt idx="1">
                  <c:v>226714</c:v>
                </c:pt>
                <c:pt idx="2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8-49AD-A5C3-63C6073F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399007"/>
        <c:axId val="1811389439"/>
      </c:barChart>
      <c:catAx>
        <c:axId val="18113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89439"/>
        <c:crosses val="autoZero"/>
        <c:auto val="1"/>
        <c:lblAlgn val="ctr"/>
        <c:lblOffset val="100"/>
        <c:noMultiLvlLbl val="0"/>
      </c:catAx>
      <c:valAx>
        <c:axId val="18113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Promedio valor mercado 2014-16</a:t>
            </a:r>
          </a:p>
        </c:rich>
      </c:tx>
      <c:layout>
        <c:manualLayout>
          <c:xMode val="edge"/>
          <c:yMode val="edge"/>
          <c:x val="0.2979451541160094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2705240612046773"/>
              <c:y val="-2.4832312627588219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053495025450585"/>
              <c:y val="-0.215896398366870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2401436121854631"/>
              <c:y val="-0.1687671332750072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6.6071056186469843E-2"/>
              <c:y val="-0.1785983522892970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9.6040803118788182E-2"/>
              <c:y val="-0.1229261446485856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9.380834245034439E-2"/>
              <c:y val="-0.1205099883347914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9.363370674556086E-2"/>
              <c:y val="-0.1023337707786527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5.4139739381892329E-2"/>
              <c:y val="5.7075678040244974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9705636110554674E-2"/>
              <c:y val="3.0194663167104111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5.8520219219172949E-2"/>
              <c:y val="2.218066491688539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9.7509592122902444E-2"/>
              <c:y val="2.6116579177602756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9166782234412528E-2"/>
              <c:y val="2.4309930008748905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277942996851422"/>
              <c:y val="0.1090620443277923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LblPos val="outEnd"/>
          <c:showLegendKey val="1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7.1921494887765891E-2"/>
              <c:y val="-0.1213764946048410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4.4736945195283498E-2"/>
              <c:y val="-0.11804498396033829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</c:pivotFmt>
      <c:pivotFmt>
        <c:idx val="40"/>
        <c:dLbl>
          <c:idx val="0"/>
          <c:layout>
            <c:manualLayout>
              <c:x val="-3.7779605907470705E-3"/>
              <c:y val="-4.891258384368620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6.6820386257687936E-2"/>
              <c:y val="9.448454359871662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7.3771300975437768E-3"/>
              <c:y val="-1.380577427821520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2.2108355858502775E-2"/>
              <c:y val="2.3986585010206635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5.3730873193089668E-2"/>
              <c:y val="-8.674103237095362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  <c:dLbl>
          <c:idx val="0"/>
          <c:layout>
            <c:manualLayout>
              <c:x val="1.1796372468366827E-2"/>
              <c:y val="-0.1170341207349081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51733458690793"/>
                  <c:h val="0.11560185185185186"/>
                </c:manualLayout>
              </c15:layout>
            </c:ext>
          </c:extLst>
        </c:dLbl>
      </c:pivotFmt>
      <c:pivotFmt>
        <c:idx val="48"/>
        <c:dLbl>
          <c:idx val="0"/>
          <c:layout>
            <c:manualLayout>
              <c:x val="1.6719551847063801E-3"/>
              <c:y val="-0.12216134441528151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-7.5535707290320053E-2"/>
              <c:y val="-3.611840186643336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7.6955380577427802E-3"/>
              <c:y val="-3.317585301837270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</c:pivotFmt>
      <c:pivotFmt>
        <c:idx val="5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'T. Dinamicas Top Empresas Méxic'!$D$41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661-4F56-BCD4-254B119A88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661-4F56-BCD4-254B119A88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4F8D-4B22-B8E8-E511C46CC8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4F8D-4B22-B8E8-E511C46CC8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4F8D-4B22-B8E8-E511C46CC8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4F8D-4B22-B8E8-E511C46CC84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4F8D-4B22-B8E8-E511C46CC84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4F8D-4B22-B8E8-E511C46CC84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4F8D-4B22-B8E8-E511C46CC84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4F8D-4B22-B8E8-E511C46CC84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4F8D-4B22-B8E8-E511C46CC84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4F8D-4B22-B8E8-E511C46CC84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4F8D-4B22-B8E8-E511C46CC84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4F8D-4B22-B8E8-E511C46CC84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4F8D-4B22-B8E8-E511C46CC8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'T. Dinamicas Top Empresas Méxic'!$C$42:$C$57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'T. Dinamicas Top Empresas Méxic'!$D$42:$D$57</c:f>
              <c:numCache>
                <c:formatCode>_("$"* #,##0.00_);_("$"* \(#,##0.00\);_("$"* "-"??_);_(@_)</c:formatCode>
                <c:ptCount val="15"/>
                <c:pt idx="0">
                  <c:v>56028.666666666664</c:v>
                </c:pt>
                <c:pt idx="1">
                  <c:v>12946.333333333334</c:v>
                </c:pt>
                <c:pt idx="2">
                  <c:v>19476.333333333332</c:v>
                </c:pt>
                <c:pt idx="3">
                  <c:v>19609</c:v>
                </c:pt>
                <c:pt idx="4">
                  <c:v>27409.333333333332</c:v>
                </c:pt>
                <c:pt idx="5">
                  <c:v>-187.33333333333334</c:v>
                </c:pt>
                <c:pt idx="6">
                  <c:v>17598</c:v>
                </c:pt>
                <c:pt idx="7">
                  <c:v>5904</c:v>
                </c:pt>
                <c:pt idx="8">
                  <c:v>8241.6666666666661</c:v>
                </c:pt>
                <c:pt idx="9">
                  <c:v>6968.666666666667</c:v>
                </c:pt>
                <c:pt idx="10">
                  <c:v>19271.666666666668</c:v>
                </c:pt>
                <c:pt idx="11">
                  <c:v>-400.33333333333331</c:v>
                </c:pt>
                <c:pt idx="12">
                  <c:v>-1397.6666666666667</c:v>
                </c:pt>
                <c:pt idx="13">
                  <c:v>9926</c:v>
                </c:pt>
                <c:pt idx="14">
                  <c:v>10358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D-4B22-B8E8-E511C46CC8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Méxic!TablaDinámica3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'T. Dinamicas Top Empresas Méxic'!$B$58</c:f>
              <c:strCache>
                <c:ptCount val="1"/>
                <c:pt idx="0">
                  <c:v>VM 2014 (mdd)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'T. Dinamicas Top Empresas Méxic'!$A$59:$A$71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Méxic'!$B$59:$B$71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0-4A16-8613-2D445E1CDE9A}"/>
            </c:ext>
          </c:extLst>
        </c:ser>
        <c:ser>
          <c:idx val="1"/>
          <c:order val="1"/>
          <c:tx>
            <c:strRef>
              <c:f>'T. Dinamicas Top Empresas Méxic'!$C$58</c:f>
              <c:strCache>
                <c:ptCount val="1"/>
                <c:pt idx="0">
                  <c:v>VM 2015 (mdd)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'T. Dinamicas Top Empresas Méxic'!$A$59:$A$71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Méxic'!$C$59:$C$71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7-424E-B2FB-549A032FB515}"/>
            </c:ext>
          </c:extLst>
        </c:ser>
        <c:ser>
          <c:idx val="2"/>
          <c:order val="2"/>
          <c:tx>
            <c:strRef>
              <c:f>'T. Dinamicas Top Empresas Méxic'!$D$58</c:f>
              <c:strCache>
                <c:ptCount val="1"/>
                <c:pt idx="0">
                  <c:v>VM 2016 (mdd)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'T. Dinamicas Top Empresas Méxic'!$A$59:$A$71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Méxic'!$D$59:$D$71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7-424E-B2FB-549A032FB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7493040"/>
        <c:axId val="897493456"/>
      </c:lineChart>
      <c:catAx>
        <c:axId val="897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456"/>
        <c:crosses val="autoZero"/>
        <c:auto val="1"/>
        <c:lblAlgn val="ctr"/>
        <c:lblOffset val="100"/>
        <c:noMultiLvlLbl val="0"/>
      </c:catAx>
      <c:valAx>
        <c:axId val="897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Méxic!TablaDinámica4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'T. Dinamicas Top Empresas Méxic'!$B$73</c:f>
              <c:strCache>
                <c:ptCount val="1"/>
                <c:pt idx="0">
                  <c:v>VM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440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Méxic'!$A$74:$A$86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Méxic'!$B$74:$B$86</c:f>
              <c:numCache>
                <c:formatCode>0%</c:formatCode>
                <c:ptCount val="12"/>
                <c:pt idx="0">
                  <c:v>-2.8053705354801488E-2</c:v>
                </c:pt>
                <c:pt idx="1">
                  <c:v>5.2971101903812878E-3</c:v>
                </c:pt>
                <c:pt idx="2">
                  <c:v>0.2317354591702942</c:v>
                </c:pt>
                <c:pt idx="3">
                  <c:v>-8.0610478837782554E-3</c:v>
                </c:pt>
                <c:pt idx="4">
                  <c:v>8.0028321183196111E-2</c:v>
                </c:pt>
                <c:pt idx="5">
                  <c:v>-1.1050506110033042E-2</c:v>
                </c:pt>
                <c:pt idx="6">
                  <c:v>-2.4676142025489064E-2</c:v>
                </c:pt>
                <c:pt idx="7">
                  <c:v>0.11183196097970315</c:v>
                </c:pt>
                <c:pt idx="8">
                  <c:v>8.8739707347773644E-2</c:v>
                </c:pt>
                <c:pt idx="9">
                  <c:v>6.0313630880579013E-2</c:v>
                </c:pt>
                <c:pt idx="10">
                  <c:v>0.32058530445271938</c:v>
                </c:pt>
                <c:pt idx="11">
                  <c:v>0.17330990716945507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5-4699-9A89-42FA7E09E3F4}"/>
            </c:ext>
          </c:extLst>
        </c:ser>
        <c:ser>
          <c:idx val="1"/>
          <c:order val="1"/>
          <c:tx>
            <c:strRef>
              <c:f>'T. Dinamicas Top Empresas Méxic'!$C$73</c:f>
              <c:strCache>
                <c:ptCount val="1"/>
                <c:pt idx="0">
                  <c:v>VM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Méxic'!$A$74:$A$86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Méxic'!$C$74:$C$86</c:f>
              <c:numCache>
                <c:formatCode>0%</c:formatCode>
                <c:ptCount val="12"/>
                <c:pt idx="0">
                  <c:v>5.9546388842329982E-2</c:v>
                </c:pt>
                <c:pt idx="1">
                  <c:v>0.12570904311158554</c:v>
                </c:pt>
                <c:pt idx="2">
                  <c:v>0.19804687844597157</c:v>
                </c:pt>
                <c:pt idx="3">
                  <c:v>1.0453699374542375E-3</c:v>
                </c:pt>
                <c:pt idx="4">
                  <c:v>8.7775787997212348E-2</c:v>
                </c:pt>
                <c:pt idx="5">
                  <c:v>7.8071932037721535E-4</c:v>
                </c:pt>
                <c:pt idx="6">
                  <c:v>3.2640242772832735E-2</c:v>
                </c:pt>
                <c:pt idx="7">
                  <c:v>4.4990604903093763E-2</c:v>
                </c:pt>
                <c:pt idx="8">
                  <c:v>6.880916044002576E-2</c:v>
                </c:pt>
                <c:pt idx="9">
                  <c:v>8.1600606932081834E-2</c:v>
                </c:pt>
                <c:pt idx="10">
                  <c:v>0.22892278377162417</c:v>
                </c:pt>
                <c:pt idx="11">
                  <c:v>7.0132413525410872E-2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5-4699-9A89-42FA7E09E3F4}"/>
            </c:ext>
          </c:extLst>
        </c:ser>
        <c:ser>
          <c:idx val="2"/>
          <c:order val="2"/>
          <c:tx>
            <c:strRef>
              <c:f>'T. Dinamicas Top Empresas Méxic'!$D$73</c:f>
              <c:strCache>
                <c:ptCount val="1"/>
                <c:pt idx="0">
                  <c:v>VM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Méxic'!$A$74:$A$86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'T. Dinamicas Top Empresas Méxic'!$D$74:$D$86</c:f>
              <c:numCache>
                <c:formatCode>0%</c:formatCode>
                <c:ptCount val="12"/>
                <c:pt idx="0">
                  <c:v>4.3883363243724556E-2</c:v>
                </c:pt>
                <c:pt idx="1">
                  <c:v>9.7185057349924039E-2</c:v>
                </c:pt>
                <c:pt idx="2">
                  <c:v>0.14679193842284266</c:v>
                </c:pt>
                <c:pt idx="3">
                  <c:v>4.543931556457202E-4</c:v>
                </c:pt>
                <c:pt idx="4">
                  <c:v>0.19442519265810815</c:v>
                </c:pt>
                <c:pt idx="5">
                  <c:v>-1.0386784961881463E-2</c:v>
                </c:pt>
                <c:pt idx="6">
                  <c:v>-1.4949075837758695E-2</c:v>
                </c:pt>
                <c:pt idx="7">
                  <c:v>0.12349396207882574</c:v>
                </c:pt>
                <c:pt idx="8">
                  <c:v>-6.6368939703405194E-3</c:v>
                </c:pt>
                <c:pt idx="9">
                  <c:v>0.12766611741702735</c:v>
                </c:pt>
                <c:pt idx="10">
                  <c:v>0.25271603181670055</c:v>
                </c:pt>
                <c:pt idx="11">
                  <c:v>4.5356698627181891E-2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5-4699-9A89-42FA7E09E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7488736"/>
        <c:axId val="707484992"/>
      </c:areaChart>
      <c:catAx>
        <c:axId val="7074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4992"/>
        <c:crosses val="autoZero"/>
        <c:auto val="1"/>
        <c:lblAlgn val="ctr"/>
        <c:lblOffset val="100"/>
        <c:noMultiLvlLbl val="0"/>
      </c:catAx>
      <c:valAx>
        <c:axId val="707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VM</a:t>
            </a:r>
            <a:r>
              <a:rPr lang="es-MX" baseline="0"/>
              <a:t> TOP 10 EMPRESA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'T. Dinamicas Top Empresas Méxic'!$B$22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'T. Dinamicas Top Empresas Méxic'!$A$23:$A$25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Méxic'!$B$23:$B$25</c:f>
              <c:numCache>
                <c:formatCode>_("$"* #,##0.00_);_("$"* \(#,##0.00\);_("$"* "-"??_);_(@_)</c:formatCode>
                <c:ptCount val="3"/>
                <c:pt idx="0">
                  <c:v>190670</c:v>
                </c:pt>
                <c:pt idx="1">
                  <c:v>226714</c:v>
                </c:pt>
                <c:pt idx="2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A-4B11-988D-EB48A244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399007"/>
        <c:axId val="1811389439"/>
      </c:barChart>
      <c:catAx>
        <c:axId val="18113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89439"/>
        <c:crosses val="autoZero"/>
        <c:auto val="1"/>
        <c:lblAlgn val="ctr"/>
        <c:lblOffset val="100"/>
        <c:noMultiLvlLbl val="0"/>
      </c:catAx>
      <c:valAx>
        <c:axId val="18113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041922"/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 2.xlsx]T. Dinamicas Top Empresas Méxic!TablaDinámica7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VALOR</a:t>
            </a:r>
            <a:r>
              <a:rPr lang="en-US" baseline="0">
                <a:solidFill>
                  <a:srgbClr val="FFFF00"/>
                </a:solidFill>
              </a:rPr>
              <a:t> DEL MERCADO POR AÑO Y RAMO</a:t>
            </a:r>
            <a:endParaRPr lang="en-US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'T. Dinamicas Top Empresas Méxic'!$B$5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78F-408A-B834-10B6A17DB5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78F-408A-B834-10B6A17DB5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78F-408A-B834-10B6A17DB5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78F-408A-B834-10B6A17DB5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78F-408A-B834-10B6A17DB5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78F-408A-B834-10B6A17DB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'T. Dinamicas Top Empresas Méxic'!$A$6:$A$8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Méxic'!$B$6:$B$8</c:f>
              <c:numCache>
                <c:formatCode>_("$"* #,##0.00_);_("$"* \(#,##0.00\);_("$"* "-"??_);_(@_)</c:formatCode>
                <c:ptCount val="3"/>
                <c:pt idx="0">
                  <c:v>190670</c:v>
                </c:pt>
                <c:pt idx="1">
                  <c:v>226714</c:v>
                </c:pt>
                <c:pt idx="2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8F-408A-B834-10B6A17DB53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29000">
          <a:srgbClr val="041922"/>
        </a:gs>
        <a:gs pos="0">
          <a:schemeClr val="bg1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25.png"/><Relationship Id="rId18" Type="http://schemas.openxmlformats.org/officeDocument/2006/relationships/chart" Target="../charts/chart10.xml"/><Relationship Id="rId3" Type="http://schemas.openxmlformats.org/officeDocument/2006/relationships/image" Target="../media/image27.png"/><Relationship Id="rId21" Type="http://schemas.openxmlformats.org/officeDocument/2006/relationships/chart" Target="../charts/chart13.xml"/><Relationship Id="rId7" Type="http://schemas.openxmlformats.org/officeDocument/2006/relationships/image" Target="../media/image31.png"/><Relationship Id="rId12" Type="http://schemas.openxmlformats.org/officeDocument/2006/relationships/image" Target="../media/image24.png"/><Relationship Id="rId17" Type="http://schemas.openxmlformats.org/officeDocument/2006/relationships/chart" Target="../charts/chart9.xml"/><Relationship Id="rId2" Type="http://schemas.openxmlformats.org/officeDocument/2006/relationships/image" Target="../media/image18.png"/><Relationship Id="rId16" Type="http://schemas.openxmlformats.org/officeDocument/2006/relationships/image" Target="../media/image20.png"/><Relationship Id="rId20" Type="http://schemas.openxmlformats.org/officeDocument/2006/relationships/chart" Target="../charts/chart12.xml"/><Relationship Id="rId1" Type="http://schemas.openxmlformats.org/officeDocument/2006/relationships/chart" Target="../charts/chart8.xml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29.png"/><Relationship Id="rId15" Type="http://schemas.openxmlformats.org/officeDocument/2006/relationships/image" Target="../media/image21.png"/><Relationship Id="rId10" Type="http://schemas.openxmlformats.org/officeDocument/2006/relationships/image" Target="../media/image22.png"/><Relationship Id="rId19" Type="http://schemas.openxmlformats.org/officeDocument/2006/relationships/chart" Target="../charts/chart11.xml"/><Relationship Id="rId4" Type="http://schemas.openxmlformats.org/officeDocument/2006/relationships/image" Target="../media/image28.png"/><Relationship Id="rId9" Type="http://schemas.openxmlformats.org/officeDocument/2006/relationships/image" Target="../media/image19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4</xdr:col>
      <xdr:colOff>66675</xdr:colOff>
      <xdr:row>23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247651</xdr:colOff>
      <xdr:row>4</xdr:row>
      <xdr:rowOff>85724</xdr:rowOff>
    </xdr:from>
    <xdr:to>
      <xdr:col>21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10</xdr:col>
      <xdr:colOff>57150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3057525</xdr:colOff>
      <xdr:row>0</xdr:row>
      <xdr:rowOff>0</xdr:rowOff>
    </xdr:from>
    <xdr:to>
      <xdr:col>10</xdr:col>
      <xdr:colOff>371475</xdr:colOff>
      <xdr:row>17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20</xdr:row>
      <xdr:rowOff>28575</xdr:rowOff>
    </xdr:from>
    <xdr:to>
      <xdr:col>8</xdr:col>
      <xdr:colOff>19050</xdr:colOff>
      <xdr:row>36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39</xdr:row>
      <xdr:rowOff>19050</xdr:rowOff>
    </xdr:from>
    <xdr:to>
      <xdr:col>10</xdr:col>
      <xdr:colOff>476250</xdr:colOff>
      <xdr:row>55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</xdr:colOff>
      <xdr:row>55</xdr:row>
      <xdr:rowOff>171450</xdr:rowOff>
    </xdr:from>
    <xdr:to>
      <xdr:col>11</xdr:col>
      <xdr:colOff>700087</xdr:colOff>
      <xdr:row>70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142874</xdr:colOff>
      <xdr:row>71</xdr:row>
      <xdr:rowOff>47625</xdr:rowOff>
    </xdr:from>
    <xdr:to>
      <xdr:col>6</xdr:col>
      <xdr:colOff>1333499</xdr:colOff>
      <xdr:row>85</xdr:row>
      <xdr:rowOff>123825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19048</xdr:rowOff>
    </xdr:from>
    <xdr:to>
      <xdr:col>11</xdr:col>
      <xdr:colOff>200025</xdr:colOff>
      <xdr:row>103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11</xdr:col>
      <xdr:colOff>600075</xdr:colOff>
      <xdr:row>6</xdr:row>
      <xdr:rowOff>152400</xdr:rowOff>
    </xdr:to>
    <xdr:sp macro="" textlink="">
      <xdr:nvSpPr>
        <xdr:cNvPr id="7" name="Redondear rectángulo de esquina diagonal 6"/>
        <xdr:cNvSpPr/>
      </xdr:nvSpPr>
      <xdr:spPr>
        <a:xfrm>
          <a:off x="9525" y="9525"/>
          <a:ext cx="8972550" cy="1285875"/>
        </a:xfrm>
        <a:prstGeom prst="round2DiagRect">
          <a:avLst/>
        </a:prstGeom>
        <a:gradFill flip="none" rotWithShape="1">
          <a:gsLst>
            <a:gs pos="55000">
              <a:srgbClr val="073245"/>
            </a:gs>
            <a:gs pos="100000">
              <a:schemeClr val="bg1"/>
            </a:gs>
          </a:gsLst>
          <a:lin ang="2700000" scaled="1"/>
          <a:tileRect/>
        </a:gradFill>
        <a:ln>
          <a:noFill/>
        </a:ln>
        <a:effectLst>
          <a:outerShdw blurRad="50800" dist="50800" dir="5400000" algn="ctr" rotWithShape="0">
            <a:schemeClr val="accent6">
              <a:lumMod val="60000"/>
              <a:lumOff val="40000"/>
            </a:schemeClr>
          </a:outerShdw>
          <a:softEdge rad="787400"/>
        </a:effectLst>
        <a:scene3d>
          <a:camera prst="orthographicFront"/>
          <a:lightRig rig="threePt" dir="t"/>
        </a:scene3d>
        <a:sp3d>
          <a:bevelB w="1143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190500</xdr:colOff>
      <xdr:row>0</xdr:row>
      <xdr:rowOff>85725</xdr:rowOff>
    </xdr:from>
    <xdr:to>
      <xdr:col>1</xdr:col>
      <xdr:colOff>609600</xdr:colOff>
      <xdr:row>1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572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2</xdr:row>
      <xdr:rowOff>142875</xdr:rowOff>
    </xdr:from>
    <xdr:to>
      <xdr:col>4</xdr:col>
      <xdr:colOff>533400</xdr:colOff>
      <xdr:row>4</xdr:row>
      <xdr:rowOff>9525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5238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742950</xdr:colOff>
      <xdr:row>2</xdr:row>
      <xdr:rowOff>104775</xdr:rowOff>
    </xdr:from>
    <xdr:to>
      <xdr:col>2</xdr:col>
      <xdr:colOff>400050</xdr:colOff>
      <xdr:row>3</xdr:row>
      <xdr:rowOff>161925</xdr:rowOff>
    </xdr:to>
    <xdr:pic>
      <xdr:nvPicPr>
        <xdr:cNvPr id="10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857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628650</xdr:colOff>
      <xdr:row>0</xdr:row>
      <xdr:rowOff>161925</xdr:rowOff>
    </xdr:from>
    <xdr:to>
      <xdr:col>10</xdr:col>
      <xdr:colOff>285750</xdr:colOff>
      <xdr:row>2</xdr:row>
      <xdr:rowOff>28575</xdr:rowOff>
    </xdr:to>
    <xdr:pic>
      <xdr:nvPicPr>
        <xdr:cNvPr id="11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6192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600075</xdr:colOff>
      <xdr:row>0</xdr:row>
      <xdr:rowOff>142875</xdr:rowOff>
    </xdr:from>
    <xdr:to>
      <xdr:col>8</xdr:col>
      <xdr:colOff>257175</xdr:colOff>
      <xdr:row>2</xdr:row>
      <xdr:rowOff>9525</xdr:rowOff>
    </xdr:to>
    <xdr:pic>
      <xdr:nvPicPr>
        <xdr:cNvPr id="12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1428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428625</xdr:colOff>
      <xdr:row>0</xdr:row>
      <xdr:rowOff>133350</xdr:rowOff>
    </xdr:from>
    <xdr:to>
      <xdr:col>6</xdr:col>
      <xdr:colOff>123825</xdr:colOff>
      <xdr:row>2</xdr:row>
      <xdr:rowOff>0</xdr:rowOff>
    </xdr:to>
    <xdr:pic>
      <xdr:nvPicPr>
        <xdr:cNvPr id="13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133350"/>
          <a:ext cx="1219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0</xdr:row>
      <xdr:rowOff>104775</xdr:rowOff>
    </xdr:from>
    <xdr:to>
      <xdr:col>4</xdr:col>
      <xdr:colOff>9525</xdr:colOff>
      <xdr:row>1</xdr:row>
      <xdr:rowOff>161925</xdr:rowOff>
    </xdr:to>
    <xdr:pic>
      <xdr:nvPicPr>
        <xdr:cNvPr id="14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047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9524</xdr:colOff>
      <xdr:row>4</xdr:row>
      <xdr:rowOff>180975</xdr:rowOff>
    </xdr:from>
    <xdr:to>
      <xdr:col>10</xdr:col>
      <xdr:colOff>495299</xdr:colOff>
      <xdr:row>6</xdr:row>
      <xdr:rowOff>47625</xdr:rowOff>
    </xdr:to>
    <xdr:pic>
      <xdr:nvPicPr>
        <xdr:cNvPr id="15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4" y="942975"/>
          <a:ext cx="1247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171450</xdr:rowOff>
    </xdr:from>
    <xdr:to>
      <xdr:col>4</xdr:col>
      <xdr:colOff>161925</xdr:colOff>
      <xdr:row>6</xdr:row>
      <xdr:rowOff>38100</xdr:rowOff>
    </xdr:to>
    <xdr:pic>
      <xdr:nvPicPr>
        <xdr:cNvPr id="18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933450"/>
          <a:ext cx="1257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314324</xdr:colOff>
      <xdr:row>4</xdr:row>
      <xdr:rowOff>142875</xdr:rowOff>
    </xdr:from>
    <xdr:to>
      <xdr:col>1</xdr:col>
      <xdr:colOff>704849</xdr:colOff>
      <xdr:row>6</xdr:row>
      <xdr:rowOff>9525</xdr:rowOff>
    </xdr:to>
    <xdr:pic>
      <xdr:nvPicPr>
        <xdr:cNvPr id="19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904875"/>
          <a:ext cx="1152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276225</xdr:colOff>
      <xdr:row>2</xdr:row>
      <xdr:rowOff>152400</xdr:rowOff>
    </xdr:from>
    <xdr:to>
      <xdr:col>10</xdr:col>
      <xdr:colOff>733425</xdr:colOff>
      <xdr:row>4</xdr:row>
      <xdr:rowOff>19050</xdr:rowOff>
    </xdr:to>
    <xdr:pic>
      <xdr:nvPicPr>
        <xdr:cNvPr id="20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533400"/>
          <a:ext cx="1219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3</xdr:row>
      <xdr:rowOff>0</xdr:rowOff>
    </xdr:from>
    <xdr:to>
      <xdr:col>8</xdr:col>
      <xdr:colOff>666750</xdr:colOff>
      <xdr:row>4</xdr:row>
      <xdr:rowOff>57150</xdr:rowOff>
    </xdr:to>
    <xdr:pic>
      <xdr:nvPicPr>
        <xdr:cNvPr id="21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71500"/>
          <a:ext cx="1257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180974</xdr:colOff>
      <xdr:row>2</xdr:row>
      <xdr:rowOff>161925</xdr:rowOff>
    </xdr:from>
    <xdr:to>
      <xdr:col>6</xdr:col>
      <xdr:colOff>609599</xdr:colOff>
      <xdr:row>4</xdr:row>
      <xdr:rowOff>28575</xdr:rowOff>
    </xdr:to>
    <xdr:pic>
      <xdr:nvPicPr>
        <xdr:cNvPr id="22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4" y="542925"/>
          <a:ext cx="11906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9525</xdr:rowOff>
    </xdr:from>
    <xdr:to>
      <xdr:col>5</xdr:col>
      <xdr:colOff>476250</xdr:colOff>
      <xdr:row>20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295525"/>
              <a:ext cx="4257675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666750</xdr:colOff>
      <xdr:row>12</xdr:row>
      <xdr:rowOff>9526</xdr:rowOff>
    </xdr:from>
    <xdr:to>
      <xdr:col>11</xdr:col>
      <xdr:colOff>514349</xdr:colOff>
      <xdr:row>21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2295526"/>
              <a:ext cx="4419599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447675</xdr:colOff>
      <xdr:row>4</xdr:row>
      <xdr:rowOff>152400</xdr:rowOff>
    </xdr:from>
    <xdr:to>
      <xdr:col>6</xdr:col>
      <xdr:colOff>266700</xdr:colOff>
      <xdr:row>6</xdr:row>
      <xdr:rowOff>19050</xdr:rowOff>
    </xdr:to>
    <xdr:pic>
      <xdr:nvPicPr>
        <xdr:cNvPr id="2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914400"/>
          <a:ext cx="1343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666750</xdr:colOff>
      <xdr:row>4</xdr:row>
      <xdr:rowOff>171449</xdr:rowOff>
    </xdr:from>
    <xdr:to>
      <xdr:col>8</xdr:col>
      <xdr:colOff>381000</xdr:colOff>
      <xdr:row>6</xdr:row>
      <xdr:rowOff>104774</xdr:rowOff>
    </xdr:to>
    <xdr:pic>
      <xdr:nvPicPr>
        <xdr:cNvPr id="27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933449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5</xdr:col>
      <xdr:colOff>9525</xdr:colOff>
      <xdr:row>38</xdr:row>
      <xdr:rowOff>9526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52</xdr:row>
      <xdr:rowOff>76200</xdr:rowOff>
    </xdr:from>
    <xdr:to>
      <xdr:col>5</xdr:col>
      <xdr:colOff>447675</xdr:colOff>
      <xdr:row>66</xdr:row>
      <xdr:rowOff>180975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628650</xdr:colOff>
      <xdr:row>52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20</xdr:row>
      <xdr:rowOff>180974</xdr:rowOff>
    </xdr:from>
    <xdr:to>
      <xdr:col>11</xdr:col>
      <xdr:colOff>657222</xdr:colOff>
      <xdr:row>38</xdr:row>
      <xdr:rowOff>28575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466724</xdr:colOff>
      <xdr:row>52</xdr:row>
      <xdr:rowOff>57150</xdr:rowOff>
    </xdr:from>
    <xdr:to>
      <xdr:col>11</xdr:col>
      <xdr:colOff>647699</xdr:colOff>
      <xdr:row>66</xdr:row>
      <xdr:rowOff>133350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95250</xdr:colOff>
      <xdr:row>7</xdr:row>
      <xdr:rowOff>47625</xdr:rowOff>
    </xdr:from>
    <xdr:to>
      <xdr:col>11</xdr:col>
      <xdr:colOff>571500</xdr:colOff>
      <xdr:row>11</xdr:row>
      <xdr:rowOff>133350</xdr:rowOff>
    </xdr:to>
    <xdr:sp macro="" textlink="">
      <xdr:nvSpPr>
        <xdr:cNvPr id="2" name="Redondear rectángulo de esquina diagonal 1"/>
        <xdr:cNvSpPr/>
      </xdr:nvSpPr>
      <xdr:spPr>
        <a:xfrm>
          <a:off x="95250" y="1381125"/>
          <a:ext cx="8858250" cy="847725"/>
        </a:xfrm>
        <a:prstGeom prst="round2DiagRect">
          <a:avLst/>
        </a:prstGeom>
        <a:gradFill flip="none" rotWithShape="1">
          <a:gsLst>
            <a:gs pos="35000">
              <a:srgbClr val="041922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50800" dir="5400000" algn="ctr" rotWithShape="0">
            <a:schemeClr val="accent6">
              <a:lumMod val="40000"/>
              <a:lumOff val="6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/>
            <a:t>VALOR</a:t>
          </a:r>
          <a:r>
            <a:rPr lang="es-MX" sz="1600" baseline="0"/>
            <a:t> DEL MERCADO DE LAS PRINCIPALES EMPRESAS MEXICANAS (TOP 10) </a:t>
          </a:r>
          <a:endParaRPr lang="es-MX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brado Jaime Vazquez Cabrera" refreshedDate="44374.840154976853" createdVersion="6" refreshedVersion="6" minRefreshableVersion="3" recordCount="30">
  <cacheSource type="worksheet">
    <worksheetSource name="Tabla5"/>
  </cacheSource>
  <cacheFields count="6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 count="4">
        <s v="Puebla"/>
        <s v="Hidalgo"/>
        <s v="Veracruz"/>
        <s v="Tlaxcala"/>
      </sharedItems>
    </cacheField>
    <cacheField name="Monto" numFmtId="44">
      <sharedItems containsSemiMixedTypes="0" containsString="0" containsNumber="1" containsInteger="1" minValue="358846" maxValue="2937300"/>
    </cacheField>
    <cacheField name="Porcentaje de venta" numFmtId="169">
      <sharedItems containsSemiMixedTypes="0" containsString="0" containsNumber="1" minValue="1.0152437930666492E-2" maxValue="8.3101820652164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brado Jaime Vazquez Cabrera" refreshedDate="44374.840155092592" createdVersion="6" refreshedVersion="6" minRefreshableVersion="3" recordCount="15">
  <cacheSource type="worksheet">
    <worksheetSource name="tbl_Rendimiento5"/>
  </cacheSource>
  <cacheFields count="20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Promedio valor mercado (mdd) 2014-16" numFmtId="167">
      <sharedItems containsSemiMixedTypes="0" containsString="0" containsNumber="1" minValue="-1397.6666666666667" maxValue="56028.666666666664" count="15">
        <n v="56028.666666666664"/>
        <n v="27409.333333333332"/>
        <n v="6968.666666666667"/>
        <n v="19271.666666666668"/>
        <n v="10358"/>
        <n v="19476.333333333332"/>
        <n v="9926"/>
        <n v="5904"/>
        <n v="17598"/>
        <n v="19609"/>
        <n v="12946.333333333334"/>
        <n v="8241.6666666666661"/>
        <n v="-400.33333333333331"/>
        <n v="-1397.6666666666667"/>
        <n v="-187.33333333333334"/>
      </sharedItems>
    </cacheField>
    <cacheField name="% Valor mercado 2014 (mdd)" numFmtId="10">
      <sharedItems containsSemiMixedTypes="0" containsString="0" containsNumber="1" minValue="-2.8882362196465096E-2" maxValue="0.32058530445271938"/>
    </cacheField>
    <cacheField name="% Valor mercado 2015 (mdd)2" numFmtId="9">
      <sharedItems containsSemiMixedTypes="0" containsString="0" containsNumber="1" minValue="7.8071932037721535E-4" maxValue="0.22892278377162417"/>
    </cacheField>
    <cacheField name="% Valor mercado 2016 (mdd)2" numFmtId="0">
      <sharedItems containsSemiMixedTypes="0" containsString="0" containsNumber="1" minValue="-1.4949075837758695E-2" maxValue="0.25271603181670055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x v="0"/>
    <n v="2133903"/>
    <n v="6.0372186836590125E-2"/>
  </r>
  <r>
    <s v="Local"/>
    <s v="Loc"/>
    <x v="1"/>
    <x v="1"/>
    <n v="1945424"/>
    <n v="5.5039756354617109E-2"/>
  </r>
  <r>
    <s v="Oficina"/>
    <s v="Ofi"/>
    <x v="0"/>
    <x v="1"/>
    <n v="712416"/>
    <n v="2.0155607756011492E-2"/>
  </r>
  <r>
    <s v="Estacionamiento"/>
    <s v="Est"/>
    <x v="0"/>
    <x v="1"/>
    <n v="1815450"/>
    <n v="5.1362543935918152E-2"/>
  </r>
  <r>
    <s v="Suelo"/>
    <s v="Sue"/>
    <x v="1"/>
    <x v="2"/>
    <n v="1138024"/>
    <n v="3.2196870032294649E-2"/>
  </r>
  <r>
    <s v="Industrial"/>
    <s v="Ind"/>
    <x v="0"/>
    <x v="1"/>
    <n v="953156"/>
    <n v="2.6966601629229116E-2"/>
  </r>
  <r>
    <s v="Estacionamiento"/>
    <s v="Est"/>
    <x v="0"/>
    <x v="2"/>
    <n v="406686"/>
    <n v="1.150592279772112E-2"/>
  </r>
  <r>
    <s v="Oficina"/>
    <s v="Ofi"/>
    <x v="1"/>
    <x v="1"/>
    <n v="2158475"/>
    <n v="6.106737559397446E-2"/>
  </r>
  <r>
    <s v="Piso"/>
    <s v="Pis"/>
    <x v="0"/>
    <x v="0"/>
    <n v="1024380"/>
    <n v="2.8981664467253757E-2"/>
  </r>
  <r>
    <s v="Estacionamiento"/>
    <s v="Est"/>
    <x v="1"/>
    <x v="0"/>
    <n v="2042768"/>
    <n v="5.7793803823232612E-2"/>
  </r>
  <r>
    <s v="Oficina"/>
    <s v="Ofi"/>
    <x v="0"/>
    <x v="1"/>
    <n v="627068"/>
    <n v="1.7740950012838867E-2"/>
  </r>
  <r>
    <s v="Industrial"/>
    <s v="Ind"/>
    <x v="1"/>
    <x v="1"/>
    <n v="999328"/>
    <n v="2.8272895594146471E-2"/>
  </r>
  <r>
    <s v="Estacionamiento"/>
    <s v="Est"/>
    <x v="1"/>
    <x v="3"/>
    <n v="2937300"/>
    <n v="8.310182065216469E-2"/>
  </r>
  <r>
    <s v="Local"/>
    <s v="Loc"/>
    <x v="1"/>
    <x v="2"/>
    <n v="664700"/>
    <n v="1.880563108551863E-2"/>
  </r>
  <r>
    <s v="Industrial"/>
    <s v="Ind"/>
    <x v="0"/>
    <x v="1"/>
    <n v="820336"/>
    <n v="2.3208870441056129E-2"/>
  </r>
  <r>
    <s v="Casa"/>
    <s v="Cas"/>
    <x v="0"/>
    <x v="1"/>
    <n v="937960"/>
    <n v="2.653667779896653E-2"/>
  </r>
  <r>
    <s v="Casa"/>
    <s v="Cas"/>
    <x v="0"/>
    <x v="2"/>
    <n v="358846"/>
    <n v="1.0152437930666492E-2"/>
  </r>
  <r>
    <s v="Suelo"/>
    <s v="Sue"/>
    <x v="1"/>
    <x v="3"/>
    <n v="1679605"/>
    <n v="4.7519229726782783E-2"/>
  </r>
  <r>
    <s v="Piso"/>
    <s v="Pis"/>
    <x v="0"/>
    <x v="1"/>
    <n v="472615"/>
    <n v="1.3371179984176902E-2"/>
  </r>
  <r>
    <s v="Oficina"/>
    <s v="Ofi"/>
    <x v="0"/>
    <x v="3"/>
    <n v="1169496"/>
    <n v="3.3087272953196474E-2"/>
  </r>
  <r>
    <s v="Industrial"/>
    <s v="Ind"/>
    <x v="1"/>
    <x v="3"/>
    <n v="2020992"/>
    <n v="5.7177719239934505E-2"/>
  </r>
  <r>
    <s v="Oficina"/>
    <s v="Ofi"/>
    <x v="0"/>
    <x v="0"/>
    <n v="727552"/>
    <n v="2.0583834071808711E-2"/>
  </r>
  <r>
    <s v="Casa"/>
    <s v="Cas"/>
    <x v="0"/>
    <x v="1"/>
    <n v="1438929"/>
    <n v="4.0710046535661557E-2"/>
  </r>
  <r>
    <s v="Oficina"/>
    <s v="Ofi"/>
    <x v="0"/>
    <x v="2"/>
    <n v="427390"/>
    <n v="1.2091678455904628E-2"/>
  </r>
  <r>
    <s v="Oficina"/>
    <s v="Ofi"/>
    <x v="0"/>
    <x v="3"/>
    <n v="1170684"/>
    <n v="3.3120883739610786E-2"/>
  </r>
  <r>
    <s v="Local"/>
    <s v="Loc"/>
    <x v="0"/>
    <x v="2"/>
    <n v="549780"/>
    <n v="1.5554325046180881E-2"/>
  </r>
  <r>
    <s v="Local"/>
    <s v="Loc"/>
    <x v="0"/>
    <x v="2"/>
    <n v="659330"/>
    <n v="1.8653703540868056E-2"/>
  </r>
  <r>
    <s v="Casa"/>
    <s v="Cas"/>
    <x v="0"/>
    <x v="3"/>
    <n v="1660560"/>
    <n v="4.6980410343566745E-2"/>
  </r>
  <r>
    <s v="Casa"/>
    <s v="Cas"/>
    <x v="0"/>
    <x v="2"/>
    <n v="753571"/>
    <n v="2.1319961219716202E-2"/>
  </r>
  <r>
    <s v="Local"/>
    <s v="Loc"/>
    <x v="0"/>
    <x v="2"/>
    <n v="939072"/>
    <n v="2.65681384003913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m/>
    <x v="0"/>
    <n v="0.32058530445271938"/>
    <n v="0.22892278377162417"/>
    <n v="0.25271603181670055"/>
    <m/>
    <m/>
    <m/>
    <m/>
    <m/>
    <m/>
    <m/>
    <m/>
    <m/>
  </r>
  <r>
    <x v="1"/>
    <n v="2"/>
    <x v="1"/>
    <x v="1"/>
    <x v="1"/>
    <x v="1"/>
    <m/>
    <x v="1"/>
    <n v="0.16849006136256359"/>
    <n v="0.14820434556313242"/>
    <n v="7.5741372267330048E-2"/>
    <m/>
    <m/>
    <m/>
    <m/>
    <m/>
    <m/>
    <m/>
    <m/>
    <m/>
  </r>
  <r>
    <x v="2"/>
    <n v="3"/>
    <x v="2"/>
    <x v="2"/>
    <x v="2"/>
    <x v="2"/>
    <m/>
    <x v="2"/>
    <n v="2.2688414538207375E-2"/>
    <n v="6.7044822992845615E-2"/>
    <n v="6.3339651999100395E-3"/>
    <m/>
    <m/>
    <m/>
    <m/>
    <m/>
    <m/>
    <m/>
    <m/>
    <m/>
  </r>
  <r>
    <x v="3"/>
    <n v="4"/>
    <x v="3"/>
    <x v="3"/>
    <x v="3"/>
    <x v="3"/>
    <m/>
    <x v="3"/>
    <n v="6.0313630880579013E-2"/>
    <n v="8.1600606932081834E-2"/>
    <n v="0.12766611741702735"/>
    <m/>
    <m/>
    <m/>
    <m/>
    <m/>
    <m/>
    <m/>
    <m/>
    <m/>
  </r>
  <r>
    <x v="4"/>
    <n v="5"/>
    <x v="4"/>
    <x v="4"/>
    <x v="4"/>
    <x v="4"/>
    <m/>
    <x v="4"/>
    <n v="8.8739707347773644E-2"/>
    <n v="6.880916044002576E-2"/>
    <n v="-6.6368939703405194E-3"/>
    <m/>
    <m/>
    <m/>
    <m/>
    <m/>
    <m/>
    <m/>
    <m/>
    <m/>
  </r>
  <r>
    <x v="5"/>
    <n v="6"/>
    <x v="5"/>
    <x v="5"/>
    <x v="5"/>
    <x v="5"/>
    <m/>
    <x v="5"/>
    <n v="0.11183196097970315"/>
    <n v="4.4990604903093763E-2"/>
    <n v="0.12349396207882574"/>
    <m/>
    <m/>
    <m/>
    <m/>
    <m/>
    <m/>
    <m/>
    <m/>
    <m/>
  </r>
  <r>
    <x v="6"/>
    <n v="7"/>
    <x v="2"/>
    <x v="6"/>
    <x v="6"/>
    <x v="6"/>
    <m/>
    <x v="6"/>
    <n v="-1.7391304347826087E-2"/>
    <n v="5.866422011873991E-2"/>
    <n v="9.0851092150013996E-2"/>
    <m/>
    <m/>
    <m/>
    <m/>
    <m/>
    <m/>
    <m/>
    <m/>
    <m/>
  </r>
  <r>
    <x v="7"/>
    <n v="8"/>
    <x v="6"/>
    <x v="7"/>
    <x v="7"/>
    <x v="7"/>
    <m/>
    <x v="7"/>
    <n v="-2.8053705354801488E-2"/>
    <n v="5.9546388842329982E-2"/>
    <n v="4.3883363243724556E-2"/>
    <m/>
    <m/>
    <m/>
    <m/>
    <m/>
    <m/>
    <m/>
    <m/>
    <m/>
  </r>
  <r>
    <x v="8"/>
    <n v="9"/>
    <x v="7"/>
    <x v="8"/>
    <x v="8"/>
    <x v="8"/>
    <m/>
    <x v="8"/>
    <n v="0.1089106833796612"/>
    <n v="4.1461930008733473E-2"/>
    <n v="0.10385866995910462"/>
    <m/>
    <m/>
    <m/>
    <m/>
    <m/>
    <m/>
    <m/>
    <m/>
    <m/>
  </r>
  <r>
    <x v="9"/>
    <n v="10"/>
    <x v="8"/>
    <x v="9"/>
    <x v="9"/>
    <x v="9"/>
    <m/>
    <x v="9"/>
    <n v="0.17330990716945507"/>
    <n v="7.0132413525410872E-2"/>
    <n v="4.5356698627181891E-2"/>
    <m/>
    <m/>
    <m/>
    <m/>
    <m/>
    <m/>
    <m/>
    <m/>
    <m/>
  </r>
  <r>
    <x v="10"/>
    <n v="11"/>
    <x v="1"/>
    <x v="10"/>
    <x v="10"/>
    <x v="10"/>
    <m/>
    <x v="10"/>
    <n v="6.3245397807730627E-2"/>
    <n v="4.9842532882839172E-2"/>
    <n v="7.1050566155512612E-2"/>
    <m/>
    <m/>
    <m/>
    <m/>
    <m/>
    <m/>
    <m/>
    <m/>
    <m/>
  </r>
  <r>
    <x v="11"/>
    <n v="12"/>
    <x v="7"/>
    <x v="11"/>
    <x v="11"/>
    <x v="11"/>
    <m/>
    <x v="11"/>
    <n v="-2.8882362196465096E-2"/>
    <n v="4.6313857988478875E-2"/>
    <n v="9.0566522699003546E-2"/>
    <m/>
    <m/>
    <m/>
    <m/>
    <m/>
    <m/>
    <m/>
    <m/>
    <m/>
  </r>
  <r>
    <x v="12"/>
    <n v="13"/>
    <x v="9"/>
    <x v="12"/>
    <x v="12"/>
    <x v="12"/>
    <m/>
    <x v="12"/>
    <n v="-8.0610478837782554E-3"/>
    <n v="1.0453699374542375E-3"/>
    <n v="4.543931556457202E-4"/>
    <m/>
    <m/>
    <m/>
    <m/>
    <m/>
    <m/>
    <m/>
    <m/>
    <m/>
  </r>
  <r>
    <x v="13"/>
    <n v="14"/>
    <x v="10"/>
    <x v="13"/>
    <x v="13"/>
    <x v="13"/>
    <m/>
    <x v="13"/>
    <n v="-1.1050506110033042E-2"/>
    <n v="7.8071932037721535E-4"/>
    <n v="-1.0386784961881463E-2"/>
    <m/>
    <m/>
    <m/>
    <m/>
    <m/>
    <m/>
    <m/>
    <m/>
    <m/>
  </r>
  <r>
    <x v="14"/>
    <n v="15"/>
    <x v="11"/>
    <x v="14"/>
    <x v="14"/>
    <x v="14"/>
    <m/>
    <x v="14"/>
    <n v="-2.4676142025489064E-2"/>
    <n v="3.2640242772832735E-2"/>
    <n v="-1.4949075837758695E-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6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dataField="1" numFmtId="169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a de Porcentaje de venta" fld="5" baseField="3" baseItem="0" numFmtId="1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22:B25" firstHeaderRow="1" firstDataRow="1" firstDataCol="1" rowPageCount="1" colPageCount="1"/>
  <pivotFields count="20">
    <pivotField axis="axisPage" multipleItemSelectionAllowed="1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 defaultSubtotal="0"/>
    <pivotField dataField="1" numFmtId="167" showAll="0"/>
    <pivotField showAll="0"/>
    <pivotField numFmtId="167" showAll="0" defaultSubtotal="0"/>
    <pivotField numFmtId="10" showAll="0" defaultSubtota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-1"/>
  </pageFields>
  <dataFields count="3">
    <dataField name="VM 2014 (mdd)" fld="3" baseField="0" baseItem="0"/>
    <dataField name="VM 2015 (mdd)" fld="4" baseField="0" baseItem="0"/>
    <dataField name="VM 2016 (mdd)" fld="5" baseField="0" baseItem="0"/>
  </dataFields>
  <formats count="3">
    <format dxfId="111">
      <pivotArea outline="0" collapsedLevelsAreSubtotals="1" fieldPosition="0"/>
    </format>
    <format dxfId="110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</formats>
  <chartFormats count="1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7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5:B8" firstHeaderRow="1" firstDataRow="1" firstDataCol="1" rowPageCount="1" colPageCount="1"/>
  <pivotFields count="20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Page" multipleItemSelectionAllowed="1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multipleItemSelectionAllowed="1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multipleItemSelectionAllowed="1" showAll="0" defaultSubtotal="0">
      <items count="15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</items>
    </pivotField>
    <pivotField dataField="1" numFmtId="167" multipleItemSelectionAllowed="1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numFmtId="167" showAll="0" defaultSubtotal="0"/>
    <pivotField numFmtId="10" showAll="0" defaultSubtota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2" hier="-1"/>
  </pageFields>
  <dataFields count="3">
    <dataField name="VM 2014 (mdd)" fld="3" baseField="0" baseItem="0"/>
    <dataField name="VM 2015 (mdd)" fld="4" baseField="0" baseItem="0"/>
    <dataField name="VM 2016 (mdd)" fld="5" baseField="0" baseItem="0"/>
  </dataFields>
  <formats count="5">
    <format dxfId="116">
      <pivotArea collapsedLevelsAreSubtotals="1" fieldPosition="0">
        <references count="1">
          <reference field="2" count="0"/>
        </references>
      </pivotArea>
    </format>
    <format dxfId="1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8">
    <chartFormat chart="1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9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96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9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98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99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100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" format="10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" format="102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1" format="103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" format="104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" format="105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" format="10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7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73:D86" firstHeaderRow="0" firstDataRow="1" firstDataCol="1"/>
  <pivotFields count="20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numFmtId="167" showAll="0"/>
    <pivotField showAll="0"/>
    <pivotField numFmtId="167" showAll="0"/>
    <pivotField dataField="1" numFmtId="10" showAll="0"/>
    <pivotField dataField="1" numFmtId="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M 2014 (mdd)" fld="8" baseField="0" baseItem="0"/>
    <dataField name="VM 2015 (mdd)2" fld="9" baseField="0" baseItem="0"/>
    <dataField name="VM 2016 (mdd)" fld="10" baseField="0" baseItem="0"/>
  </dataFields>
  <formats count="3">
    <format dxfId="119">
      <pivotArea dataOnly="0" outline="0" fieldPosition="0">
        <references count="1">
          <reference field="4294967294" count="1">
            <x v="0"/>
          </reference>
        </references>
      </pivotArea>
    </format>
    <format dxfId="118">
      <pivotArea dataOnly="0" outline="0" fieldPosition="0">
        <references count="1">
          <reference field="4294967294" count="1">
            <x v="1"/>
          </reference>
        </references>
      </pivotArea>
    </format>
    <format dxfId="117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58:D71" firstHeaderRow="0" firstDataRow="1" firstDataCol="1" rowPageCount="3" colPageCount="1"/>
  <pivotFields count="20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axis="axisPage"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axis="axisPage"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axis="axisPage"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numFmtId="167" showAll="0"/>
    <pivotField numFmtId="10" multipleItemSelectionAllowed="1" showAl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4" hier="-1"/>
    <pageField fld="5" hier="-1"/>
  </pageFields>
  <dataFields count="3">
    <dataField name="VM 2014 (mdd)" fld="3" baseField="0" baseItem="0"/>
    <dataField name="VM 2015 (mdd)" fld="4" baseField="0" baseItem="0"/>
    <dataField name="VM 2016 (mdd)" fld="5" baseField="0" baseItem="0"/>
  </dataFields>
  <formats count="3">
    <format dxfId="122">
      <pivotArea dataOnly="0" outline="0" fieldPosition="0">
        <references count="1">
          <reference field="4294967294" count="1">
            <x v="1"/>
          </reference>
        </references>
      </pivotArea>
    </format>
    <format dxfId="121">
      <pivotArea dataOnly="0" outline="0" fieldPosition="0">
        <references count="1">
          <reference field="4294967294" count="1">
            <x v="2"/>
          </reference>
        </references>
      </pivotArea>
    </format>
    <format dxfId="12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C41:D57" firstHeaderRow="1" firstDataRow="1" firstDataCol="1"/>
  <pivotFields count="20">
    <pivotField axis="axisRow" showAll="0" defaultSubtotal="0">
      <items count="15">
        <item x="0"/>
        <item x="10"/>
        <item x="5"/>
        <item n="Liverpool" x="9"/>
        <item x="1"/>
        <item x="14"/>
        <item x="8"/>
        <item x="7"/>
        <item x="11"/>
        <item x="2"/>
        <item x="3"/>
        <item x="12"/>
        <item x="13"/>
        <item x="6"/>
        <item x="4"/>
      </items>
    </pivotField>
    <pivotField showAll="0"/>
    <pivotField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numFmtId="167" showAll="0"/>
    <pivotField numFmtId="167" showAll="0"/>
    <pivotField showAll="0"/>
    <pivotField dataField="1" numFmtId="167" showAll="0" sortType="ascending">
      <items count="16">
        <item x="13"/>
        <item x="12"/>
        <item x="14"/>
        <item x="7"/>
        <item x="2"/>
        <item x="11"/>
        <item x="6"/>
        <item x="4"/>
        <item x="10"/>
        <item x="8"/>
        <item x="3"/>
        <item x="5"/>
        <item x="9"/>
        <item x="1"/>
        <item x="0"/>
        <item t="default"/>
      </items>
    </pivotField>
    <pivotField numFmtId="10" showAl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Promedio valor mercado (mdd) 2014-16" fld="7" baseField="9" baseItem="5" numFmtId="44"/>
  </dataFields>
  <formats count="2">
    <format dxfId="124">
      <pivotArea collapsedLevelsAreSubtotals="1" fieldPosition="0">
        <references count="1">
          <reference field="0" count="1">
            <x v="0"/>
          </reference>
        </references>
      </pivotArea>
    </format>
    <format dxfId="123">
      <pivotArea dataOnly="0" outline="0" axis="axisValues" fieldPosition="0"/>
    </format>
  </formats>
  <chartFormats count="91"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4" name="TablaDinámica2"/>
    <pivotTable tabId="14" name="TablaDinámica1"/>
    <pivotTable tabId="14" name="TablaDinámica3"/>
    <pivotTable tabId="14" name="TablaDinámica7"/>
    <pivotTable tabId="14" name="TablaDinámica4"/>
  </pivotTables>
  <data>
    <tabular pivotCacheId="1">
      <items count="15">
        <i x="0" s="1"/>
        <i x="10" s="1"/>
        <i x="5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4" name="TablaDinámica1"/>
    <pivotTable tabId="14" name="TablaDinámica3"/>
    <pivotTable tabId="14" name="TablaDinámica7"/>
    <pivotTable tabId="14" name="TablaDinámica2"/>
    <pivotTable tabId="14" name="TablaDinámica4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columnCount="3" style="SlicerStyleLight6" rowHeight="241300"/>
  <slicer name="Industria" cache="SegmentaciónDeDatos_Industria" caption="Industria" columnCount="2" style="SlicerStyleOther2" rowHeight="241300"/>
</slicers>
</file>

<file path=xl/tables/table1.xml><?xml version="1.0" encoding="utf-8"?>
<table xmlns="http://schemas.openxmlformats.org/spreadsheetml/2006/main" id="6" name="Tabla6" displayName="Tabla6" ref="A6:J55" totalsRowCount="1" headerRowDxfId="244" tableBorderDxfId="243">
  <autoFilter ref="A6:J54"/>
  <tableColumns count="10">
    <tableColumn id="1" name="ID" totalsRowLabel="Total" dataDxfId="242" totalsRowDxfId="241"/>
    <tableColumn id="2" name="FechaDeOrden" dataDxfId="240" totalsRowDxfId="239"/>
    <tableColumn id="3" name="Empleado" dataDxfId="238" totalsRowDxfId="237"/>
    <tableColumn id="4" name="Status" dataDxfId="236" totalsRowDxfId="235"/>
    <tableColumn id="5" name="Compañía" dataDxfId="234" totalsRowDxfId="233"/>
    <tableColumn id="6" name="Fecha de envío" dataDxfId="232" totalsRowDxfId="231"/>
    <tableColumn id="7" name="Cantidad" dataDxfId="230" totalsRowDxfId="229"/>
    <tableColumn id="8" name="Precio" totalsRowFunction="max" dataDxfId="228" totalsRowDxfId="227" dataCellStyle="Moneda"/>
    <tableColumn id="9" name="Costo de envío" dataDxfId="226" totalsRowDxfId="225" dataCellStyle="Moneda"/>
    <tableColumn id="10" name="Total" totalsRowFunction="count" dataDxfId="224" totalsRowDxfId="22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5" name="tbl_Rendimiento5" displayName="tbl_Rendimiento5" ref="B9:U25" totalsRowCount="1" headerRowDxfId="164">
  <autoFilter ref="B9:U24"/>
  <tableColumns count="20">
    <tableColumn id="1" name="Nombre" totalsRowLabel="Total" dataDxfId="163" totalsRowDxfId="162"/>
    <tableColumn id="2" name="Lugar de la lista de México" dataDxfId="161" totalsRowDxfId="160"/>
    <tableColumn id="4" name="Industria" dataDxfId="159" totalsRowDxfId="158"/>
    <tableColumn id="22" name="Valor de mercado 2014 (mdd)" totalsRowFunction="sum" dataDxfId="157" totalsRowDxfId="156"/>
    <tableColumn id="5" name="Valor de mercado 2015 (mdd)" totalsRowFunction="sum" dataDxfId="155" totalsRowDxfId="154"/>
    <tableColumn id="20" name="Valor de mercado 2016 (mdd)" totalsRowFunction="sum" dataDxfId="153" totalsRowDxfId="152"/>
    <tableColumn id="19" name="Logo" dataDxfId="151" dataCellStyle="Normal 5"/>
    <tableColumn id="3" name="Promedio valor mercado (mdd) 2014-16" dataDxfId="150" totalsRowDxfId="149" dataCellStyle="Normal 5"/>
    <tableColumn id="7" name="% Valor mercado 2014 (mdd)" dataDxfId="148" totalsRowDxfId="147" dataCellStyle="Normal 5">
      <calculatedColumnFormula>tbl_Rendimiento5[[#This Row],[Valor de mercado 2014 (mdd)]]/tbl_Rendimiento5[[#Totals],[Valor de mercado 2014 (mdd)]]</calculatedColumnFormula>
    </tableColumn>
    <tableColumn id="8" name="% Valor mercado 2015 (mdd)2" dataDxfId="146" totalsRowDxfId="145">
      <calculatedColumnFormula>tbl_Rendimiento5[[#This Row],[Valor de mercado 2015 (mdd)]]/tbl_Rendimiento5[[#Totals],[Valor de mercado 2015 (mdd)]]</calculatedColumnFormula>
    </tableColumn>
    <tableColumn id="9" name="% Valor mercado 2016 (mdd)2" dataDxfId="144" totalsRowDxfId="143">
      <calculatedColumnFormula>tbl_Rendimiento5[[#This Row],[Valor de mercado 2016 (mdd)]]/tbl_Rendimiento5[[#Totals],[Valor de mercado 2016 (mdd)]]</calculatedColumnFormula>
    </tableColumn>
    <tableColumn id="10" name="Columna4" dataDxfId="142" totalsRowDxfId="141"/>
    <tableColumn id="11" name="Columna5" dataDxfId="140" totalsRowDxfId="139"/>
    <tableColumn id="12" name="Columna6" dataDxfId="138" totalsRowDxfId="137"/>
    <tableColumn id="13" name="Columna7" dataDxfId="136" totalsRowDxfId="135"/>
    <tableColumn id="14" name="Columna8" dataDxfId="134" totalsRowDxfId="133"/>
    <tableColumn id="15" name="Columna9" dataDxfId="132" totalsRowDxfId="131"/>
    <tableColumn id="16" name="Columna10" dataDxfId="130" totalsRowDxfId="129"/>
    <tableColumn id="17" name="Columna11" dataDxfId="128" totalsRowDxfId="127"/>
    <tableColumn id="18" name="Columna12" totalsRowFunction="count" dataDxfId="126" totalsRowDxfId="12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Function="count"/>
    <tableColumn id="2" name="ID" totalsRowFunction="count"/>
    <tableColumn id="3" name="Primer nombre" totalsRowFunction="count"/>
    <tableColumn id="4" name="Apellido" totalsRowFunction="count"/>
    <tableColumn id="5" name="Teléfono" totalsRowFunction="count"/>
    <tableColumn id="6" name="Puesto" totalsRowFunction="count"/>
    <tableColumn id="7" name="Compras realizadas" totalsRowFunction="count" dataDxfId="222" totalsRowDxfId="221"/>
    <tableColumn id="8" name="Dirección" totalsRowFunction="count"/>
    <tableColumn id="9" name="Estado/Provincia" totalsRowFunction="count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4:E15" totalsRowCount="1">
  <autoFilter ref="A4:E14"/>
  <tableColumns count="5">
    <tableColumn id="1" name="Compañía" totalsRowLabel="Total"/>
    <tableColumn id="2" name="Pedidos" totalsRowFunction="average"/>
    <tableColumn id="3" name="Primer nombre"/>
    <tableColumn id="4" name="Apellido"/>
    <tableColumn id="5" name="Puesto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8:K40" totalsRowCount="1" headerRowDxfId="220" tableBorderDxfId="219" headerRowCellStyle="Normal 3">
  <autoFilter ref="C8:K39"/>
  <tableColumns count="9">
    <tableColumn id="1" name="Referencia" totalsRowLabel="Total"/>
    <tableColumn id="2" name="Fecha Alta" dataDxfId="218" totalsRowDxfId="217" dataCellStyle="Normal 3"/>
    <tableColumn id="3" name="Tipo"/>
    <tableColumn id="4" name="Operación" totalsRowFunction="count"/>
    <tableColumn id="5" name="Estado"/>
    <tableColumn id="6" name="Superficie" totalsRowFunction="sum"/>
    <tableColumn id="7" name="Monto" totalsRowFunction="sum" dataDxfId="216" totalsRowDxfId="215" dataCellStyle="Normal 3"/>
    <tableColumn id="8" name="Fecha Venta" dataDxfId="214" totalsRowDxfId="213" dataCellStyle="Normal 3"/>
    <tableColumn id="9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a5" displayName="Tabla5" ref="C6:H37" totalsRowCount="1">
  <autoFilter ref="C6:H36"/>
  <tableColumns count="6">
    <tableColumn id="1" name="Giro Comercial" totalsRowLabel="Total"/>
    <tableColumn id="5" name="Código" dataDxfId="212">
      <calculatedColumnFormula>LEFT(C7,3)</calculatedColumnFormula>
    </tableColumn>
    <tableColumn id="2" name="Operación"/>
    <tableColumn id="3" name="Estado"/>
    <tableColumn id="4" name="Monto" totalsRowFunction="sum" dataDxfId="211" totalsRowDxfId="210"/>
    <tableColumn id="6" name="Porcentaje de venta" totalsRowFunction="sum" dataDxfId="209" totalsRowDxfId="208" dataCellStyle="Normal 3">
      <calculatedColumnFormula>Tabla5[[#This Row],[Monto]]/Tabla5[[#Totals],[Monto]]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5">
  <tableColumns count="7">
    <tableColumn id="1" name="Referencia" totalsRowLabel="Total"/>
    <tableColumn id="2" name="Fecha Alta" dataDxfId="207"/>
    <tableColumn id="3" name="Tipo"/>
    <tableColumn id="4" name="Operación"/>
    <tableColumn id="5" name="Estado"/>
    <tableColumn id="6" name="Superficie"/>
    <tableColumn id="7" name="Monto de venta" totalsRowFunction="sum" dataDxfId="206" totalsRowDxfId="205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9" name="Tabla9" displayName="Tabla9" ref="C5:L33" totalsRowShown="0" dataDxfId="204" dataCellStyle="Normal 4">
  <autoFilter ref="C5:L33"/>
  <tableColumns count="10">
    <tableColumn id="1" name="Columna1" dataDxfId="203" dataCellStyle="Normal 4"/>
    <tableColumn id="2" name="Columna2" dataDxfId="202" dataCellStyle="Normal 4"/>
    <tableColumn id="3" name="Columna3" dataDxfId="201" dataCellStyle="Normal 4"/>
    <tableColumn id="4" name="Columna4" dataDxfId="200" dataCellStyle="Normal 4"/>
    <tableColumn id="5" name="Columna5" dataDxfId="199" dataCellStyle="Moneda 2"/>
    <tableColumn id="6" name="Columna6" dataDxfId="198" dataCellStyle="Normal 4"/>
    <tableColumn id="7" name="Columna7" dataDxfId="197" dataCellStyle="Normal 4"/>
    <tableColumn id="8" name="Fecha de Vencimiento" dataDxfId="196" dataCellStyle="Normal 4">
      <calculatedColumnFormula>Tabla9[[#This Row],[Columna3]]+30</calculatedColumnFormula>
    </tableColumn>
    <tableColumn id="9" name="Fecha de vencimiento2" dataDxfId="195" dataCellStyle="Normal 4">
      <calculatedColumnFormula>Tabla9[[#This Row],[Columna3]]+90</calculatedColumnFormula>
    </tableColumn>
    <tableColumn id="10" name="Fecha de vencimiento3" dataDxfId="194" dataCellStyle="Normal 4">
      <calculatedColumnFormula>Tabla9[[#This Row],[Columna3]]+120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a10" displayName="Tabla10" ref="B12:H39" totalsRowShown="0" headerRowBorderDxfId="193" tableBorderDxfId="192" totalsRowBorderDxfId="191">
  <autoFilter ref="B12:H39"/>
  <tableColumns count="7">
    <tableColumn id="1" name="Cuenta No." dataDxfId="190" dataCellStyle="Normal 4"/>
    <tableColumn id="2" name="Factura No." dataDxfId="189" dataCellStyle="Normal 4"/>
    <tableColumn id="3" name="Fecha Factura" dataDxfId="188" dataCellStyle="Normal 4"/>
    <tableColumn id="4" name="Fecha Vencim." dataDxfId="187" dataCellStyle="Normal 4"/>
    <tableColumn id="5" name="Monto" dataDxfId="186" dataCellStyle="Moneda 2"/>
    <tableColumn id="6" name="Vendedor" dataDxfId="185" dataCellStyle="Moneda 2"/>
    <tableColumn id="7" name="Días Vencidos" dataDxfId="184" dataCellStyle="Normal 4">
      <calculatedColumnFormula>IF(C$8&gt;Tabla10[[#This Row],[Fecha Vencim.]],C$8-Tabla10[[#This Row],[Fecha Vencim.]],"No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183"/>
    <tableColumn id="3" name="Lugar en lista global" dataDxfId="182"/>
    <tableColumn id="20" name="País" dataDxfId="181"/>
    <tableColumn id="4" name="Industria" dataDxfId="180"/>
    <tableColumn id="5" name="Valor de mercado 2015 (mdd)" dataDxfId="179"/>
    <tableColumn id="6" name="Valor de mercado 2016(mdd)" dataDxfId="178"/>
    <tableColumn id="21" name="Ganancia/Perdida" dataDxfId="177"/>
    <tableColumn id="19" name="Logo"/>
    <tableColumn id="7" name="Columna1" dataDxfId="176"/>
    <tableColumn id="8" name="Columna2" dataDxfId="175"/>
    <tableColumn id="9" name="Columna3" dataDxfId="174"/>
    <tableColumn id="10" name="Columna4" dataDxfId="173"/>
    <tableColumn id="11" name="Columna5" dataDxfId="172"/>
    <tableColumn id="12" name="Columna6" dataDxfId="171"/>
    <tableColumn id="13" name="Columna7" dataDxfId="170"/>
    <tableColumn id="14" name="Columna8" dataDxfId="169"/>
    <tableColumn id="15" name="Columna9" dataDxfId="168"/>
    <tableColumn id="16" name="Columna10" dataDxfId="167"/>
    <tableColumn id="17" name="Columna11" dataDxfId="166"/>
    <tableColumn id="18" name="Columna12" dataDxfId="16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8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Normal="100" workbookViewId="0">
      <selection activeCell="L20" sqref="L20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62" t="s">
        <v>212</v>
      </c>
      <c r="B1" s="162"/>
      <c r="C1" s="162"/>
      <c r="D1" s="162"/>
      <c r="E1" s="162"/>
      <c r="F1" s="162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103" t="s">
        <v>0</v>
      </c>
      <c r="B6" s="103" t="s">
        <v>1</v>
      </c>
      <c r="C6" s="103" t="s">
        <v>2</v>
      </c>
      <c r="D6" s="103" t="s">
        <v>3</v>
      </c>
      <c r="E6" s="103" t="s">
        <v>4</v>
      </c>
      <c r="F6" s="103" t="s">
        <v>5</v>
      </c>
      <c r="G6" s="103" t="s">
        <v>6</v>
      </c>
      <c r="H6" s="103" t="s">
        <v>7</v>
      </c>
      <c r="I6" s="103" t="s">
        <v>8</v>
      </c>
      <c r="J6" s="103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60" t="s">
        <v>27</v>
      </c>
      <c r="N16" s="160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61">
        <f>VALUE(MAX(Tabla6[Precio]))</f>
        <v>4799</v>
      </c>
      <c r="N17" s="161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  <row r="55" spans="1:10" x14ac:dyDescent="0.25">
      <c r="A55" s="104" t="s">
        <v>9</v>
      </c>
      <c r="B55" s="104"/>
      <c r="C55" s="104"/>
      <c r="D55" s="104"/>
      <c r="E55" s="104"/>
      <c r="F55" s="104"/>
      <c r="G55" s="104"/>
      <c r="H55" s="106">
        <f>SUBTOTAL(104,Tabla6[Precio])</f>
        <v>4799</v>
      </c>
      <c r="I55" s="105"/>
      <c r="J55" s="104">
        <f>SUBTOTAL(103,Tabla6[Total])</f>
        <v>0</v>
      </c>
    </row>
  </sheetData>
  <mergeCells count="3">
    <mergeCell ref="M16:N16"/>
    <mergeCell ref="M17:N17"/>
    <mergeCell ref="A1:F1"/>
  </mergeCells>
  <phoneticPr fontId="2" type="noConversion"/>
  <conditionalFormatting sqref="D7:D54">
    <cfRule type="cellIs" dxfId="108" priority="1" operator="equal">
      <formula>"cerrado"</formula>
    </cfRule>
    <cfRule type="cellIs" dxfId="107" priority="2" operator="equal">
      <formula>"nuevo"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topLeftCell="C9" zoomScaleNormal="145" workbookViewId="0">
      <selection activeCell="G29" sqref="G29"/>
    </sheetView>
  </sheetViews>
  <sheetFormatPr baseColWidth="10" defaultColWidth="0" defaultRowHeight="18" customHeight="1" x14ac:dyDescent="0.25"/>
  <cols>
    <col min="1" max="1" width="1.7109375" style="65" customWidth="1"/>
    <col min="2" max="2" width="45.42578125" style="65" customWidth="1"/>
    <col min="3" max="4" width="24" style="65" customWidth="1"/>
    <col min="5" max="5" width="26" style="65" customWidth="1"/>
    <col min="6" max="8" width="25.85546875" style="65" customWidth="1"/>
    <col min="9" max="9" width="22.42578125" style="65" customWidth="1"/>
    <col min="10" max="13" width="9.28515625" style="66" hidden="1" customWidth="1"/>
    <col min="14" max="14" width="10.7109375" style="67" hidden="1" customWidth="1"/>
    <col min="15" max="15" width="9.28515625" style="67" hidden="1" customWidth="1"/>
    <col min="16" max="19" width="9.28515625" style="66" hidden="1" customWidth="1"/>
    <col min="20" max="20" width="13.28515625" style="67" hidden="1" customWidth="1"/>
    <col min="21" max="21" width="6.42578125" style="65" hidden="1" customWidth="1"/>
    <col min="22" max="24" width="1.28515625" style="65" hidden="1" customWidth="1"/>
    <col min="25" max="16384" width="0" style="65" hidden="1"/>
  </cols>
  <sheetData>
    <row r="1" spans="1:21" ht="34.5" customHeight="1" x14ac:dyDescent="0.5">
      <c r="A1" s="60" t="s">
        <v>212</v>
      </c>
    </row>
    <row r="2" spans="1:21" ht="18" customHeight="1" x14ac:dyDescent="0.3">
      <c r="A2" s="6" t="s">
        <v>437</v>
      </c>
    </row>
    <row r="5" spans="1:21" ht="12.75" x14ac:dyDescent="0.25"/>
    <row r="6" spans="1:21" ht="34.5" x14ac:dyDescent="0.35">
      <c r="B6" s="169" t="s">
        <v>361</v>
      </c>
      <c r="C6" s="169"/>
      <c r="D6" s="169"/>
      <c r="E6" s="169"/>
      <c r="F6" s="169"/>
      <c r="G6" s="169"/>
      <c r="H6" s="169"/>
      <c r="I6" s="169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34.5" x14ac:dyDescent="0.25">
      <c r="B7" s="69" t="s">
        <v>362</v>
      </c>
      <c r="C7" s="70"/>
      <c r="D7" s="70"/>
      <c r="E7" s="71"/>
      <c r="F7" s="70"/>
      <c r="G7" s="70"/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ht="12.75" x14ac:dyDescent="0.25"/>
    <row r="9" spans="1:21" ht="12.75" x14ac:dyDescent="0.25">
      <c r="B9" s="72"/>
      <c r="C9" s="73" t="s">
        <v>363</v>
      </c>
      <c r="D9" s="73"/>
      <c r="E9" s="73"/>
      <c r="F9" s="74" t="s">
        <v>364</v>
      </c>
      <c r="G9" s="74"/>
      <c r="H9" s="74"/>
      <c r="I9" s="74"/>
      <c r="J9" s="73"/>
      <c r="K9" s="73"/>
      <c r="L9" s="73"/>
      <c r="M9" s="73"/>
      <c r="N9" s="73"/>
      <c r="O9" s="73"/>
      <c r="P9" s="73"/>
      <c r="Q9" s="73"/>
      <c r="R9" s="73"/>
      <c r="S9" s="73"/>
      <c r="T9" s="75"/>
      <c r="U9" s="76"/>
    </row>
    <row r="10" spans="1:21" ht="6" customHeight="1" x14ac:dyDescent="0.25">
      <c r="B10" s="72"/>
      <c r="C10" s="77"/>
      <c r="D10" s="78"/>
      <c r="E10" s="79"/>
      <c r="F10" s="80"/>
      <c r="G10" s="74"/>
      <c r="H10" s="74"/>
      <c r="I10" s="74"/>
      <c r="J10" s="77"/>
      <c r="K10" s="79"/>
      <c r="L10" s="77"/>
      <c r="M10" s="79"/>
      <c r="N10" s="77"/>
      <c r="O10" s="79"/>
      <c r="P10" s="77"/>
      <c r="Q10" s="78"/>
      <c r="R10" s="78"/>
      <c r="S10" s="79"/>
      <c r="T10" s="81"/>
      <c r="U10" s="81"/>
    </row>
    <row r="11" spans="1:21" s="84" customFormat="1" ht="30" customHeight="1" x14ac:dyDescent="0.25">
      <c r="B11" s="82" t="s">
        <v>365</v>
      </c>
      <c r="C11" s="83" t="s">
        <v>366</v>
      </c>
      <c r="D11" s="83" t="s">
        <v>367</v>
      </c>
      <c r="E11" s="82" t="s">
        <v>368</v>
      </c>
      <c r="F11" s="82" t="s">
        <v>369</v>
      </c>
      <c r="G11" s="82" t="s">
        <v>370</v>
      </c>
      <c r="H11" s="82" t="s">
        <v>371</v>
      </c>
      <c r="I11" s="82" t="s">
        <v>372</v>
      </c>
      <c r="J11" s="82" t="s">
        <v>260</v>
      </c>
      <c r="K11" s="82" t="s">
        <v>261</v>
      </c>
      <c r="L11" s="82" t="s">
        <v>262</v>
      </c>
      <c r="M11" s="82" t="s">
        <v>263</v>
      </c>
      <c r="N11" s="82" t="s">
        <v>373</v>
      </c>
      <c r="O11" s="82" t="s">
        <v>374</v>
      </c>
      <c r="P11" s="82" t="s">
        <v>375</v>
      </c>
      <c r="Q11" s="82" t="s">
        <v>376</v>
      </c>
      <c r="R11" s="82" t="s">
        <v>377</v>
      </c>
      <c r="S11" s="82" t="s">
        <v>378</v>
      </c>
      <c r="T11" s="82" t="s">
        <v>379</v>
      </c>
      <c r="U11" s="82" t="s">
        <v>380</v>
      </c>
    </row>
    <row r="12" spans="1:21" s="93" customFormat="1" ht="24" customHeight="1" x14ac:dyDescent="0.25">
      <c r="B12" s="85" t="s">
        <v>381</v>
      </c>
      <c r="C12" s="86">
        <v>1</v>
      </c>
      <c r="D12" s="86" t="s">
        <v>382</v>
      </c>
      <c r="E12" s="85" t="s">
        <v>383</v>
      </c>
      <c r="F12" s="87">
        <v>310000000</v>
      </c>
      <c r="G12" s="87">
        <v>358752007</v>
      </c>
      <c r="H12" s="87"/>
      <c r="I12" s="85"/>
      <c r="J12" s="88"/>
      <c r="K12" s="89"/>
      <c r="L12" s="88"/>
      <c r="M12" s="89"/>
      <c r="N12" s="90"/>
      <c r="O12" s="90"/>
      <c r="P12" s="91"/>
      <c r="Q12" s="91"/>
      <c r="R12" s="89"/>
      <c r="S12" s="88"/>
      <c r="T12" s="90"/>
      <c r="U12" s="92"/>
    </row>
    <row r="13" spans="1:21" s="93" customFormat="1" ht="24" customHeight="1" x14ac:dyDescent="0.25">
      <c r="B13" s="85" t="s">
        <v>384</v>
      </c>
      <c r="C13" s="86">
        <v>2</v>
      </c>
      <c r="D13" s="86" t="s">
        <v>382</v>
      </c>
      <c r="E13" s="85" t="s">
        <v>383</v>
      </c>
      <c r="F13" s="87">
        <v>280000000</v>
      </c>
      <c r="G13" s="87">
        <v>267972981</v>
      </c>
      <c r="H13" s="87"/>
      <c r="I13" s="65"/>
      <c r="J13" s="94"/>
      <c r="K13" s="95"/>
      <c r="L13" s="94"/>
      <c r="M13" s="95"/>
      <c r="N13" s="96"/>
      <c r="O13" s="96"/>
      <c r="P13" s="97"/>
      <c r="Q13" s="97"/>
      <c r="R13" s="95"/>
      <c r="S13" s="94"/>
      <c r="T13" s="96"/>
      <c r="U13" s="98"/>
    </row>
    <row r="14" spans="1:21" ht="24" customHeight="1" x14ac:dyDescent="0.25">
      <c r="B14" s="85" t="s">
        <v>385</v>
      </c>
      <c r="C14" s="86">
        <v>3</v>
      </c>
      <c r="D14" s="86" t="s">
        <v>382</v>
      </c>
      <c r="E14" s="85" t="s">
        <v>383</v>
      </c>
      <c r="F14" s="87">
        <v>280000000</v>
      </c>
      <c r="G14" s="87">
        <v>324244137</v>
      </c>
      <c r="H14" s="87"/>
      <c r="J14" s="94"/>
      <c r="K14" s="95"/>
      <c r="L14" s="94"/>
      <c r="M14" s="95"/>
      <c r="N14" s="96"/>
      <c r="O14" s="96"/>
      <c r="P14" s="97"/>
      <c r="Q14" s="97"/>
      <c r="R14" s="95"/>
      <c r="S14" s="94"/>
      <c r="T14" s="96"/>
      <c r="U14" s="98"/>
    </row>
    <row r="15" spans="1:21" ht="24" customHeight="1" x14ac:dyDescent="0.25">
      <c r="B15" s="85" t="s">
        <v>386</v>
      </c>
      <c r="C15" s="86">
        <v>4</v>
      </c>
      <c r="D15" s="86" t="s">
        <v>387</v>
      </c>
      <c r="E15" s="85" t="s">
        <v>388</v>
      </c>
      <c r="F15" s="87">
        <v>56100000</v>
      </c>
      <c r="G15" s="87">
        <v>85060949</v>
      </c>
      <c r="H15" s="87"/>
      <c r="J15" s="94"/>
      <c r="K15" s="95"/>
      <c r="L15" s="94"/>
      <c r="M15" s="95"/>
      <c r="N15" s="96"/>
      <c r="O15" s="96"/>
      <c r="P15" s="97"/>
      <c r="Q15" s="97"/>
      <c r="R15" s="95"/>
      <c r="S15" s="94"/>
      <c r="T15" s="96"/>
      <c r="U15" s="98"/>
    </row>
    <row r="16" spans="1:21" ht="24" customHeight="1" x14ac:dyDescent="0.25">
      <c r="B16" s="85" t="s">
        <v>389</v>
      </c>
      <c r="C16" s="86">
        <v>5</v>
      </c>
      <c r="D16" s="86" t="s">
        <v>387</v>
      </c>
      <c r="E16" s="85" t="s">
        <v>390</v>
      </c>
      <c r="F16" s="87">
        <v>24000000</v>
      </c>
      <c r="G16" s="87">
        <v>-67885594</v>
      </c>
      <c r="H16" s="87"/>
      <c r="J16" s="94"/>
      <c r="K16" s="95"/>
      <c r="L16" s="94"/>
      <c r="M16" s="95"/>
      <c r="N16" s="96"/>
      <c r="O16" s="96"/>
      <c r="P16" s="97"/>
      <c r="Q16" s="97"/>
      <c r="R16" s="95"/>
      <c r="S16" s="94"/>
      <c r="T16" s="96"/>
      <c r="U16" s="98"/>
    </row>
    <row r="17" spans="2:21" s="93" customFormat="1" ht="24" customHeight="1" x14ac:dyDescent="0.25">
      <c r="B17" s="85" t="s">
        <v>391</v>
      </c>
      <c r="C17" s="86">
        <v>6</v>
      </c>
      <c r="D17" s="86" t="s">
        <v>382</v>
      </c>
      <c r="E17" s="85" t="s">
        <v>383</v>
      </c>
      <c r="F17" s="87">
        <v>23000000</v>
      </c>
      <c r="G17" s="87">
        <v>31816071</v>
      </c>
      <c r="H17" s="87"/>
      <c r="I17" s="65"/>
      <c r="J17" s="94"/>
      <c r="K17" s="95"/>
      <c r="L17" s="94"/>
      <c r="M17" s="95"/>
      <c r="N17" s="96"/>
      <c r="O17" s="96"/>
      <c r="P17" s="97"/>
      <c r="Q17" s="97"/>
      <c r="R17" s="95"/>
      <c r="S17" s="94"/>
      <c r="T17" s="96"/>
      <c r="U17" s="98"/>
    </row>
    <row r="18" spans="2:21" ht="24" customHeight="1" x14ac:dyDescent="0.25">
      <c r="B18" s="85" t="s">
        <v>392</v>
      </c>
      <c r="C18" s="86">
        <v>7</v>
      </c>
      <c r="D18" s="86" t="s">
        <v>387</v>
      </c>
      <c r="E18" s="85" t="s">
        <v>383</v>
      </c>
      <c r="F18" s="87">
        <v>22000000</v>
      </c>
      <c r="G18" s="87">
        <v>15320259</v>
      </c>
      <c r="H18" s="87"/>
      <c r="J18" s="94"/>
      <c r="K18" s="95"/>
      <c r="L18" s="94"/>
      <c r="M18" s="95"/>
      <c r="N18" s="96"/>
      <c r="O18" s="96"/>
      <c r="P18" s="97"/>
      <c r="Q18" s="97"/>
      <c r="R18" s="95"/>
      <c r="S18" s="94"/>
      <c r="T18" s="96"/>
      <c r="U18" s="98"/>
    </row>
    <row r="19" spans="2:21" ht="24" customHeight="1" x14ac:dyDescent="0.25">
      <c r="B19" s="85" t="s">
        <v>393</v>
      </c>
      <c r="C19" s="86">
        <v>8</v>
      </c>
      <c r="D19" s="86" t="s">
        <v>387</v>
      </c>
      <c r="E19" s="85" t="s">
        <v>394</v>
      </c>
      <c r="F19" s="87">
        <v>22000000</v>
      </c>
      <c r="G19" s="87">
        <v>43952449</v>
      </c>
      <c r="H19" s="87"/>
      <c r="J19" s="94"/>
      <c r="K19" s="95"/>
      <c r="L19" s="94"/>
      <c r="M19" s="95"/>
      <c r="N19" s="96"/>
      <c r="O19" s="96"/>
      <c r="P19" s="97"/>
      <c r="Q19" s="97"/>
      <c r="R19" s="95"/>
      <c r="S19" s="94"/>
      <c r="T19" s="96"/>
      <c r="U19" s="98"/>
    </row>
    <row r="20" spans="2:21" ht="24" customHeight="1" x14ac:dyDescent="0.25">
      <c r="B20" s="85" t="s">
        <v>395</v>
      </c>
      <c r="C20" s="86">
        <v>9</v>
      </c>
      <c r="D20" s="86" t="s">
        <v>387</v>
      </c>
      <c r="E20" s="85" t="s">
        <v>396</v>
      </c>
      <c r="F20" s="87">
        <v>21000000</v>
      </c>
      <c r="G20" s="87">
        <v>61894042</v>
      </c>
      <c r="H20" s="87"/>
      <c r="J20" s="94"/>
      <c r="K20" s="95"/>
      <c r="L20" s="94"/>
      <c r="M20" s="95"/>
      <c r="N20" s="96"/>
      <c r="O20" s="96"/>
      <c r="P20" s="97"/>
      <c r="Q20" s="97"/>
      <c r="R20" s="95"/>
      <c r="S20" s="94"/>
      <c r="T20" s="96"/>
      <c r="U20" s="98"/>
    </row>
    <row r="21" spans="2:21" s="93" customFormat="1" ht="24" customHeight="1" x14ac:dyDescent="0.25">
      <c r="B21" s="85" t="s">
        <v>397</v>
      </c>
      <c r="C21" s="86">
        <v>10</v>
      </c>
      <c r="D21" s="86" t="s">
        <v>398</v>
      </c>
      <c r="E21" s="85" t="s">
        <v>399</v>
      </c>
      <c r="F21" s="87">
        <v>21000000</v>
      </c>
      <c r="G21" s="87">
        <v>51254207</v>
      </c>
      <c r="H21" s="87"/>
      <c r="I21" s="65"/>
      <c r="J21" s="88"/>
      <c r="K21" s="89"/>
      <c r="L21" s="88"/>
      <c r="M21" s="89"/>
      <c r="N21" s="90"/>
      <c r="O21" s="90"/>
      <c r="P21" s="91"/>
      <c r="Q21" s="91"/>
      <c r="R21" s="89"/>
      <c r="S21" s="88"/>
      <c r="T21" s="90"/>
      <c r="U21" s="92"/>
    </row>
    <row r="22" spans="2:21" s="93" customFormat="1" ht="24" customHeight="1" x14ac:dyDescent="0.25">
      <c r="B22" s="85" t="s">
        <v>400</v>
      </c>
      <c r="C22" s="86">
        <v>11</v>
      </c>
      <c r="D22" s="86" t="s">
        <v>387</v>
      </c>
      <c r="E22" s="85" t="s">
        <v>383</v>
      </c>
      <c r="F22" s="87">
        <v>21000000</v>
      </c>
      <c r="G22" s="87">
        <v>-51402883</v>
      </c>
      <c r="H22" s="87"/>
      <c r="I22" s="65"/>
      <c r="J22" s="94"/>
      <c r="K22" s="95"/>
      <c r="L22" s="94"/>
      <c r="M22" s="95"/>
      <c r="N22" s="96"/>
      <c r="O22" s="96"/>
      <c r="P22" s="97"/>
      <c r="Q22" s="97"/>
      <c r="R22" s="95"/>
      <c r="S22" s="94"/>
      <c r="T22" s="96"/>
      <c r="U22" s="98"/>
    </row>
    <row r="23" spans="2:21" ht="24" customHeight="1" x14ac:dyDescent="0.25">
      <c r="B23" s="85" t="s">
        <v>401</v>
      </c>
      <c r="C23" s="86">
        <v>12</v>
      </c>
      <c r="D23" s="86" t="s">
        <v>387</v>
      </c>
      <c r="E23" s="85" t="s">
        <v>402</v>
      </c>
      <c r="F23" s="87">
        <v>20000000</v>
      </c>
      <c r="G23" s="87">
        <v>6998855</v>
      </c>
      <c r="H23" s="87"/>
      <c r="J23" s="94"/>
      <c r="K23" s="95"/>
      <c r="L23" s="94"/>
      <c r="M23" s="95"/>
      <c r="N23" s="96"/>
      <c r="O23" s="96"/>
      <c r="P23" s="97"/>
      <c r="Q23" s="97"/>
      <c r="R23" s="95"/>
      <c r="S23" s="94"/>
      <c r="T23" s="96"/>
      <c r="U23" s="98"/>
    </row>
    <row r="24" spans="2:21" ht="24" customHeight="1" x14ac:dyDescent="0.25">
      <c r="B24" s="85" t="s">
        <v>403</v>
      </c>
      <c r="C24" s="86">
        <v>13</v>
      </c>
      <c r="D24" s="86" t="s">
        <v>387</v>
      </c>
      <c r="E24" s="85" t="s">
        <v>404</v>
      </c>
      <c r="F24" s="87">
        <v>18000000</v>
      </c>
      <c r="G24" s="87">
        <v>-67569210</v>
      </c>
      <c r="H24" s="87"/>
      <c r="J24" s="94"/>
      <c r="K24" s="95"/>
      <c r="L24" s="94"/>
      <c r="M24" s="95"/>
      <c r="N24" s="96"/>
      <c r="O24" s="96"/>
      <c r="P24" s="97"/>
      <c r="Q24" s="97"/>
      <c r="R24" s="95"/>
      <c r="S24" s="94"/>
      <c r="T24" s="96"/>
      <c r="U24" s="98"/>
    </row>
    <row r="25" spans="2:21" ht="24" customHeight="1" x14ac:dyDescent="0.25">
      <c r="B25" s="85" t="s">
        <v>405</v>
      </c>
      <c r="C25" s="86">
        <v>14</v>
      </c>
      <c r="D25" s="86" t="s">
        <v>406</v>
      </c>
      <c r="E25" s="85" t="s">
        <v>383</v>
      </c>
      <c r="F25" s="87">
        <v>18000000</v>
      </c>
      <c r="G25" s="87">
        <v>15087630</v>
      </c>
      <c r="H25" s="87"/>
      <c r="J25" s="94"/>
      <c r="K25" s="95"/>
      <c r="L25" s="94"/>
      <c r="M25" s="95"/>
      <c r="N25" s="96"/>
      <c r="O25" s="96"/>
      <c r="P25" s="97"/>
      <c r="Q25" s="97"/>
      <c r="R25" s="95"/>
      <c r="S25" s="94"/>
      <c r="T25" s="96"/>
      <c r="U25" s="98"/>
    </row>
    <row r="26" spans="2:21" s="93" customFormat="1" ht="24" customHeight="1" x14ac:dyDescent="0.25">
      <c r="B26" s="85" t="s">
        <v>407</v>
      </c>
      <c r="C26" s="86">
        <v>15</v>
      </c>
      <c r="D26" s="86" t="s">
        <v>387</v>
      </c>
      <c r="E26" s="85" t="s">
        <v>408</v>
      </c>
      <c r="F26" s="87">
        <v>17000000</v>
      </c>
      <c r="G26" s="87">
        <v>40238117</v>
      </c>
      <c r="H26" s="87"/>
      <c r="I26" s="65"/>
      <c r="J26" s="94"/>
      <c r="K26" s="95"/>
      <c r="L26" s="94"/>
      <c r="M26" s="95"/>
      <c r="N26" s="96"/>
      <c r="O26" s="96"/>
      <c r="P26" s="97"/>
      <c r="Q26" s="97"/>
      <c r="R26" s="95"/>
      <c r="S26" s="94"/>
      <c r="T26" s="96"/>
      <c r="U26" s="98"/>
    </row>
  </sheetData>
  <mergeCells count="1">
    <mergeCell ref="B6:I6"/>
  </mergeCells>
  <conditionalFormatting sqref="T9:U10 U27:U65482">
    <cfRule type="cellIs" dxfId="103" priority="7" stopIfTrue="1" operator="equal">
      <formula>"VERDE"</formula>
    </cfRule>
    <cfRule type="cellIs" dxfId="102" priority="8" stopIfTrue="1" operator="equal">
      <formula>"AMARILLO"</formula>
    </cfRule>
    <cfRule type="cellIs" dxfId="101" priority="9" stopIfTrue="1" operator="equal">
      <formula>"ROJO"</formula>
    </cfRule>
  </conditionalFormatting>
  <conditionalFormatting sqref="J12:M26 R12:S26">
    <cfRule type="expression" dxfId="100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V25"/>
  <sheetViews>
    <sheetView showGridLines="0" topLeftCell="E10" zoomScaleNormal="100" workbookViewId="0">
      <selection activeCell="C13" sqref="C13"/>
    </sheetView>
  </sheetViews>
  <sheetFormatPr baseColWidth="10" defaultColWidth="0" defaultRowHeight="18" customHeight="1" x14ac:dyDescent="0.25"/>
  <cols>
    <col min="1" max="1" width="1.7109375" style="65" customWidth="1"/>
    <col min="2" max="2" width="24.7109375" style="65" customWidth="1"/>
    <col min="3" max="3" width="23.5703125" style="65" customWidth="1"/>
    <col min="4" max="4" width="26" style="65" customWidth="1"/>
    <col min="5" max="5" width="15.85546875" style="65" customWidth="1"/>
    <col min="6" max="6" width="15" style="65" customWidth="1"/>
    <col min="7" max="7" width="15.7109375" style="65" customWidth="1"/>
    <col min="8" max="8" width="21.28515625" style="65" customWidth="1"/>
    <col min="9" max="9" width="16.28515625" style="65" customWidth="1"/>
    <col min="10" max="10" width="9.7109375" style="65" customWidth="1"/>
    <col min="11" max="14" width="9.7109375" style="66" customWidth="1"/>
    <col min="15" max="16" width="9.7109375" style="67" customWidth="1"/>
    <col min="17" max="20" width="9.7109375" style="66" customWidth="1"/>
    <col min="21" max="21" width="9.7109375" style="67" customWidth="1"/>
    <col min="22" max="16381" width="9.7109375" style="65" customWidth="1"/>
    <col min="16382" max="16384" width="13.7109375" style="65" customWidth="1"/>
  </cols>
  <sheetData>
    <row r="1" spans="1:22" ht="34.5" customHeight="1" x14ac:dyDescent="0.5">
      <c r="A1" s="60" t="s">
        <v>212</v>
      </c>
      <c r="K1" s="65"/>
      <c r="O1" s="66"/>
      <c r="Q1" s="67"/>
      <c r="U1" s="66"/>
      <c r="V1" s="67"/>
    </row>
    <row r="2" spans="1:22" ht="18" customHeight="1" x14ac:dyDescent="0.3">
      <c r="A2" s="6" t="s">
        <v>438</v>
      </c>
      <c r="K2" s="65"/>
      <c r="O2" s="66"/>
      <c r="Q2" s="67"/>
      <c r="U2" s="66"/>
      <c r="V2" s="67"/>
    </row>
    <row r="3" spans="1:22" ht="18.75" x14ac:dyDescent="0.3">
      <c r="A3" s="6" t="s">
        <v>439</v>
      </c>
    </row>
    <row r="4" spans="1:22" ht="34.5" x14ac:dyDescent="0.35">
      <c r="B4" s="99" t="s">
        <v>409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34.5" x14ac:dyDescent="0.25">
      <c r="B5" s="69" t="s">
        <v>362</v>
      </c>
      <c r="C5" s="71"/>
      <c r="D5" s="71"/>
      <c r="E5" s="71"/>
      <c r="F5" s="71"/>
      <c r="G5" s="70"/>
      <c r="H5" s="70"/>
      <c r="I5" s="70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</row>
    <row r="6" spans="1:22" ht="12.75" x14ac:dyDescent="0.25"/>
    <row r="7" spans="1:22" ht="12.75" x14ac:dyDescent="0.25">
      <c r="B7" s="72"/>
      <c r="C7" s="72"/>
      <c r="D7" s="73"/>
      <c r="E7" s="100"/>
      <c r="F7" s="100"/>
      <c r="G7" s="74"/>
      <c r="H7" s="74"/>
      <c r="I7" s="74"/>
      <c r="J7" s="74"/>
      <c r="K7" s="73"/>
      <c r="L7" s="73"/>
      <c r="M7" s="73"/>
      <c r="N7" s="73"/>
      <c r="O7" s="73"/>
      <c r="P7" s="73"/>
      <c r="Q7" s="73"/>
      <c r="R7" s="73"/>
      <c r="S7" s="73"/>
      <c r="T7" s="73"/>
      <c r="U7" s="75"/>
      <c r="V7" s="76"/>
    </row>
    <row r="8" spans="1:22" ht="6" customHeight="1" x14ac:dyDescent="0.25">
      <c r="B8" s="72"/>
      <c r="C8" s="101"/>
      <c r="D8" s="79"/>
      <c r="E8" s="79"/>
      <c r="F8" s="79"/>
      <c r="G8" s="80"/>
      <c r="H8" s="80"/>
      <c r="I8" s="144"/>
      <c r="J8" s="74"/>
      <c r="K8" s="77"/>
      <c r="L8" s="79"/>
      <c r="M8" s="77"/>
      <c r="N8" s="79"/>
      <c r="O8" s="77"/>
      <c r="P8" s="79"/>
      <c r="Q8" s="77"/>
      <c r="R8" s="78"/>
      <c r="S8" s="78"/>
      <c r="T8" s="79"/>
      <c r="U8" s="81"/>
      <c r="V8" s="81"/>
    </row>
    <row r="9" spans="1:22" s="84" customFormat="1" ht="30" customHeight="1" x14ac:dyDescent="0.25">
      <c r="B9" s="82" t="s">
        <v>365</v>
      </c>
      <c r="C9" s="102" t="s">
        <v>410</v>
      </c>
      <c r="D9" s="83" t="s">
        <v>368</v>
      </c>
      <c r="E9" s="83" t="s">
        <v>411</v>
      </c>
      <c r="F9" s="83" t="s">
        <v>369</v>
      </c>
      <c r="G9" s="83" t="s">
        <v>412</v>
      </c>
      <c r="H9" s="82" t="s">
        <v>372</v>
      </c>
      <c r="I9" s="83" t="s">
        <v>450</v>
      </c>
      <c r="J9" s="83" t="s">
        <v>451</v>
      </c>
      <c r="K9" s="83" t="s">
        <v>455</v>
      </c>
      <c r="L9" s="83" t="s">
        <v>456</v>
      </c>
      <c r="M9" s="82" t="s">
        <v>263</v>
      </c>
      <c r="N9" s="82" t="s">
        <v>373</v>
      </c>
      <c r="O9" s="82" t="s">
        <v>374</v>
      </c>
      <c r="P9" s="82" t="s">
        <v>375</v>
      </c>
      <c r="Q9" s="82" t="s">
        <v>376</v>
      </c>
      <c r="R9" s="82" t="s">
        <v>377</v>
      </c>
      <c r="S9" s="82" t="s">
        <v>378</v>
      </c>
      <c r="T9" s="82" t="s">
        <v>379</v>
      </c>
      <c r="U9" s="82" t="s">
        <v>380</v>
      </c>
    </row>
    <row r="10" spans="1:22" s="93" customFormat="1" ht="24" customHeight="1" x14ac:dyDescent="0.25">
      <c r="B10" s="85" t="s">
        <v>413</v>
      </c>
      <c r="C10" s="85">
        <v>1</v>
      </c>
      <c r="D10" s="85" t="s">
        <v>402</v>
      </c>
      <c r="E10" s="87">
        <v>61126</v>
      </c>
      <c r="F10" s="87">
        <v>51900</v>
      </c>
      <c r="G10" s="87">
        <v>55060</v>
      </c>
      <c r="H10" s="85"/>
      <c r="I10" s="87">
        <f>AVERAGE(tbl_Rendimiento5[[#This Row],[Valor de mercado 2014 (mdd)]],tbl_Rendimiento5[[#This Row],[Valor de mercado 2015 (mdd)]],tbl_Rendimiento5[[#This Row],[Valor de mercado 2016 (mdd)]])</f>
        <v>56028.666666666664</v>
      </c>
      <c r="J10" s="152">
        <f>tbl_Rendimiento5[[#This Row],[Valor de mercado 2014 (mdd)]]/tbl_Rendimiento5[[#Totals],[Valor de mercado 2014 (mdd)]]</f>
        <v>0.32058530445271938</v>
      </c>
      <c r="K10" s="151">
        <f>tbl_Rendimiento5[[#This Row],[Valor de mercado 2015 (mdd)]]/tbl_Rendimiento5[[#Totals],[Valor de mercado 2015 (mdd)]]</f>
        <v>0.22892278377162417</v>
      </c>
      <c r="L10" s="151">
        <f>tbl_Rendimiento5[[#This Row],[Valor de mercado 2016 (mdd)]]/tbl_Rendimiento5[[#Totals],[Valor de mercado 2016 (mdd)]]</f>
        <v>0.25271603181670055</v>
      </c>
      <c r="M10" s="89"/>
      <c r="N10" s="90"/>
      <c r="O10" s="90"/>
      <c r="P10" s="91"/>
      <c r="Q10" s="91"/>
      <c r="R10" s="89"/>
      <c r="S10" s="88"/>
      <c r="T10" s="90"/>
      <c r="U10" s="92"/>
    </row>
    <row r="11" spans="1:22" s="93" customFormat="1" ht="24" customHeight="1" x14ac:dyDescent="0.25">
      <c r="B11" s="85" t="s">
        <v>414</v>
      </c>
      <c r="C11" s="85">
        <v>2</v>
      </c>
      <c r="D11" s="85" t="s">
        <v>415</v>
      </c>
      <c r="E11" s="87">
        <v>32126</v>
      </c>
      <c r="F11" s="87">
        <v>33600</v>
      </c>
      <c r="G11" s="87">
        <v>16502</v>
      </c>
      <c r="H11" s="65"/>
      <c r="I11" s="87">
        <f>AVERAGE(tbl_Rendimiento5[[#This Row],[Valor de mercado 2014 (mdd)]],tbl_Rendimiento5[[#This Row],[Valor de mercado 2015 (mdd)]],tbl_Rendimiento5[[#This Row],[Valor de mercado 2016 (mdd)]])</f>
        <v>27409.333333333332</v>
      </c>
      <c r="J11" s="153">
        <f>tbl_Rendimiento5[[#This Row],[Valor de mercado 2014 (mdd)]]/tbl_Rendimiento5[[#Totals],[Valor de mercado 2014 (mdd)]]</f>
        <v>0.16849006136256359</v>
      </c>
      <c r="K11" s="151">
        <f>tbl_Rendimiento5[[#This Row],[Valor de mercado 2015 (mdd)]]/tbl_Rendimiento5[[#Totals],[Valor de mercado 2015 (mdd)]]</f>
        <v>0.14820434556313242</v>
      </c>
      <c r="L11" s="151">
        <f>tbl_Rendimiento5[[#This Row],[Valor de mercado 2016 (mdd)]]/tbl_Rendimiento5[[#Totals],[Valor de mercado 2016 (mdd)]]</f>
        <v>7.5741372267330048E-2</v>
      </c>
      <c r="M11" s="95"/>
      <c r="N11" s="96"/>
      <c r="O11" s="96"/>
      <c r="P11" s="97"/>
      <c r="Q11" s="97"/>
      <c r="R11" s="95"/>
      <c r="S11" s="94"/>
      <c r="T11" s="96"/>
      <c r="U11" s="98"/>
    </row>
    <row r="12" spans="1:22" ht="24" customHeight="1" x14ac:dyDescent="0.25">
      <c r="B12" s="85" t="s">
        <v>416</v>
      </c>
      <c r="C12" s="85">
        <v>3</v>
      </c>
      <c r="D12" s="85" t="s">
        <v>383</v>
      </c>
      <c r="E12" s="87">
        <v>4326</v>
      </c>
      <c r="F12" s="87">
        <v>15200</v>
      </c>
      <c r="G12" s="87">
        <v>1380</v>
      </c>
      <c r="I12" s="87">
        <f>AVERAGE(tbl_Rendimiento5[[#This Row],[Valor de mercado 2014 (mdd)]],tbl_Rendimiento5[[#This Row],[Valor de mercado 2015 (mdd)]],tbl_Rendimiento5[[#This Row],[Valor de mercado 2016 (mdd)]])</f>
        <v>6968.666666666667</v>
      </c>
      <c r="J12" s="153">
        <f>tbl_Rendimiento5[[#This Row],[Valor de mercado 2014 (mdd)]]/tbl_Rendimiento5[[#Totals],[Valor de mercado 2014 (mdd)]]</f>
        <v>2.2688414538207375E-2</v>
      </c>
      <c r="K12" s="151">
        <f>tbl_Rendimiento5[[#This Row],[Valor de mercado 2015 (mdd)]]/tbl_Rendimiento5[[#Totals],[Valor de mercado 2015 (mdd)]]</f>
        <v>6.7044822992845615E-2</v>
      </c>
      <c r="L12" s="151">
        <f>tbl_Rendimiento5[[#This Row],[Valor de mercado 2016 (mdd)]]/tbl_Rendimiento5[[#Totals],[Valor de mercado 2016 (mdd)]]</f>
        <v>6.3339651999100395E-3</v>
      </c>
      <c r="M12" s="95"/>
      <c r="N12" s="96"/>
      <c r="O12" s="96"/>
      <c r="P12" s="97"/>
      <c r="Q12" s="97"/>
      <c r="R12" s="95"/>
      <c r="S12" s="94"/>
      <c r="T12" s="96"/>
      <c r="U12" s="98"/>
    </row>
    <row r="13" spans="1:22" ht="24" customHeight="1" x14ac:dyDescent="0.25">
      <c r="B13" s="85" t="s">
        <v>417</v>
      </c>
      <c r="C13" s="85">
        <v>4</v>
      </c>
      <c r="D13" s="85" t="s">
        <v>418</v>
      </c>
      <c r="E13" s="87">
        <v>11500</v>
      </c>
      <c r="F13" s="87">
        <v>18500</v>
      </c>
      <c r="G13" s="87">
        <v>27815</v>
      </c>
      <c r="I13" s="87">
        <f>AVERAGE(tbl_Rendimiento5[[#This Row],[Valor de mercado 2014 (mdd)]],tbl_Rendimiento5[[#This Row],[Valor de mercado 2015 (mdd)]],tbl_Rendimiento5[[#This Row],[Valor de mercado 2016 (mdd)]])</f>
        <v>19271.666666666668</v>
      </c>
      <c r="J13" s="153">
        <f>tbl_Rendimiento5[[#This Row],[Valor de mercado 2014 (mdd)]]/tbl_Rendimiento5[[#Totals],[Valor de mercado 2014 (mdd)]]</f>
        <v>6.0313630880579013E-2</v>
      </c>
      <c r="K13" s="151">
        <f>tbl_Rendimiento5[[#This Row],[Valor de mercado 2015 (mdd)]]/tbl_Rendimiento5[[#Totals],[Valor de mercado 2015 (mdd)]]</f>
        <v>8.1600606932081834E-2</v>
      </c>
      <c r="L13" s="151">
        <f>tbl_Rendimiento5[[#This Row],[Valor de mercado 2016 (mdd)]]/tbl_Rendimiento5[[#Totals],[Valor de mercado 2016 (mdd)]]</f>
        <v>0.12766611741702735</v>
      </c>
      <c r="M13" s="95"/>
      <c r="N13" s="96"/>
      <c r="O13" s="96"/>
      <c r="P13" s="97"/>
      <c r="Q13" s="97"/>
      <c r="R13" s="95"/>
      <c r="S13" s="94"/>
      <c r="T13" s="96"/>
      <c r="U13" s="98"/>
    </row>
    <row r="14" spans="1:22" ht="24" customHeight="1" x14ac:dyDescent="0.25">
      <c r="B14" s="85" t="s">
        <v>419</v>
      </c>
      <c r="C14" s="85">
        <v>5</v>
      </c>
      <c r="D14" s="85" t="s">
        <v>420</v>
      </c>
      <c r="E14" s="87">
        <v>16920</v>
      </c>
      <c r="F14" s="87">
        <v>15600</v>
      </c>
      <c r="G14" s="87">
        <v>-1446</v>
      </c>
      <c r="I14" s="87">
        <f>AVERAGE(tbl_Rendimiento5[[#This Row],[Valor de mercado 2014 (mdd)]],tbl_Rendimiento5[[#This Row],[Valor de mercado 2015 (mdd)]],tbl_Rendimiento5[[#This Row],[Valor de mercado 2016 (mdd)]])</f>
        <v>10358</v>
      </c>
      <c r="J14" s="153">
        <f>tbl_Rendimiento5[[#This Row],[Valor de mercado 2014 (mdd)]]/tbl_Rendimiento5[[#Totals],[Valor de mercado 2014 (mdd)]]</f>
        <v>8.8739707347773644E-2</v>
      </c>
      <c r="K14" s="151">
        <f>tbl_Rendimiento5[[#This Row],[Valor de mercado 2015 (mdd)]]/tbl_Rendimiento5[[#Totals],[Valor de mercado 2015 (mdd)]]</f>
        <v>6.880916044002576E-2</v>
      </c>
      <c r="L14" s="151">
        <f>tbl_Rendimiento5[[#This Row],[Valor de mercado 2016 (mdd)]]/tbl_Rendimiento5[[#Totals],[Valor de mercado 2016 (mdd)]]</f>
        <v>-6.6368939703405194E-3</v>
      </c>
      <c r="M14" s="95"/>
      <c r="N14" s="96"/>
      <c r="O14" s="96"/>
      <c r="P14" s="97"/>
      <c r="Q14" s="97"/>
      <c r="R14" s="95"/>
      <c r="S14" s="94"/>
      <c r="T14" s="96"/>
      <c r="U14" s="98"/>
    </row>
    <row r="15" spans="1:22" s="93" customFormat="1" ht="24" customHeight="1" x14ac:dyDescent="0.25">
      <c r="B15" s="85" t="s">
        <v>421</v>
      </c>
      <c r="C15" s="85">
        <v>6</v>
      </c>
      <c r="D15" s="85" t="s">
        <v>422</v>
      </c>
      <c r="E15" s="87">
        <v>21323</v>
      </c>
      <c r="F15" s="87">
        <v>10200</v>
      </c>
      <c r="G15" s="87">
        <v>26906</v>
      </c>
      <c r="H15" s="65"/>
      <c r="I15" s="87">
        <f>AVERAGE(tbl_Rendimiento5[[#This Row],[Valor de mercado 2014 (mdd)]],tbl_Rendimiento5[[#This Row],[Valor de mercado 2015 (mdd)]],tbl_Rendimiento5[[#This Row],[Valor de mercado 2016 (mdd)]])</f>
        <v>19476.333333333332</v>
      </c>
      <c r="J15" s="153">
        <f>tbl_Rendimiento5[[#This Row],[Valor de mercado 2014 (mdd)]]/tbl_Rendimiento5[[#Totals],[Valor de mercado 2014 (mdd)]]</f>
        <v>0.11183196097970315</v>
      </c>
      <c r="K15" s="151">
        <f>tbl_Rendimiento5[[#This Row],[Valor de mercado 2015 (mdd)]]/tbl_Rendimiento5[[#Totals],[Valor de mercado 2015 (mdd)]]</f>
        <v>4.4990604903093763E-2</v>
      </c>
      <c r="L15" s="151">
        <f>tbl_Rendimiento5[[#This Row],[Valor de mercado 2016 (mdd)]]/tbl_Rendimiento5[[#Totals],[Valor de mercado 2016 (mdd)]]</f>
        <v>0.12349396207882574</v>
      </c>
      <c r="M15" s="95"/>
      <c r="N15" s="96"/>
      <c r="O15" s="96"/>
      <c r="P15" s="97"/>
      <c r="Q15" s="97"/>
      <c r="R15" s="95"/>
      <c r="S15" s="94"/>
      <c r="T15" s="96"/>
      <c r="U15" s="98"/>
    </row>
    <row r="16" spans="1:22" ht="24" customHeight="1" x14ac:dyDescent="0.25">
      <c r="B16" s="85" t="s">
        <v>423</v>
      </c>
      <c r="C16" s="85">
        <v>7</v>
      </c>
      <c r="D16" s="85" t="s">
        <v>383</v>
      </c>
      <c r="E16" s="87">
        <v>-3316</v>
      </c>
      <c r="F16" s="87">
        <v>13300</v>
      </c>
      <c r="G16" s="87">
        <v>19794</v>
      </c>
      <c r="I16" s="87">
        <f>AVERAGE(tbl_Rendimiento5[[#This Row],[Valor de mercado 2014 (mdd)]],tbl_Rendimiento5[[#This Row],[Valor de mercado 2015 (mdd)]],tbl_Rendimiento5[[#This Row],[Valor de mercado 2016 (mdd)]])</f>
        <v>9926</v>
      </c>
      <c r="J16" s="153">
        <f>tbl_Rendimiento5[[#This Row],[Valor de mercado 2014 (mdd)]]/tbl_Rendimiento5[[#Totals],[Valor de mercado 2014 (mdd)]]</f>
        <v>-1.7391304347826087E-2</v>
      </c>
      <c r="K16" s="151">
        <f>tbl_Rendimiento5[[#This Row],[Valor de mercado 2015 (mdd)]]/tbl_Rendimiento5[[#Totals],[Valor de mercado 2015 (mdd)]]</f>
        <v>5.866422011873991E-2</v>
      </c>
      <c r="L16" s="151">
        <f>tbl_Rendimiento5[[#This Row],[Valor de mercado 2016 (mdd)]]/tbl_Rendimiento5[[#Totals],[Valor de mercado 2016 (mdd)]]</f>
        <v>9.0851092150013996E-2</v>
      </c>
      <c r="M16" s="95"/>
      <c r="N16" s="96"/>
      <c r="O16" s="96"/>
      <c r="P16" s="97"/>
      <c r="Q16" s="97"/>
      <c r="R16" s="95"/>
      <c r="S16" s="94"/>
      <c r="T16" s="96"/>
      <c r="U16" s="98"/>
    </row>
    <row r="17" spans="2:21" ht="24" customHeight="1" x14ac:dyDescent="0.25">
      <c r="B17" s="85" t="s">
        <v>424</v>
      </c>
      <c r="C17" s="85">
        <v>8</v>
      </c>
      <c r="D17" s="85" t="s">
        <v>425</v>
      </c>
      <c r="E17" s="87">
        <v>-5349</v>
      </c>
      <c r="F17" s="87">
        <v>13500</v>
      </c>
      <c r="G17" s="87">
        <v>9561</v>
      </c>
      <c r="I17" s="87">
        <f>AVERAGE(tbl_Rendimiento5[[#This Row],[Valor de mercado 2014 (mdd)]],tbl_Rendimiento5[[#This Row],[Valor de mercado 2015 (mdd)]],tbl_Rendimiento5[[#This Row],[Valor de mercado 2016 (mdd)]])</f>
        <v>5904</v>
      </c>
      <c r="J17" s="153">
        <f>tbl_Rendimiento5[[#This Row],[Valor de mercado 2014 (mdd)]]/tbl_Rendimiento5[[#Totals],[Valor de mercado 2014 (mdd)]]</f>
        <v>-2.8053705354801488E-2</v>
      </c>
      <c r="K17" s="151">
        <f>tbl_Rendimiento5[[#This Row],[Valor de mercado 2015 (mdd)]]/tbl_Rendimiento5[[#Totals],[Valor de mercado 2015 (mdd)]]</f>
        <v>5.9546388842329982E-2</v>
      </c>
      <c r="L17" s="151">
        <f>tbl_Rendimiento5[[#This Row],[Valor de mercado 2016 (mdd)]]/tbl_Rendimiento5[[#Totals],[Valor de mercado 2016 (mdd)]]</f>
        <v>4.3883363243724556E-2</v>
      </c>
      <c r="M17" s="95"/>
      <c r="N17" s="96"/>
      <c r="O17" s="96"/>
      <c r="P17" s="97"/>
      <c r="Q17" s="97"/>
      <c r="R17" s="95"/>
      <c r="S17" s="94"/>
      <c r="T17" s="96"/>
      <c r="U17" s="98"/>
    </row>
    <row r="18" spans="2:21" ht="24" customHeight="1" x14ac:dyDescent="0.25">
      <c r="B18" s="85" t="s">
        <v>426</v>
      </c>
      <c r="C18" s="85">
        <v>9</v>
      </c>
      <c r="D18" s="85" t="s">
        <v>427</v>
      </c>
      <c r="E18" s="87">
        <v>20766</v>
      </c>
      <c r="F18" s="87">
        <v>9400</v>
      </c>
      <c r="G18" s="87">
        <v>22628</v>
      </c>
      <c r="I18" s="87">
        <f>AVERAGE(tbl_Rendimiento5[[#This Row],[Valor de mercado 2014 (mdd)]],tbl_Rendimiento5[[#This Row],[Valor de mercado 2015 (mdd)]],tbl_Rendimiento5[[#This Row],[Valor de mercado 2016 (mdd)]])</f>
        <v>17598</v>
      </c>
      <c r="J18" s="153">
        <f>tbl_Rendimiento5[[#This Row],[Valor de mercado 2014 (mdd)]]/tbl_Rendimiento5[[#Totals],[Valor de mercado 2014 (mdd)]]</f>
        <v>0.1089106833796612</v>
      </c>
      <c r="K18" s="151">
        <f>tbl_Rendimiento5[[#This Row],[Valor de mercado 2015 (mdd)]]/tbl_Rendimiento5[[#Totals],[Valor de mercado 2015 (mdd)]]</f>
        <v>4.1461930008733473E-2</v>
      </c>
      <c r="L18" s="151">
        <f>tbl_Rendimiento5[[#This Row],[Valor de mercado 2016 (mdd)]]/tbl_Rendimiento5[[#Totals],[Valor de mercado 2016 (mdd)]]</f>
        <v>0.10385866995910462</v>
      </c>
      <c r="M18" s="95"/>
      <c r="N18" s="96"/>
      <c r="O18" s="96"/>
      <c r="P18" s="97"/>
      <c r="Q18" s="97"/>
      <c r="R18" s="95"/>
      <c r="S18" s="94"/>
      <c r="T18" s="96"/>
      <c r="U18" s="98"/>
    </row>
    <row r="19" spans="2:21" s="93" customFormat="1" ht="24" customHeight="1" x14ac:dyDescent="0.25">
      <c r="B19" s="85" t="s">
        <v>428</v>
      </c>
      <c r="C19" s="85">
        <v>10</v>
      </c>
      <c r="D19" s="85" t="s">
        <v>429</v>
      </c>
      <c r="E19" s="87">
        <v>33045</v>
      </c>
      <c r="F19" s="87">
        <v>15900</v>
      </c>
      <c r="G19" s="87">
        <v>9882</v>
      </c>
      <c r="H19" s="65"/>
      <c r="I19" s="87">
        <f>AVERAGE(tbl_Rendimiento5[[#This Row],[Valor de mercado 2014 (mdd)]],tbl_Rendimiento5[[#This Row],[Valor de mercado 2015 (mdd)]],tbl_Rendimiento5[[#This Row],[Valor de mercado 2016 (mdd)]])</f>
        <v>19609</v>
      </c>
      <c r="J19" s="153">
        <f>tbl_Rendimiento5[[#This Row],[Valor de mercado 2014 (mdd)]]/tbl_Rendimiento5[[#Totals],[Valor de mercado 2014 (mdd)]]</f>
        <v>0.17330990716945507</v>
      </c>
      <c r="K19" s="151">
        <f>tbl_Rendimiento5[[#This Row],[Valor de mercado 2015 (mdd)]]/tbl_Rendimiento5[[#Totals],[Valor de mercado 2015 (mdd)]]</f>
        <v>7.0132413525410872E-2</v>
      </c>
      <c r="L19" s="151">
        <f>tbl_Rendimiento5[[#This Row],[Valor de mercado 2016 (mdd)]]/tbl_Rendimiento5[[#Totals],[Valor de mercado 2016 (mdd)]]</f>
        <v>4.5356698627181891E-2</v>
      </c>
      <c r="M19" s="89"/>
      <c r="N19" s="90"/>
      <c r="O19" s="90"/>
      <c r="P19" s="91"/>
      <c r="Q19" s="91"/>
      <c r="R19" s="89"/>
      <c r="S19" s="88"/>
      <c r="T19" s="90"/>
      <c r="U19" s="92"/>
    </row>
    <row r="20" spans="2:21" s="93" customFormat="1" ht="24" customHeight="1" x14ac:dyDescent="0.25">
      <c r="B20" s="85" t="s">
        <v>430</v>
      </c>
      <c r="C20" s="85">
        <v>11</v>
      </c>
      <c r="D20" s="85" t="s">
        <v>415</v>
      </c>
      <c r="E20" s="87">
        <v>12059</v>
      </c>
      <c r="F20" s="87">
        <v>11300</v>
      </c>
      <c r="G20" s="87">
        <v>15480</v>
      </c>
      <c r="H20" s="65"/>
      <c r="I20" s="87">
        <f>AVERAGE(tbl_Rendimiento5[[#This Row],[Valor de mercado 2014 (mdd)]],tbl_Rendimiento5[[#This Row],[Valor de mercado 2015 (mdd)]],tbl_Rendimiento5[[#This Row],[Valor de mercado 2016 (mdd)]])</f>
        <v>12946.333333333334</v>
      </c>
      <c r="J20" s="153">
        <f>tbl_Rendimiento5[[#This Row],[Valor de mercado 2014 (mdd)]]/tbl_Rendimiento5[[#Totals],[Valor de mercado 2014 (mdd)]]</f>
        <v>6.3245397807730627E-2</v>
      </c>
      <c r="K20" s="151">
        <f>tbl_Rendimiento5[[#This Row],[Valor de mercado 2015 (mdd)]]/tbl_Rendimiento5[[#Totals],[Valor de mercado 2015 (mdd)]]</f>
        <v>4.9842532882839172E-2</v>
      </c>
      <c r="L20" s="151">
        <f>tbl_Rendimiento5[[#This Row],[Valor de mercado 2016 (mdd)]]/tbl_Rendimiento5[[#Totals],[Valor de mercado 2016 (mdd)]]</f>
        <v>7.1050566155512612E-2</v>
      </c>
      <c r="M20" s="95"/>
      <c r="N20" s="96"/>
      <c r="O20" s="96"/>
      <c r="P20" s="97"/>
      <c r="Q20" s="97"/>
      <c r="R20" s="95"/>
      <c r="S20" s="94"/>
      <c r="T20" s="96"/>
      <c r="U20" s="98"/>
    </row>
    <row r="21" spans="2:21" ht="24" customHeight="1" x14ac:dyDescent="0.25">
      <c r="B21" s="85" t="s">
        <v>431</v>
      </c>
      <c r="C21" s="85">
        <v>12</v>
      </c>
      <c r="D21" s="85" t="s">
        <v>427</v>
      </c>
      <c r="E21" s="87">
        <v>-5507</v>
      </c>
      <c r="F21" s="87">
        <v>10500</v>
      </c>
      <c r="G21" s="87">
        <v>19732</v>
      </c>
      <c r="I21" s="87">
        <f>AVERAGE(tbl_Rendimiento5[[#This Row],[Valor de mercado 2014 (mdd)]],tbl_Rendimiento5[[#This Row],[Valor de mercado 2015 (mdd)]],tbl_Rendimiento5[[#This Row],[Valor de mercado 2016 (mdd)]])</f>
        <v>8241.6666666666661</v>
      </c>
      <c r="J21" s="153">
        <f>tbl_Rendimiento5[[#This Row],[Valor de mercado 2014 (mdd)]]/tbl_Rendimiento5[[#Totals],[Valor de mercado 2014 (mdd)]]</f>
        <v>-2.8882362196465096E-2</v>
      </c>
      <c r="K21" s="151">
        <f>tbl_Rendimiento5[[#This Row],[Valor de mercado 2015 (mdd)]]/tbl_Rendimiento5[[#Totals],[Valor de mercado 2015 (mdd)]]</f>
        <v>4.6313857988478875E-2</v>
      </c>
      <c r="L21" s="151">
        <f>tbl_Rendimiento5[[#This Row],[Valor de mercado 2016 (mdd)]]/tbl_Rendimiento5[[#Totals],[Valor de mercado 2016 (mdd)]]</f>
        <v>9.0566522699003546E-2</v>
      </c>
      <c r="M21" s="95"/>
      <c r="N21" s="96"/>
      <c r="O21" s="96"/>
      <c r="P21" s="97"/>
      <c r="Q21" s="97"/>
      <c r="R21" s="95"/>
      <c r="S21" s="94"/>
      <c r="T21" s="96"/>
      <c r="U21" s="98"/>
    </row>
    <row r="22" spans="2:21" ht="24" customHeight="1" x14ac:dyDescent="0.25">
      <c r="B22" s="85" t="s">
        <v>432</v>
      </c>
      <c r="C22" s="85">
        <v>13</v>
      </c>
      <c r="D22" s="85" t="s">
        <v>404</v>
      </c>
      <c r="E22" s="87">
        <v>-1537</v>
      </c>
      <c r="F22" s="87">
        <v>237</v>
      </c>
      <c r="G22" s="87">
        <v>99</v>
      </c>
      <c r="I22" s="87">
        <f>AVERAGE(tbl_Rendimiento5[[#This Row],[Valor de mercado 2014 (mdd)]],tbl_Rendimiento5[[#This Row],[Valor de mercado 2015 (mdd)]],tbl_Rendimiento5[[#This Row],[Valor de mercado 2016 (mdd)]])</f>
        <v>-400.33333333333331</v>
      </c>
      <c r="J22" s="153">
        <f>tbl_Rendimiento5[[#This Row],[Valor de mercado 2014 (mdd)]]/tbl_Rendimiento5[[#Totals],[Valor de mercado 2014 (mdd)]]</f>
        <v>-8.0610478837782554E-3</v>
      </c>
      <c r="K22" s="151">
        <f>tbl_Rendimiento5[[#This Row],[Valor de mercado 2015 (mdd)]]/tbl_Rendimiento5[[#Totals],[Valor de mercado 2015 (mdd)]]</f>
        <v>1.0453699374542375E-3</v>
      </c>
      <c r="L22" s="151">
        <f>tbl_Rendimiento5[[#This Row],[Valor de mercado 2016 (mdd)]]/tbl_Rendimiento5[[#Totals],[Valor de mercado 2016 (mdd)]]</f>
        <v>4.543931556457202E-4</v>
      </c>
      <c r="M22" s="95"/>
      <c r="N22" s="96"/>
      <c r="O22" s="96"/>
      <c r="P22" s="97"/>
      <c r="Q22" s="97"/>
      <c r="R22" s="95"/>
      <c r="S22" s="94"/>
      <c r="T22" s="96"/>
      <c r="U22" s="98"/>
    </row>
    <row r="23" spans="2:21" ht="24" customHeight="1" x14ac:dyDescent="0.25">
      <c r="B23" s="85" t="s">
        <v>433</v>
      </c>
      <c r="C23" s="85">
        <v>14</v>
      </c>
      <c r="D23" s="85" t="s">
        <v>434</v>
      </c>
      <c r="E23" s="87">
        <v>-2107</v>
      </c>
      <c r="F23" s="87">
        <v>177</v>
      </c>
      <c r="G23" s="87">
        <v>-2263</v>
      </c>
      <c r="I23" s="87">
        <f>AVERAGE(tbl_Rendimiento5[[#This Row],[Valor de mercado 2014 (mdd)]],tbl_Rendimiento5[[#This Row],[Valor de mercado 2015 (mdd)]],tbl_Rendimiento5[[#This Row],[Valor de mercado 2016 (mdd)]])</f>
        <v>-1397.6666666666667</v>
      </c>
      <c r="J23" s="153">
        <f>tbl_Rendimiento5[[#This Row],[Valor de mercado 2014 (mdd)]]/tbl_Rendimiento5[[#Totals],[Valor de mercado 2014 (mdd)]]</f>
        <v>-1.1050506110033042E-2</v>
      </c>
      <c r="K23" s="151">
        <f>tbl_Rendimiento5[[#This Row],[Valor de mercado 2015 (mdd)]]/tbl_Rendimiento5[[#Totals],[Valor de mercado 2015 (mdd)]]</f>
        <v>7.8071932037721535E-4</v>
      </c>
      <c r="L23" s="151">
        <f>tbl_Rendimiento5[[#This Row],[Valor de mercado 2016 (mdd)]]/tbl_Rendimiento5[[#Totals],[Valor de mercado 2016 (mdd)]]</f>
        <v>-1.0386784961881463E-2</v>
      </c>
      <c r="M23" s="95"/>
      <c r="N23" s="96"/>
      <c r="O23" s="96"/>
      <c r="P23" s="97"/>
      <c r="Q23" s="97"/>
      <c r="R23" s="95"/>
      <c r="S23" s="94"/>
      <c r="T23" s="96"/>
      <c r="U23" s="98"/>
    </row>
    <row r="24" spans="2:21" s="93" customFormat="1" ht="24" customHeight="1" x14ac:dyDescent="0.25">
      <c r="B24" s="85" t="s">
        <v>435</v>
      </c>
      <c r="C24" s="85">
        <v>15</v>
      </c>
      <c r="D24" s="85" t="s">
        <v>436</v>
      </c>
      <c r="E24" s="87">
        <v>-4705</v>
      </c>
      <c r="F24" s="87">
        <v>7400</v>
      </c>
      <c r="G24" s="87">
        <v>-3257</v>
      </c>
      <c r="H24" s="65"/>
      <c r="I24" s="87">
        <f>AVERAGE(tbl_Rendimiento5[[#This Row],[Valor de mercado 2014 (mdd)]],tbl_Rendimiento5[[#This Row],[Valor de mercado 2015 (mdd)]],tbl_Rendimiento5[[#This Row],[Valor de mercado 2016 (mdd)]])</f>
        <v>-187.33333333333334</v>
      </c>
      <c r="J24" s="153">
        <f>tbl_Rendimiento5[[#This Row],[Valor de mercado 2014 (mdd)]]/tbl_Rendimiento5[[#Totals],[Valor de mercado 2014 (mdd)]]</f>
        <v>-2.4676142025489064E-2</v>
      </c>
      <c r="K24" s="95">
        <f>tbl_Rendimiento5[[#This Row],[Valor de mercado 2015 (mdd)]]/tbl_Rendimiento5[[#Totals],[Valor de mercado 2015 (mdd)]]</f>
        <v>3.2640242772832735E-2</v>
      </c>
      <c r="L24" s="94">
        <f>tbl_Rendimiento5[[#This Row],[Valor de mercado 2016 (mdd)]]/tbl_Rendimiento5[[#Totals],[Valor de mercado 2016 (mdd)]]</f>
        <v>-1.4949075837758695E-2</v>
      </c>
      <c r="M24" s="95"/>
      <c r="N24" s="96"/>
      <c r="O24" s="96"/>
      <c r="P24" s="97"/>
      <c r="Q24" s="97"/>
      <c r="R24" s="95"/>
      <c r="S24" s="94"/>
      <c r="T24" s="96"/>
      <c r="U24" s="98"/>
    </row>
    <row r="25" spans="2:21" ht="18" customHeight="1" x14ac:dyDescent="0.25">
      <c r="B25" s="150" t="s">
        <v>9</v>
      </c>
      <c r="C25" s="150"/>
      <c r="D25" s="150"/>
      <c r="E25" s="149">
        <f>SUBTOTAL(109,tbl_Rendimiento5[Valor de mercado 2014 (mdd)])</f>
        <v>190670</v>
      </c>
      <c r="F25" s="154">
        <f>SUBTOTAL(109,tbl_Rendimiento5[Valor de mercado 2015 (mdd)])</f>
        <v>226714</v>
      </c>
      <c r="G25" s="149">
        <f>SUBTOTAL(109,tbl_Rendimiento5[Valor de mercado 2016 (mdd)])</f>
        <v>217873</v>
      </c>
      <c r="H25"/>
      <c r="I25" s="145"/>
      <c r="J25" s="145"/>
      <c r="K25" s="146"/>
      <c r="L25" s="146"/>
      <c r="M25" s="146"/>
      <c r="N25" s="147"/>
      <c r="O25" s="147"/>
      <c r="P25" s="147"/>
      <c r="Q25" s="147"/>
      <c r="R25" s="146"/>
      <c r="S25" s="146"/>
      <c r="T25" s="147"/>
      <c r="U25" s="148">
        <f>SUBTOTAL(103,tbl_Rendimiento5[Columna12])</f>
        <v>0</v>
      </c>
    </row>
  </sheetData>
  <conditionalFormatting sqref="U7:V8 V26:V65481">
    <cfRule type="cellIs" dxfId="99" priority="7" stopIfTrue="1" operator="equal">
      <formula>"VERDE"</formula>
    </cfRule>
    <cfRule type="cellIs" dxfId="98" priority="8" stopIfTrue="1" operator="equal">
      <formula>"AMARILLO"</formula>
    </cfRule>
    <cfRule type="cellIs" dxfId="97" priority="9" stopIfTrue="1" operator="equal">
      <formula>"ROJO"</formula>
    </cfRule>
  </conditionalFormatting>
  <conditionalFormatting sqref="K24:M24 R10:S24 M10:M23">
    <cfRule type="expression" dxfId="96" priority="1">
      <formula>K10&lt;0</formula>
    </cfRule>
  </conditionalFormatting>
  <printOptions horizontalCentered="1"/>
  <pageMargins left="0.25" right="0.25" top="0.25" bottom="0.25" header="0.05" footer="0.05"/>
  <pageSetup scale="61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6"/>
  <sheetViews>
    <sheetView topLeftCell="E62" workbookViewId="0">
      <selection activeCell="G77" sqref="G77"/>
    </sheetView>
  </sheetViews>
  <sheetFormatPr baseColWidth="10" defaultRowHeight="15" x14ac:dyDescent="0.25"/>
  <cols>
    <col min="1" max="1" width="26.7109375" customWidth="1"/>
    <col min="2" max="2" width="14.42578125" customWidth="1"/>
    <col min="3" max="3" width="15.42578125" customWidth="1"/>
    <col min="4" max="4" width="14.42578125" customWidth="1"/>
    <col min="5" max="39" width="35.42578125" customWidth="1"/>
    <col min="40" max="45" width="35.42578125" bestFit="1" customWidth="1"/>
    <col min="46" max="48" width="40.42578125" bestFit="1" customWidth="1"/>
  </cols>
  <sheetData>
    <row r="3" spans="1:2" x14ac:dyDescent="0.25">
      <c r="A3" s="119" t="s">
        <v>368</v>
      </c>
      <c r="B3" t="s">
        <v>454</v>
      </c>
    </row>
    <row r="5" spans="1:2" x14ac:dyDescent="0.25">
      <c r="A5" s="119" t="s">
        <v>460</v>
      </c>
    </row>
    <row r="6" spans="1:2" x14ac:dyDescent="0.25">
      <c r="A6" s="155" t="s">
        <v>457</v>
      </c>
      <c r="B6" s="107">
        <v>190670</v>
      </c>
    </row>
    <row r="7" spans="1:2" x14ac:dyDescent="0.25">
      <c r="A7" s="156" t="s">
        <v>458</v>
      </c>
      <c r="B7" s="107">
        <v>226714</v>
      </c>
    </row>
    <row r="8" spans="1:2" x14ac:dyDescent="0.25">
      <c r="A8" s="157" t="s">
        <v>459</v>
      </c>
      <c r="B8" s="107">
        <v>217873</v>
      </c>
    </row>
    <row r="20" spans="1:2" x14ac:dyDescent="0.25">
      <c r="A20" s="119" t="s">
        <v>365</v>
      </c>
      <c r="B20" t="s">
        <v>454</v>
      </c>
    </row>
    <row r="22" spans="1:2" x14ac:dyDescent="0.25">
      <c r="A22" s="119" t="s">
        <v>460</v>
      </c>
    </row>
    <row r="23" spans="1:2" x14ac:dyDescent="0.25">
      <c r="A23" s="158" t="s">
        <v>457</v>
      </c>
      <c r="B23" s="107">
        <v>190670</v>
      </c>
    </row>
    <row r="24" spans="1:2" x14ac:dyDescent="0.25">
      <c r="A24" s="120" t="s">
        <v>458</v>
      </c>
      <c r="B24" s="107">
        <v>226714</v>
      </c>
    </row>
    <row r="25" spans="1:2" x14ac:dyDescent="0.25">
      <c r="A25" s="158" t="s">
        <v>459</v>
      </c>
      <c r="B25" s="107">
        <v>217873</v>
      </c>
    </row>
    <row r="41" spans="3:4" x14ac:dyDescent="0.25">
      <c r="C41" s="119" t="s">
        <v>442</v>
      </c>
      <c r="D41" s="107" t="s">
        <v>452</v>
      </c>
    </row>
    <row r="42" spans="3:4" x14ac:dyDescent="0.25">
      <c r="C42" s="120" t="s">
        <v>413</v>
      </c>
      <c r="D42" s="107">
        <v>56028.666666666664</v>
      </c>
    </row>
    <row r="43" spans="3:4" x14ac:dyDescent="0.25">
      <c r="C43" s="120" t="s">
        <v>430</v>
      </c>
      <c r="D43" s="107">
        <v>12946.333333333334</v>
      </c>
    </row>
    <row r="44" spans="3:4" x14ac:dyDescent="0.25">
      <c r="C44" s="120" t="s">
        <v>421</v>
      </c>
      <c r="D44" s="107">
        <v>19476.333333333332</v>
      </c>
    </row>
    <row r="45" spans="3:4" x14ac:dyDescent="0.25">
      <c r="C45" s="120" t="s">
        <v>453</v>
      </c>
      <c r="D45" s="107">
        <v>19609</v>
      </c>
    </row>
    <row r="46" spans="3:4" x14ac:dyDescent="0.25">
      <c r="C46" s="120" t="s">
        <v>414</v>
      </c>
      <c r="D46" s="107">
        <v>27409.333333333332</v>
      </c>
    </row>
    <row r="47" spans="3:4" x14ac:dyDescent="0.25">
      <c r="C47" s="120" t="s">
        <v>435</v>
      </c>
      <c r="D47" s="107">
        <v>-187.33333333333334</v>
      </c>
    </row>
    <row r="48" spans="3:4" x14ac:dyDescent="0.25">
      <c r="C48" s="120" t="s">
        <v>426</v>
      </c>
      <c r="D48" s="107">
        <v>17598</v>
      </c>
    </row>
    <row r="49" spans="1:4" x14ac:dyDescent="0.25">
      <c r="C49" s="120" t="s">
        <v>424</v>
      </c>
      <c r="D49" s="107">
        <v>5904</v>
      </c>
    </row>
    <row r="50" spans="1:4" x14ac:dyDescent="0.25">
      <c r="C50" s="120" t="s">
        <v>431</v>
      </c>
      <c r="D50" s="107">
        <v>8241.6666666666661</v>
      </c>
    </row>
    <row r="51" spans="1:4" x14ac:dyDescent="0.25">
      <c r="C51" s="120" t="s">
        <v>416</v>
      </c>
      <c r="D51" s="107">
        <v>6968.666666666667</v>
      </c>
    </row>
    <row r="52" spans="1:4" x14ac:dyDescent="0.25">
      <c r="C52" s="120" t="s">
        <v>417</v>
      </c>
      <c r="D52" s="107">
        <v>19271.666666666668</v>
      </c>
    </row>
    <row r="53" spans="1:4" x14ac:dyDescent="0.25">
      <c r="C53" s="120" t="s">
        <v>432</v>
      </c>
      <c r="D53" s="107">
        <v>-400.33333333333331</v>
      </c>
    </row>
    <row r="54" spans="1:4" x14ac:dyDescent="0.25">
      <c r="A54" s="119" t="s">
        <v>411</v>
      </c>
      <c r="B54" t="s">
        <v>454</v>
      </c>
      <c r="C54" s="120" t="s">
        <v>433</v>
      </c>
      <c r="D54" s="107">
        <v>-1397.6666666666667</v>
      </c>
    </row>
    <row r="55" spans="1:4" x14ac:dyDescent="0.25">
      <c r="A55" s="119" t="s">
        <v>369</v>
      </c>
      <c r="B55" t="s">
        <v>454</v>
      </c>
      <c r="C55" s="120" t="s">
        <v>423</v>
      </c>
      <c r="D55" s="107">
        <v>9926</v>
      </c>
    </row>
    <row r="56" spans="1:4" x14ac:dyDescent="0.25">
      <c r="A56" s="119" t="s">
        <v>412</v>
      </c>
      <c r="B56" t="s">
        <v>454</v>
      </c>
      <c r="C56" s="120" t="s">
        <v>419</v>
      </c>
      <c r="D56" s="107">
        <v>10358</v>
      </c>
    </row>
    <row r="57" spans="1:4" x14ac:dyDescent="0.25">
      <c r="C57" s="120" t="s">
        <v>443</v>
      </c>
      <c r="D57" s="107">
        <v>211752.33333333328</v>
      </c>
    </row>
    <row r="58" spans="1:4" x14ac:dyDescent="0.25">
      <c r="A58" s="119" t="s">
        <v>442</v>
      </c>
      <c r="B58" s="107" t="s">
        <v>457</v>
      </c>
      <c r="C58" s="107" t="s">
        <v>458</v>
      </c>
      <c r="D58" s="107" t="s">
        <v>459</v>
      </c>
    </row>
    <row r="59" spans="1:4" x14ac:dyDescent="0.25">
      <c r="A59" s="120" t="s">
        <v>425</v>
      </c>
      <c r="B59" s="107">
        <v>-5349</v>
      </c>
      <c r="C59" s="107">
        <v>13500</v>
      </c>
      <c r="D59" s="107">
        <v>9561</v>
      </c>
    </row>
    <row r="60" spans="1:4" x14ac:dyDescent="0.25">
      <c r="A60" s="120" t="s">
        <v>383</v>
      </c>
      <c r="B60" s="107">
        <v>1010</v>
      </c>
      <c r="C60" s="107">
        <v>28500</v>
      </c>
      <c r="D60" s="107">
        <v>21174</v>
      </c>
    </row>
    <row r="61" spans="1:4" x14ac:dyDescent="0.25">
      <c r="A61" s="120" t="s">
        <v>415</v>
      </c>
      <c r="B61" s="107">
        <v>44185</v>
      </c>
      <c r="C61" s="107">
        <v>44900</v>
      </c>
      <c r="D61" s="107">
        <v>31982</v>
      </c>
    </row>
    <row r="62" spans="1:4" x14ac:dyDescent="0.25">
      <c r="A62" s="120" t="s">
        <v>404</v>
      </c>
      <c r="B62" s="107">
        <v>-1537</v>
      </c>
      <c r="C62" s="107">
        <v>237</v>
      </c>
      <c r="D62" s="107">
        <v>99</v>
      </c>
    </row>
    <row r="63" spans="1:4" x14ac:dyDescent="0.25">
      <c r="A63" s="120" t="s">
        <v>427</v>
      </c>
      <c r="B63" s="107">
        <v>15259</v>
      </c>
      <c r="C63" s="107">
        <v>19900</v>
      </c>
      <c r="D63" s="107">
        <v>42360</v>
      </c>
    </row>
    <row r="64" spans="1:4" x14ac:dyDescent="0.25">
      <c r="A64" s="120" t="s">
        <v>434</v>
      </c>
      <c r="B64" s="107">
        <v>-2107</v>
      </c>
      <c r="C64" s="107">
        <v>177</v>
      </c>
      <c r="D64" s="107">
        <v>-2263</v>
      </c>
    </row>
    <row r="65" spans="1:4" x14ac:dyDescent="0.25">
      <c r="A65" s="120" t="s">
        <v>436</v>
      </c>
      <c r="B65" s="107">
        <v>-4705</v>
      </c>
      <c r="C65" s="107">
        <v>7400</v>
      </c>
      <c r="D65" s="107">
        <v>-3257</v>
      </c>
    </row>
    <row r="66" spans="1:4" x14ac:dyDescent="0.25">
      <c r="A66" s="120" t="s">
        <v>422</v>
      </c>
      <c r="B66" s="107">
        <v>21323</v>
      </c>
      <c r="C66" s="107">
        <v>10200</v>
      </c>
      <c r="D66" s="107">
        <v>26906</v>
      </c>
    </row>
    <row r="67" spans="1:4" x14ac:dyDescent="0.25">
      <c r="A67" s="120" t="s">
        <v>420</v>
      </c>
      <c r="B67" s="107">
        <v>16920</v>
      </c>
      <c r="C67" s="107">
        <v>15600</v>
      </c>
      <c r="D67" s="107">
        <v>-1446</v>
      </c>
    </row>
    <row r="68" spans="1:4" x14ac:dyDescent="0.25">
      <c r="A68" s="120" t="s">
        <v>418</v>
      </c>
      <c r="B68" s="107">
        <v>11500</v>
      </c>
      <c r="C68" s="107">
        <v>18500</v>
      </c>
      <c r="D68" s="107">
        <v>27815</v>
      </c>
    </row>
    <row r="69" spans="1:4" x14ac:dyDescent="0.25">
      <c r="A69" s="120" t="s">
        <v>402</v>
      </c>
      <c r="B69" s="107">
        <v>61126</v>
      </c>
      <c r="C69" s="107">
        <v>51900</v>
      </c>
      <c r="D69" s="107">
        <v>55060</v>
      </c>
    </row>
    <row r="70" spans="1:4" x14ac:dyDescent="0.25">
      <c r="A70" s="120" t="s">
        <v>429</v>
      </c>
      <c r="B70" s="107">
        <v>33045</v>
      </c>
      <c r="C70" s="107">
        <v>15900</v>
      </c>
      <c r="D70" s="107">
        <v>9882</v>
      </c>
    </row>
    <row r="71" spans="1:4" x14ac:dyDescent="0.25">
      <c r="A71" s="120" t="s">
        <v>443</v>
      </c>
      <c r="B71" s="107">
        <v>190670</v>
      </c>
      <c r="C71" s="107">
        <v>226714</v>
      </c>
      <c r="D71" s="107">
        <v>217873</v>
      </c>
    </row>
    <row r="73" spans="1:4" x14ac:dyDescent="0.25">
      <c r="A73" s="119" t="s">
        <v>442</v>
      </c>
      <c r="B73" s="159" t="s">
        <v>457</v>
      </c>
      <c r="C73" s="159" t="s">
        <v>461</v>
      </c>
      <c r="D73" s="159" t="s">
        <v>459</v>
      </c>
    </row>
    <row r="74" spans="1:4" x14ac:dyDescent="0.25">
      <c r="A74" s="120" t="s">
        <v>425</v>
      </c>
      <c r="B74" s="159">
        <v>-2.8053705354801488E-2</v>
      </c>
      <c r="C74" s="159">
        <v>5.9546388842329982E-2</v>
      </c>
      <c r="D74" s="159">
        <v>4.3883363243724556E-2</v>
      </c>
    </row>
    <row r="75" spans="1:4" x14ac:dyDescent="0.25">
      <c r="A75" s="120" t="s">
        <v>383</v>
      </c>
      <c r="B75" s="159">
        <v>5.2971101903812878E-3</v>
      </c>
      <c r="C75" s="159">
        <v>0.12570904311158554</v>
      </c>
      <c r="D75" s="159">
        <v>9.7185057349924039E-2</v>
      </c>
    </row>
    <row r="76" spans="1:4" x14ac:dyDescent="0.25">
      <c r="A76" s="120" t="s">
        <v>415</v>
      </c>
      <c r="B76" s="159">
        <v>0.2317354591702942</v>
      </c>
      <c r="C76" s="159">
        <v>0.19804687844597157</v>
      </c>
      <c r="D76" s="159">
        <v>0.14679193842284266</v>
      </c>
    </row>
    <row r="77" spans="1:4" x14ac:dyDescent="0.25">
      <c r="A77" s="120" t="s">
        <v>404</v>
      </c>
      <c r="B77" s="159">
        <v>-8.0610478837782554E-3</v>
      </c>
      <c r="C77" s="159">
        <v>1.0453699374542375E-3</v>
      </c>
      <c r="D77" s="159">
        <v>4.543931556457202E-4</v>
      </c>
    </row>
    <row r="78" spans="1:4" x14ac:dyDescent="0.25">
      <c r="A78" s="120" t="s">
        <v>427</v>
      </c>
      <c r="B78" s="159">
        <v>8.0028321183196111E-2</v>
      </c>
      <c r="C78" s="159">
        <v>8.7775787997212348E-2</v>
      </c>
      <c r="D78" s="159">
        <v>0.19442519265810815</v>
      </c>
    </row>
    <row r="79" spans="1:4" x14ac:dyDescent="0.25">
      <c r="A79" s="120" t="s">
        <v>434</v>
      </c>
      <c r="B79" s="159">
        <v>-1.1050506110033042E-2</v>
      </c>
      <c r="C79" s="159">
        <v>7.8071932037721535E-4</v>
      </c>
      <c r="D79" s="159">
        <v>-1.0386784961881463E-2</v>
      </c>
    </row>
    <row r="80" spans="1:4" x14ac:dyDescent="0.25">
      <c r="A80" s="120" t="s">
        <v>436</v>
      </c>
      <c r="B80" s="159">
        <v>-2.4676142025489064E-2</v>
      </c>
      <c r="C80" s="159">
        <v>3.2640242772832735E-2</v>
      </c>
      <c r="D80" s="159">
        <v>-1.4949075837758695E-2</v>
      </c>
    </row>
    <row r="81" spans="1:4" x14ac:dyDescent="0.25">
      <c r="A81" s="120" t="s">
        <v>422</v>
      </c>
      <c r="B81" s="159">
        <v>0.11183196097970315</v>
      </c>
      <c r="C81" s="159">
        <v>4.4990604903093763E-2</v>
      </c>
      <c r="D81" s="159">
        <v>0.12349396207882574</v>
      </c>
    </row>
    <row r="82" spans="1:4" x14ac:dyDescent="0.25">
      <c r="A82" s="120" t="s">
        <v>420</v>
      </c>
      <c r="B82" s="159">
        <v>8.8739707347773644E-2</v>
      </c>
      <c r="C82" s="159">
        <v>6.880916044002576E-2</v>
      </c>
      <c r="D82" s="159">
        <v>-6.6368939703405194E-3</v>
      </c>
    </row>
    <row r="83" spans="1:4" x14ac:dyDescent="0.25">
      <c r="A83" s="120" t="s">
        <v>418</v>
      </c>
      <c r="B83" s="159">
        <v>6.0313630880579013E-2</v>
      </c>
      <c r="C83" s="159">
        <v>8.1600606932081834E-2</v>
      </c>
      <c r="D83" s="159">
        <v>0.12766611741702735</v>
      </c>
    </row>
    <row r="84" spans="1:4" x14ac:dyDescent="0.25">
      <c r="A84" s="120" t="s">
        <v>402</v>
      </c>
      <c r="B84" s="159">
        <v>0.32058530445271938</v>
      </c>
      <c r="C84" s="159">
        <v>0.22892278377162417</v>
      </c>
      <c r="D84" s="159">
        <v>0.25271603181670055</v>
      </c>
    </row>
    <row r="85" spans="1:4" x14ac:dyDescent="0.25">
      <c r="A85" s="120" t="s">
        <v>429</v>
      </c>
      <c r="B85" s="159">
        <v>0.17330990716945507</v>
      </c>
      <c r="C85" s="159">
        <v>7.0132413525410872E-2</v>
      </c>
      <c r="D85" s="159">
        <v>4.5356698627181891E-2</v>
      </c>
    </row>
    <row r="86" spans="1:4" x14ac:dyDescent="0.25">
      <c r="A86" s="120" t="s">
        <v>443</v>
      </c>
      <c r="B86" s="159">
        <v>1</v>
      </c>
      <c r="C86" s="159">
        <v>1</v>
      </c>
      <c r="D86" s="159">
        <v>1</v>
      </c>
    </row>
  </sheetData>
  <pageMargins left="0.7" right="0.7" top="0.75" bottom="0.75" header="0.3" footer="0.3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N8" sqref="N8"/>
    </sheetView>
  </sheetViews>
  <sheetFormatPr baseColWidth="10" defaultRowHeight="15" x14ac:dyDescent="0.25"/>
  <sheetData/>
  <pageMargins left="0.7" right="0.7" top="0.75" bottom="0.75" header="0.3" footer="0.3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0" workbookViewId="0">
      <selection activeCell="I31" sqref="I31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62" t="s">
        <v>212</v>
      </c>
      <c r="B1" s="162"/>
      <c r="C1" s="162"/>
      <c r="D1" s="162"/>
      <c r="E1" s="162"/>
      <c r="F1" s="162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8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8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8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8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8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8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8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8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8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8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8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8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8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8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8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8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8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8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8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8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8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8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8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8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8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8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8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8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8">
        <v>6</v>
      </c>
      <c r="H35" t="s">
        <v>175</v>
      </c>
      <c r="I35" t="s">
        <v>140</v>
      </c>
      <c r="J35" t="s">
        <v>141</v>
      </c>
    </row>
    <row r="36" spans="1:10" x14ac:dyDescent="0.25">
      <c r="A36">
        <f>SUBTOTAL(103,Tabla1[Compañía])</f>
        <v>29</v>
      </c>
      <c r="B36">
        <f>SUBTOTAL(103,Tabla1[ID])</f>
        <v>29</v>
      </c>
      <c r="C36">
        <f>SUBTOTAL(103,Tabla1[Primer nombre])</f>
        <v>29</v>
      </c>
      <c r="D36">
        <f>SUBTOTAL(103,Tabla1[Apellido])</f>
        <v>29</v>
      </c>
      <c r="E36">
        <f>SUBTOTAL(103,Tabla1[Teléfono])</f>
        <v>29</v>
      </c>
      <c r="F36">
        <f>SUBTOTAL(103,Tabla1[Puesto])</f>
        <v>29</v>
      </c>
      <c r="G36" s="110">
        <f>SUBTOTAL(103,Tabla1[Compras realizadas])</f>
        <v>29</v>
      </c>
      <c r="H36">
        <f>SUBTOTAL(103,Tabla1[Dirección])</f>
        <v>29</v>
      </c>
      <c r="I36">
        <f>SUBTOTAL(103,Tabla1[Estado/Provincia])</f>
        <v>29</v>
      </c>
      <c r="J36">
        <f>SUBTOTAL(103,Tabla1[Ciudad])</f>
        <v>29</v>
      </c>
    </row>
    <row r="37" spans="1:10" x14ac:dyDescent="0.25">
      <c r="I37" s="109" t="s">
        <v>440</v>
      </c>
      <c r="J37" s="1">
        <f>SUM(Tabla1[#Totals])</f>
        <v>290</v>
      </c>
    </row>
    <row r="41" spans="1:10" ht="15.75" thickBot="1" x14ac:dyDescent="0.3">
      <c r="C41" s="163" t="s">
        <v>176</v>
      </c>
      <c r="D41" s="163"/>
    </row>
    <row r="42" spans="1:10" x14ac:dyDescent="0.25">
      <c r="C42" s="164" t="s">
        <v>177</v>
      </c>
      <c r="D42" s="165">
        <f>AVERAGE(Tabla1[Compras realizadas])</f>
        <v>8.931034482758621</v>
      </c>
    </row>
    <row r="43" spans="1:10" ht="15.75" thickBot="1" x14ac:dyDescent="0.3">
      <c r="C43" s="164"/>
      <c r="D43" s="166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9" sqref="I9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162" t="s">
        <v>212</v>
      </c>
      <c r="B1" s="162"/>
      <c r="C1" s="162"/>
      <c r="D1" s="162"/>
      <c r="E1" s="162"/>
      <c r="F1" s="162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  <row r="15" spans="1:6" x14ac:dyDescent="0.25">
      <c r="A15" t="s">
        <v>9</v>
      </c>
      <c r="B15">
        <f>SUBTOTAL(101,Tabla7[Pedidos])</f>
        <v>5.5</v>
      </c>
      <c r="C15"/>
      <c r="D15"/>
      <c r="E15">
        <f>SUBTOTAL(103,Tabla7[Puesto])</f>
        <v>10</v>
      </c>
    </row>
  </sheetData>
  <mergeCells count="1">
    <mergeCell ref="A1:F1"/>
  </mergeCells>
  <phoneticPr fontId="2" type="noConversion"/>
  <conditionalFormatting sqref="B5:B14">
    <cfRule type="cellIs" dxfId="106" priority="1" operator="greaterThan">
      <formula>$B$15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opLeftCell="A12" zoomScale="73" zoomScaleNormal="73" workbookViewId="0">
      <selection activeCell="N11" sqref="N11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62" t="s">
        <v>212</v>
      </c>
      <c r="C1" s="162"/>
      <c r="D1" s="162"/>
      <c r="E1" s="162"/>
      <c r="F1" s="162"/>
      <c r="G1" s="162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67"/>
      <c r="D6" s="167"/>
      <c r="E6" s="167"/>
      <c r="F6" s="167"/>
      <c r="G6" s="167"/>
      <c r="H6" s="167"/>
      <c r="I6" s="167"/>
      <c r="J6" s="167"/>
      <c r="K6" s="167"/>
    </row>
    <row r="7" spans="2:14" ht="31.5" customHeight="1" thickTop="1" x14ac:dyDescent="0.3">
      <c r="C7" s="168"/>
      <c r="D7" s="168"/>
      <c r="E7" s="168"/>
      <c r="F7" s="168"/>
      <c r="G7" s="168"/>
      <c r="H7" s="168"/>
      <c r="I7" s="168"/>
      <c r="J7" s="168"/>
      <c r="K7" s="168"/>
    </row>
    <row r="8" spans="2:14" ht="17.25" thickBot="1" x14ac:dyDescent="0.35">
      <c r="C8" s="111" t="s">
        <v>220</v>
      </c>
      <c r="D8" s="111" t="s">
        <v>221</v>
      </c>
      <c r="E8" s="111" t="s">
        <v>222</v>
      </c>
      <c r="F8" s="111" t="s">
        <v>223</v>
      </c>
      <c r="G8" s="111" t="s">
        <v>224</v>
      </c>
      <c r="H8" s="111" t="s">
        <v>225</v>
      </c>
      <c r="I8" s="111" t="s">
        <v>226</v>
      </c>
      <c r="J8" s="111" t="s">
        <v>227</v>
      </c>
      <c r="K8" s="111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9">
        <v>21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20" t="s">
        <v>234</v>
      </c>
      <c r="N12" s="21">
        <v>9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12"/>
      <c r="D38" s="113">
        <v>37998</v>
      </c>
      <c r="E38" s="112" t="s">
        <v>233</v>
      </c>
      <c r="F38" s="112" t="s">
        <v>230</v>
      </c>
      <c r="G38" s="112" t="s">
        <v>240</v>
      </c>
      <c r="H38" s="112">
        <v>201</v>
      </c>
      <c r="I38" s="114">
        <v>939072</v>
      </c>
      <c r="J38" s="113">
        <v>38203</v>
      </c>
      <c r="K38" s="112" t="s">
        <v>232</v>
      </c>
    </row>
    <row r="39" spans="3:11" x14ac:dyDescent="0.3">
      <c r="C39" s="112"/>
      <c r="D39" s="113"/>
      <c r="E39" s="112"/>
      <c r="F39" s="112"/>
      <c r="G39" s="112"/>
      <c r="H39" s="112"/>
      <c r="I39" s="114"/>
      <c r="J39" s="113"/>
      <c r="K39" s="112"/>
    </row>
    <row r="40" spans="3:11" x14ac:dyDescent="0.3">
      <c r="C40" t="s">
        <v>9</v>
      </c>
      <c r="D40" s="115"/>
      <c r="E40"/>
      <c r="F40">
        <f>SUBTOTAL(103,Tabla8[Operación])</f>
        <v>30</v>
      </c>
      <c r="G40"/>
      <c r="H40">
        <f>SUBTOTAL(109,Tabla8[Superficie])</f>
        <v>4778</v>
      </c>
      <c r="I40" s="116">
        <f>SUBTOTAL(109,Tabla8[Monto])</f>
        <v>35345796</v>
      </c>
      <c r="J40" s="115"/>
      <c r="K40">
        <f>SUBTOTAL(103,Tabla8[Vendedor])</f>
        <v>30</v>
      </c>
    </row>
  </sheetData>
  <mergeCells count="2">
    <mergeCell ref="C6:K7"/>
    <mergeCell ref="B1:G1"/>
  </mergeCells>
  <conditionalFormatting sqref="H9:H39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10" sqref="F10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16384" width="12.5703125" style="7"/>
  </cols>
  <sheetData>
    <row r="1" spans="1:10" ht="31.5" x14ac:dyDescent="0.5">
      <c r="A1" s="162" t="s">
        <v>212</v>
      </c>
      <c r="B1" s="162"/>
      <c r="C1" s="162"/>
      <c r="D1" s="162"/>
      <c r="E1" s="162"/>
      <c r="F1" s="162"/>
    </row>
    <row r="2" spans="1:10" ht="31.5" x14ac:dyDescent="0.5">
      <c r="A2" s="6" t="s">
        <v>257</v>
      </c>
      <c r="B2" s="5"/>
      <c r="C2" s="5"/>
      <c r="D2" s="5"/>
      <c r="E2" s="5"/>
      <c r="F2" s="5"/>
    </row>
    <row r="3" spans="1:10" ht="31.5" x14ac:dyDescent="0.5">
      <c r="A3" s="6" t="s">
        <v>258</v>
      </c>
      <c r="B3" s="5"/>
      <c r="C3" s="5"/>
      <c r="D3" s="5"/>
      <c r="E3" s="5"/>
      <c r="F3" s="5"/>
    </row>
    <row r="4" spans="1:10" ht="31.5" x14ac:dyDescent="0.5">
      <c r="A4" s="6" t="s">
        <v>259</v>
      </c>
      <c r="B4" s="5"/>
      <c r="C4" s="5"/>
      <c r="D4" s="5"/>
      <c r="E4" s="5"/>
      <c r="F4" s="5"/>
    </row>
    <row r="5" spans="1:10" ht="31.5" x14ac:dyDescent="0.5">
      <c r="A5" s="6"/>
      <c r="B5" s="5"/>
      <c r="C5" s="5"/>
      <c r="D5" s="5"/>
      <c r="E5" s="5"/>
      <c r="F5" s="5"/>
    </row>
    <row r="6" spans="1:10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7" t="s">
        <v>441</v>
      </c>
    </row>
    <row r="7" spans="1:10" x14ac:dyDescent="0.3">
      <c r="C7" s="7" t="s">
        <v>229</v>
      </c>
      <c r="D7" s="7" t="str">
        <f t="shared" ref="D7:D36" si="0">LEFT(C7,3)</f>
        <v>Est</v>
      </c>
      <c r="E7" s="7" t="s">
        <v>230</v>
      </c>
      <c r="F7" s="7" t="s">
        <v>231</v>
      </c>
      <c r="G7" s="117">
        <v>2133903</v>
      </c>
      <c r="H7" s="118">
        <f>Tabla5[[#This Row],[Monto]]/Tabla5[[#Totals],[Monto]]</f>
        <v>6.0372186836590125E-2</v>
      </c>
    </row>
    <row r="8" spans="1:10" x14ac:dyDescent="0.3">
      <c r="C8" s="7" t="s">
        <v>233</v>
      </c>
      <c r="D8" s="7" t="str">
        <f t="shared" si="0"/>
        <v>Loc</v>
      </c>
      <c r="E8" s="7" t="s">
        <v>234</v>
      </c>
      <c r="F8" s="7" t="s">
        <v>235</v>
      </c>
      <c r="G8" s="117">
        <v>1945424</v>
      </c>
      <c r="H8" s="118">
        <f>Tabla5[[#This Row],[Monto]]/Tabla5[[#Totals],[Monto]]</f>
        <v>5.5039756354617109E-2</v>
      </c>
    </row>
    <row r="9" spans="1:10" x14ac:dyDescent="0.3">
      <c r="C9" s="7" t="s">
        <v>236</v>
      </c>
      <c r="D9" s="7" t="str">
        <f t="shared" si="0"/>
        <v>Ofi</v>
      </c>
      <c r="E9" s="7" t="s">
        <v>230</v>
      </c>
      <c r="F9" s="7" t="s">
        <v>235</v>
      </c>
      <c r="G9" s="117">
        <v>712416</v>
      </c>
      <c r="H9" s="118">
        <f>Tabla5[[#This Row],[Monto]]/Tabla5[[#Totals],[Monto]]</f>
        <v>2.0155607756011492E-2</v>
      </c>
    </row>
    <row r="10" spans="1:10" x14ac:dyDescent="0.3">
      <c r="C10" s="7" t="s">
        <v>229</v>
      </c>
      <c r="D10" s="7" t="str">
        <f t="shared" si="0"/>
        <v>Est</v>
      </c>
      <c r="E10" s="7" t="s">
        <v>230</v>
      </c>
      <c r="F10" s="7" t="s">
        <v>235</v>
      </c>
      <c r="G10" s="117">
        <v>1815450</v>
      </c>
      <c r="H10" s="118">
        <f>Tabla5[[#This Row],[Monto]]/Tabla5[[#Totals],[Monto]]</f>
        <v>5.1362543935918152E-2</v>
      </c>
    </row>
    <row r="11" spans="1:10" x14ac:dyDescent="0.3">
      <c r="C11" s="7" t="s">
        <v>239</v>
      </c>
      <c r="D11" s="7" t="str">
        <f t="shared" si="0"/>
        <v>Sue</v>
      </c>
      <c r="E11" s="7" t="s">
        <v>234</v>
      </c>
      <c r="F11" s="7" t="s">
        <v>240</v>
      </c>
      <c r="G11" s="117">
        <v>1138024</v>
      </c>
      <c r="H11" s="118">
        <f>Tabla5[[#This Row],[Monto]]/Tabla5[[#Totals],[Monto]]</f>
        <v>3.2196870032294649E-2</v>
      </c>
    </row>
    <row r="12" spans="1:10" x14ac:dyDescent="0.3">
      <c r="C12" s="7" t="s">
        <v>242</v>
      </c>
      <c r="D12" s="7" t="str">
        <f t="shared" si="0"/>
        <v>Ind</v>
      </c>
      <c r="E12" s="7" t="s">
        <v>230</v>
      </c>
      <c r="F12" s="7" t="s">
        <v>235</v>
      </c>
      <c r="G12" s="117">
        <v>953156</v>
      </c>
      <c r="H12" s="118">
        <f>Tabla5[[#This Row],[Monto]]/Tabla5[[#Totals],[Monto]]</f>
        <v>2.6966601629229116E-2</v>
      </c>
      <c r="J12"/>
    </row>
    <row r="13" spans="1:10" x14ac:dyDescent="0.3">
      <c r="C13" s="7" t="s">
        <v>229</v>
      </c>
      <c r="D13" s="7" t="str">
        <f t="shared" si="0"/>
        <v>Est</v>
      </c>
      <c r="E13" s="7" t="s">
        <v>230</v>
      </c>
      <c r="F13" s="7" t="s">
        <v>240</v>
      </c>
      <c r="G13" s="117">
        <v>406686</v>
      </c>
      <c r="H13" s="118">
        <f>Tabla5[[#This Row],[Monto]]/Tabla5[[#Totals],[Monto]]</f>
        <v>1.150592279772112E-2</v>
      </c>
      <c r="J13"/>
    </row>
    <row r="14" spans="1:10" x14ac:dyDescent="0.3">
      <c r="C14" s="7" t="s">
        <v>236</v>
      </c>
      <c r="D14" s="7" t="str">
        <f t="shared" si="0"/>
        <v>Ofi</v>
      </c>
      <c r="E14" s="7" t="s">
        <v>234</v>
      </c>
      <c r="F14" s="7" t="s">
        <v>235</v>
      </c>
      <c r="G14" s="117">
        <v>2158475</v>
      </c>
      <c r="H14" s="118">
        <f>Tabla5[[#This Row],[Monto]]/Tabla5[[#Totals],[Monto]]</f>
        <v>6.106737559397446E-2</v>
      </c>
      <c r="J14"/>
    </row>
    <row r="15" spans="1:10" x14ac:dyDescent="0.3">
      <c r="C15" s="7" t="s">
        <v>243</v>
      </c>
      <c r="D15" s="7" t="str">
        <f t="shared" si="0"/>
        <v>Pis</v>
      </c>
      <c r="E15" s="7" t="s">
        <v>230</v>
      </c>
      <c r="F15" s="7" t="s">
        <v>231</v>
      </c>
      <c r="G15" s="117">
        <v>1024380</v>
      </c>
      <c r="H15" s="118">
        <f>Tabla5[[#This Row],[Monto]]/Tabla5[[#Totals],[Monto]]</f>
        <v>2.8981664467253757E-2</v>
      </c>
      <c r="J15"/>
    </row>
    <row r="16" spans="1:10" x14ac:dyDescent="0.3">
      <c r="C16" s="7" t="s">
        <v>229</v>
      </c>
      <c r="D16" s="7" t="str">
        <f t="shared" si="0"/>
        <v>Est</v>
      </c>
      <c r="E16" s="7" t="s">
        <v>234</v>
      </c>
      <c r="F16" s="7" t="s">
        <v>231</v>
      </c>
      <c r="G16" s="117">
        <v>2042768</v>
      </c>
      <c r="H16" s="118">
        <f>Tabla5[[#This Row],[Monto]]/Tabla5[[#Totals],[Monto]]</f>
        <v>5.7793803823232612E-2</v>
      </c>
      <c r="J16"/>
    </row>
    <row r="17" spans="3:10" x14ac:dyDescent="0.3">
      <c r="C17" s="7" t="s">
        <v>236</v>
      </c>
      <c r="D17" s="7" t="str">
        <f t="shared" si="0"/>
        <v>Ofi</v>
      </c>
      <c r="E17" s="7" t="s">
        <v>230</v>
      </c>
      <c r="F17" s="7" t="s">
        <v>235</v>
      </c>
      <c r="G17" s="117">
        <v>627068</v>
      </c>
      <c r="H17" s="118">
        <f>Tabla5[[#This Row],[Monto]]/Tabla5[[#Totals],[Monto]]</f>
        <v>1.7740950012838867E-2</v>
      </c>
      <c r="J17"/>
    </row>
    <row r="18" spans="3:10" x14ac:dyDescent="0.3">
      <c r="C18" s="7" t="s">
        <v>242</v>
      </c>
      <c r="D18" s="7" t="str">
        <f t="shared" si="0"/>
        <v>Ind</v>
      </c>
      <c r="E18" s="7" t="s">
        <v>234</v>
      </c>
      <c r="F18" s="7" t="s">
        <v>235</v>
      </c>
      <c r="G18" s="117">
        <v>999328</v>
      </c>
      <c r="H18" s="118">
        <f>Tabla5[[#This Row],[Monto]]/Tabla5[[#Totals],[Monto]]</f>
        <v>2.8272895594146471E-2</v>
      </c>
      <c r="J18"/>
    </row>
    <row r="19" spans="3:10" x14ac:dyDescent="0.3">
      <c r="C19" s="7" t="s">
        <v>229</v>
      </c>
      <c r="D19" s="7" t="str">
        <f t="shared" si="0"/>
        <v>Est</v>
      </c>
      <c r="E19" s="7" t="s">
        <v>234</v>
      </c>
      <c r="F19" s="7" t="s">
        <v>244</v>
      </c>
      <c r="G19" s="117">
        <v>2937300</v>
      </c>
      <c r="H19" s="118">
        <f>Tabla5[[#This Row],[Monto]]/Tabla5[[#Totals],[Monto]]</f>
        <v>8.310182065216469E-2</v>
      </c>
    </row>
    <row r="20" spans="3:10" x14ac:dyDescent="0.3">
      <c r="C20" s="7" t="s">
        <v>233</v>
      </c>
      <c r="D20" s="7" t="str">
        <f t="shared" si="0"/>
        <v>Loc</v>
      </c>
      <c r="E20" s="7" t="s">
        <v>234</v>
      </c>
      <c r="F20" s="7" t="s">
        <v>240</v>
      </c>
      <c r="G20" s="117">
        <v>664700</v>
      </c>
      <c r="H20" s="118">
        <f>Tabla5[[#This Row],[Monto]]/Tabla5[[#Totals],[Monto]]</f>
        <v>1.880563108551863E-2</v>
      </c>
    </row>
    <row r="21" spans="3:10" x14ac:dyDescent="0.3">
      <c r="C21" s="7" t="s">
        <v>242</v>
      </c>
      <c r="D21" s="7" t="str">
        <f t="shared" si="0"/>
        <v>Ind</v>
      </c>
      <c r="E21" s="7" t="s">
        <v>230</v>
      </c>
      <c r="F21" s="7" t="s">
        <v>235</v>
      </c>
      <c r="G21" s="117">
        <v>820336</v>
      </c>
      <c r="H21" s="118">
        <f>Tabla5[[#This Row],[Monto]]/Tabla5[[#Totals],[Monto]]</f>
        <v>2.3208870441056129E-2</v>
      </c>
    </row>
    <row r="22" spans="3:10" x14ac:dyDescent="0.3">
      <c r="C22" s="7" t="s">
        <v>245</v>
      </c>
      <c r="D22" s="7" t="str">
        <f t="shared" si="0"/>
        <v>Cas</v>
      </c>
      <c r="E22" s="7" t="s">
        <v>230</v>
      </c>
      <c r="F22" s="7" t="s">
        <v>235</v>
      </c>
      <c r="G22" s="117">
        <v>937960</v>
      </c>
      <c r="H22" s="118">
        <f>Tabla5[[#This Row],[Monto]]/Tabla5[[#Totals],[Monto]]</f>
        <v>2.653667779896653E-2</v>
      </c>
    </row>
    <row r="23" spans="3:10" x14ac:dyDescent="0.3">
      <c r="C23" s="7" t="s">
        <v>245</v>
      </c>
      <c r="D23" s="7" t="str">
        <f t="shared" si="0"/>
        <v>Cas</v>
      </c>
      <c r="E23" s="7" t="s">
        <v>230</v>
      </c>
      <c r="F23" s="7" t="s">
        <v>240</v>
      </c>
      <c r="G23" s="117">
        <v>358846</v>
      </c>
      <c r="H23" s="118">
        <f>Tabla5[[#This Row],[Monto]]/Tabla5[[#Totals],[Monto]]</f>
        <v>1.0152437930666492E-2</v>
      </c>
    </row>
    <row r="24" spans="3:10" x14ac:dyDescent="0.3">
      <c r="C24" s="7" t="s">
        <v>239</v>
      </c>
      <c r="D24" s="7" t="str">
        <f t="shared" si="0"/>
        <v>Sue</v>
      </c>
      <c r="E24" s="7" t="s">
        <v>234</v>
      </c>
      <c r="F24" s="7" t="s">
        <v>244</v>
      </c>
      <c r="G24" s="117">
        <v>1679605</v>
      </c>
      <c r="H24" s="118">
        <f>Tabla5[[#This Row],[Monto]]/Tabla5[[#Totals],[Monto]]</f>
        <v>4.7519229726782783E-2</v>
      </c>
    </row>
    <row r="25" spans="3:10" x14ac:dyDescent="0.3">
      <c r="C25" s="7" t="s">
        <v>243</v>
      </c>
      <c r="D25" s="7" t="str">
        <f t="shared" si="0"/>
        <v>Pis</v>
      </c>
      <c r="E25" s="7" t="s">
        <v>230</v>
      </c>
      <c r="F25" s="7" t="s">
        <v>235</v>
      </c>
      <c r="G25" s="117">
        <v>472615</v>
      </c>
      <c r="H25" s="118">
        <f>Tabla5[[#This Row],[Monto]]/Tabla5[[#Totals],[Monto]]</f>
        <v>1.3371179984176902E-2</v>
      </c>
    </row>
    <row r="26" spans="3:10" x14ac:dyDescent="0.3">
      <c r="C26" s="7" t="s">
        <v>236</v>
      </c>
      <c r="D26" s="7" t="str">
        <f t="shared" si="0"/>
        <v>Ofi</v>
      </c>
      <c r="E26" s="7" t="s">
        <v>230</v>
      </c>
      <c r="F26" s="7" t="s">
        <v>244</v>
      </c>
      <c r="G26" s="117">
        <v>1169496</v>
      </c>
      <c r="H26" s="118">
        <f>Tabla5[[#This Row],[Monto]]/Tabla5[[#Totals],[Monto]]</f>
        <v>3.3087272953196474E-2</v>
      </c>
    </row>
    <row r="27" spans="3:10" x14ac:dyDescent="0.3">
      <c r="C27" s="7" t="s">
        <v>242</v>
      </c>
      <c r="D27" s="7" t="str">
        <f t="shared" si="0"/>
        <v>Ind</v>
      </c>
      <c r="E27" s="7" t="s">
        <v>234</v>
      </c>
      <c r="F27" s="7" t="s">
        <v>244</v>
      </c>
      <c r="G27" s="117">
        <v>2020992</v>
      </c>
      <c r="H27" s="118">
        <f>Tabla5[[#This Row],[Monto]]/Tabla5[[#Totals],[Monto]]</f>
        <v>5.7177719239934505E-2</v>
      </c>
    </row>
    <row r="28" spans="3:10" x14ac:dyDescent="0.3">
      <c r="C28" s="7" t="s">
        <v>236</v>
      </c>
      <c r="D28" s="7" t="str">
        <f t="shared" si="0"/>
        <v>Ofi</v>
      </c>
      <c r="E28" s="7" t="s">
        <v>230</v>
      </c>
      <c r="F28" s="7" t="s">
        <v>231</v>
      </c>
      <c r="G28" s="117">
        <v>727552</v>
      </c>
      <c r="H28" s="118">
        <f>Tabla5[[#This Row],[Monto]]/Tabla5[[#Totals],[Monto]]</f>
        <v>2.0583834071808711E-2</v>
      </c>
    </row>
    <row r="29" spans="3:10" x14ac:dyDescent="0.3">
      <c r="C29" s="7" t="s">
        <v>245</v>
      </c>
      <c r="D29" s="7" t="str">
        <f t="shared" si="0"/>
        <v>Cas</v>
      </c>
      <c r="E29" s="7" t="s">
        <v>230</v>
      </c>
      <c r="F29" s="7" t="s">
        <v>235</v>
      </c>
      <c r="G29" s="117">
        <v>1438929</v>
      </c>
      <c r="H29" s="118">
        <f>Tabla5[[#This Row],[Monto]]/Tabla5[[#Totals],[Monto]]</f>
        <v>4.0710046535661557E-2</v>
      </c>
    </row>
    <row r="30" spans="3:10" x14ac:dyDescent="0.3">
      <c r="C30" s="7" t="s">
        <v>236</v>
      </c>
      <c r="D30" s="7" t="str">
        <f t="shared" si="0"/>
        <v>Ofi</v>
      </c>
      <c r="E30" s="7" t="s">
        <v>230</v>
      </c>
      <c r="F30" s="7" t="s">
        <v>240</v>
      </c>
      <c r="G30" s="117">
        <v>427390</v>
      </c>
      <c r="H30" s="118">
        <f>Tabla5[[#This Row],[Monto]]/Tabla5[[#Totals],[Monto]]</f>
        <v>1.2091678455904628E-2</v>
      </c>
    </row>
    <row r="31" spans="3:10" x14ac:dyDescent="0.3">
      <c r="C31" s="7" t="s">
        <v>236</v>
      </c>
      <c r="D31" s="7" t="str">
        <f t="shared" si="0"/>
        <v>Ofi</v>
      </c>
      <c r="E31" s="7" t="s">
        <v>230</v>
      </c>
      <c r="F31" s="7" t="s">
        <v>244</v>
      </c>
      <c r="G31" s="117">
        <v>1170684</v>
      </c>
      <c r="H31" s="118">
        <f>Tabla5[[#This Row],[Monto]]/Tabla5[[#Totals],[Monto]]</f>
        <v>3.3120883739610786E-2</v>
      </c>
    </row>
    <row r="32" spans="3:10" x14ac:dyDescent="0.3">
      <c r="C32" s="7" t="s">
        <v>233</v>
      </c>
      <c r="D32" s="7" t="str">
        <f t="shared" si="0"/>
        <v>Loc</v>
      </c>
      <c r="E32" s="7" t="s">
        <v>230</v>
      </c>
      <c r="F32" s="7" t="s">
        <v>240</v>
      </c>
      <c r="G32" s="117">
        <v>549780</v>
      </c>
      <c r="H32" s="118">
        <f>Tabla5[[#This Row],[Monto]]/Tabla5[[#Totals],[Monto]]</f>
        <v>1.5554325046180881E-2</v>
      </c>
    </row>
    <row r="33" spans="3:8" x14ac:dyDescent="0.3">
      <c r="C33" s="7" t="s">
        <v>233</v>
      </c>
      <c r="D33" s="7" t="str">
        <f t="shared" si="0"/>
        <v>Loc</v>
      </c>
      <c r="E33" s="7" t="s">
        <v>230</v>
      </c>
      <c r="F33" s="7" t="s">
        <v>240</v>
      </c>
      <c r="G33" s="117">
        <v>659330</v>
      </c>
      <c r="H33" s="118">
        <f>Tabla5[[#This Row],[Monto]]/Tabla5[[#Totals],[Monto]]</f>
        <v>1.8653703540868056E-2</v>
      </c>
    </row>
    <row r="34" spans="3:8" x14ac:dyDescent="0.3">
      <c r="C34" s="7" t="s">
        <v>245</v>
      </c>
      <c r="D34" s="7" t="str">
        <f t="shared" si="0"/>
        <v>Cas</v>
      </c>
      <c r="E34" s="7" t="s">
        <v>230</v>
      </c>
      <c r="F34" s="7" t="s">
        <v>244</v>
      </c>
      <c r="G34" s="117">
        <v>1660560</v>
      </c>
      <c r="H34" s="118">
        <f>Tabla5[[#This Row],[Monto]]/Tabla5[[#Totals],[Monto]]</f>
        <v>4.6980410343566745E-2</v>
      </c>
    </row>
    <row r="35" spans="3:8" x14ac:dyDescent="0.3">
      <c r="C35" s="7" t="s">
        <v>245</v>
      </c>
      <c r="D35" s="7" t="str">
        <f t="shared" si="0"/>
        <v>Cas</v>
      </c>
      <c r="E35" s="7" t="s">
        <v>230</v>
      </c>
      <c r="F35" s="7" t="s">
        <v>240</v>
      </c>
      <c r="G35" s="117">
        <v>753571</v>
      </c>
      <c r="H35" s="118">
        <f>Tabla5[[#This Row],[Monto]]/Tabla5[[#Totals],[Monto]]</f>
        <v>2.1319961219716202E-2</v>
      </c>
    </row>
    <row r="36" spans="3:8" x14ac:dyDescent="0.3">
      <c r="C36" s="7" t="s">
        <v>233</v>
      </c>
      <c r="D36" s="7" t="str">
        <f t="shared" si="0"/>
        <v>Loc</v>
      </c>
      <c r="E36" s="7" t="s">
        <v>230</v>
      </c>
      <c r="F36" s="7" t="s">
        <v>240</v>
      </c>
      <c r="G36" s="117">
        <v>939072</v>
      </c>
      <c r="H36" s="118">
        <f>Tabla5[[#This Row],[Monto]]/Tabla5[[#Totals],[Monto]]</f>
        <v>2.6568138400391378E-2</v>
      </c>
    </row>
    <row r="37" spans="3:8" x14ac:dyDescent="0.3">
      <c r="C37" t="s">
        <v>9</v>
      </c>
      <c r="D37"/>
      <c r="E37"/>
      <c r="F37"/>
      <c r="G37" s="107">
        <f>SUBTOTAL(109,Tabla5[Monto])</f>
        <v>35345796</v>
      </c>
      <c r="H37" s="122">
        <f>SUBTOTAL(109,Tabla5[Porcentaje de venta])</f>
        <v>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9" sqref="G9"/>
    </sheetView>
  </sheetViews>
  <sheetFormatPr baseColWidth="10" defaultRowHeight="15" x14ac:dyDescent="0.25"/>
  <cols>
    <col min="1" max="1" width="17.5703125" bestFit="1" customWidth="1"/>
    <col min="2" max="2" width="27.140625" bestFit="1" customWidth="1"/>
  </cols>
  <sheetData>
    <row r="1" spans="1:2" x14ac:dyDescent="0.25">
      <c r="A1" s="119" t="s">
        <v>223</v>
      </c>
      <c r="B1" t="s">
        <v>230</v>
      </c>
    </row>
    <row r="3" spans="1:2" x14ac:dyDescent="0.25">
      <c r="A3" s="119" t="s">
        <v>442</v>
      </c>
      <c r="B3" t="s">
        <v>444</v>
      </c>
    </row>
    <row r="4" spans="1:2" x14ac:dyDescent="0.25">
      <c r="A4" s="120" t="s">
        <v>235</v>
      </c>
      <c r="B4" s="121">
        <v>0.22005247809385872</v>
      </c>
    </row>
    <row r="5" spans="1:2" x14ac:dyDescent="0.25">
      <c r="A5" s="120" t="s">
        <v>231</v>
      </c>
      <c r="B5" s="121">
        <v>0.10993768537565259</v>
      </c>
    </row>
    <row r="6" spans="1:2" x14ac:dyDescent="0.25">
      <c r="A6" s="120" t="s">
        <v>244</v>
      </c>
      <c r="B6" s="121">
        <v>0.113188567036374</v>
      </c>
    </row>
    <row r="7" spans="1:2" x14ac:dyDescent="0.25">
      <c r="A7" s="120" t="s">
        <v>240</v>
      </c>
      <c r="B7" s="121">
        <v>0.11584616739144876</v>
      </c>
    </row>
    <row r="8" spans="1:2" x14ac:dyDescent="0.25">
      <c r="A8" s="120" t="s">
        <v>443</v>
      </c>
      <c r="B8" s="121">
        <v>0.55902489789733401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9" workbookViewId="0">
      <selection activeCell="N6" sqref="N6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62" t="s">
        <v>212</v>
      </c>
      <c r="E1" s="162"/>
      <c r="F1" s="162"/>
      <c r="G1" s="162"/>
      <c r="H1" s="162"/>
      <c r="I1" s="162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D14" zoomScaleNormal="100" workbookViewId="0">
      <selection activeCell="G5" sqref="G5:G33"/>
    </sheetView>
  </sheetViews>
  <sheetFormatPr baseColWidth="10" defaultRowHeight="15" x14ac:dyDescent="0.25"/>
  <cols>
    <col min="1" max="2" width="2.5703125" style="22" customWidth="1"/>
    <col min="3" max="3" width="12.2851562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8.140625" style="27" customWidth="1"/>
    <col min="11" max="11" width="14.85546875" style="27" customWidth="1"/>
    <col min="12" max="12" width="14.28515625" style="1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62" t="s">
        <v>212</v>
      </c>
      <c r="E1" s="162"/>
      <c r="F1" s="162"/>
      <c r="G1" s="162"/>
      <c r="H1" s="162"/>
      <c r="I1" s="162"/>
      <c r="L1" s="11"/>
    </row>
    <row r="2" spans="3:12" s="7" customFormat="1" ht="31.5" x14ac:dyDescent="0.5">
      <c r="D2" s="6" t="s">
        <v>356</v>
      </c>
      <c r="E2" s="5"/>
      <c r="F2" s="5"/>
      <c r="G2" s="5"/>
      <c r="H2" s="5"/>
      <c r="I2" s="5"/>
      <c r="L2" s="11"/>
    </row>
    <row r="3" spans="3:12" ht="18.75" x14ac:dyDescent="0.3">
      <c r="D3" s="6" t="s">
        <v>357</v>
      </c>
    </row>
    <row r="4" spans="3:12" ht="15.75" customHeight="1" x14ac:dyDescent="0.25"/>
    <row r="5" spans="3:12" ht="28.5" customHeight="1" x14ac:dyDescent="0.25">
      <c r="C5" s="22" t="s">
        <v>260</v>
      </c>
      <c r="D5" s="23" t="s">
        <v>261</v>
      </c>
      <c r="E5" s="24" t="s">
        <v>262</v>
      </c>
      <c r="F5" s="25" t="s">
        <v>263</v>
      </c>
      <c r="G5" s="26" t="s">
        <v>373</v>
      </c>
      <c r="H5" s="26" t="s">
        <v>374</v>
      </c>
      <c r="I5" s="26" t="s">
        <v>375</v>
      </c>
      <c r="J5" s="28" t="s">
        <v>265</v>
      </c>
      <c r="K5" s="29" t="s">
        <v>448</v>
      </c>
      <c r="L5" s="29" t="s">
        <v>449</v>
      </c>
    </row>
    <row r="6" spans="3:12" s="33" customFormat="1" ht="32.25" customHeight="1" x14ac:dyDescent="0.2">
      <c r="C6" s="30" t="s">
        <v>266</v>
      </c>
      <c r="D6" s="31" t="s">
        <v>267</v>
      </c>
      <c r="E6" s="30" t="s">
        <v>268</v>
      </c>
      <c r="F6" s="31" t="s">
        <v>269</v>
      </c>
      <c r="G6" s="32" t="s">
        <v>226</v>
      </c>
      <c r="H6" s="31" t="s">
        <v>270</v>
      </c>
      <c r="I6" s="31" t="s">
        <v>271</v>
      </c>
      <c r="J6" s="124" t="s">
        <v>445</v>
      </c>
      <c r="K6" s="124" t="s">
        <v>446</v>
      </c>
      <c r="L6" s="128" t="s">
        <v>447</v>
      </c>
    </row>
    <row r="7" spans="3:12" ht="12.75" x14ac:dyDescent="0.2">
      <c r="C7" s="34">
        <v>10024</v>
      </c>
      <c r="D7" s="35">
        <v>11772</v>
      </c>
      <c r="E7" s="36">
        <v>42465</v>
      </c>
      <c r="F7" s="37" t="s">
        <v>272</v>
      </c>
      <c r="G7" s="38">
        <v>150</v>
      </c>
      <c r="H7" s="37" t="s">
        <v>273</v>
      </c>
      <c r="I7" s="37" t="s">
        <v>274</v>
      </c>
      <c r="J7" s="123">
        <f>Tabla9[[#This Row],[Columna3]]+30</f>
        <v>42495</v>
      </c>
      <c r="K7" s="123">
        <f>Tabla9[[#This Row],[Columna3]]+90</f>
        <v>42555</v>
      </c>
      <c r="L7" s="123">
        <f>Tabla9[[#This Row],[Columna3]]+120</f>
        <v>42585</v>
      </c>
    </row>
    <row r="8" spans="3:12" ht="12.75" x14ac:dyDescent="0.2">
      <c r="C8" s="39">
        <v>10014</v>
      </c>
      <c r="D8" s="40">
        <v>11773</v>
      </c>
      <c r="E8" s="41">
        <v>42465</v>
      </c>
      <c r="F8" s="42" t="s">
        <v>275</v>
      </c>
      <c r="G8" s="43">
        <v>550</v>
      </c>
      <c r="H8" s="42" t="s">
        <v>276</v>
      </c>
      <c r="I8" s="42" t="s">
        <v>277</v>
      </c>
      <c r="J8" s="125">
        <f>Tabla9[[#This Row],[Columna3]]+30</f>
        <v>42495</v>
      </c>
      <c r="K8" s="125">
        <f>Tabla9[[#This Row],[Columna3]]+90</f>
        <v>42555</v>
      </c>
      <c r="L8" s="125">
        <f>Tabla9[[#This Row],[Columna3]]+120</f>
        <v>42585</v>
      </c>
    </row>
    <row r="9" spans="3:12" ht="12.75" x14ac:dyDescent="0.2">
      <c r="C9" s="44">
        <v>10034</v>
      </c>
      <c r="D9" s="45">
        <v>11774</v>
      </c>
      <c r="E9" s="46">
        <v>42465</v>
      </c>
      <c r="F9" s="47" t="s">
        <v>278</v>
      </c>
      <c r="G9" s="48">
        <v>750</v>
      </c>
      <c r="H9" s="47" t="s">
        <v>279</v>
      </c>
      <c r="I9" s="47" t="s">
        <v>280</v>
      </c>
      <c r="J9" s="126">
        <f>Tabla9[[#This Row],[Columna3]]+30</f>
        <v>42495</v>
      </c>
      <c r="K9" s="126">
        <f>Tabla9[[#This Row],[Columna3]]+90</f>
        <v>42555</v>
      </c>
      <c r="L9" s="126">
        <f>Tabla9[[#This Row],[Columna3]]+120</f>
        <v>42585</v>
      </c>
    </row>
    <row r="10" spans="3:12" ht="12.75" x14ac:dyDescent="0.2">
      <c r="C10" s="39">
        <v>10029</v>
      </c>
      <c r="D10" s="40">
        <v>11775</v>
      </c>
      <c r="E10" s="41">
        <v>42465</v>
      </c>
      <c r="F10" s="42" t="s">
        <v>281</v>
      </c>
      <c r="G10" s="43">
        <v>240</v>
      </c>
      <c r="H10" s="42" t="s">
        <v>282</v>
      </c>
      <c r="I10" s="42" t="s">
        <v>283</v>
      </c>
      <c r="J10" s="125">
        <f>Tabla9[[#This Row],[Columna3]]+30</f>
        <v>42495</v>
      </c>
      <c r="K10" s="125">
        <f>Tabla9[[#This Row],[Columna3]]+90</f>
        <v>42555</v>
      </c>
      <c r="L10" s="125">
        <f>Tabla9[[#This Row],[Columna3]]+120</f>
        <v>42585</v>
      </c>
    </row>
    <row r="11" spans="3:12" ht="12.75" x14ac:dyDescent="0.2">
      <c r="C11" s="44">
        <v>10030</v>
      </c>
      <c r="D11" s="45">
        <v>11776</v>
      </c>
      <c r="E11" s="46">
        <v>42526</v>
      </c>
      <c r="F11" s="47" t="s">
        <v>284</v>
      </c>
      <c r="G11" s="48">
        <v>61.5</v>
      </c>
      <c r="H11" s="47" t="s">
        <v>285</v>
      </c>
      <c r="I11" s="47" t="s">
        <v>286</v>
      </c>
      <c r="J11" s="126">
        <f>Tabla9[[#This Row],[Columna3]]+30</f>
        <v>42556</v>
      </c>
      <c r="K11" s="126">
        <f>Tabla9[[#This Row],[Columna3]]+90</f>
        <v>42616</v>
      </c>
      <c r="L11" s="126">
        <f>Tabla9[[#This Row],[Columna3]]+120</f>
        <v>42646</v>
      </c>
    </row>
    <row r="12" spans="3:12" ht="12.75" x14ac:dyDescent="0.2">
      <c r="C12" s="39">
        <v>10018</v>
      </c>
      <c r="D12" s="40">
        <v>11777</v>
      </c>
      <c r="E12" s="41">
        <v>42526</v>
      </c>
      <c r="F12" s="42" t="s">
        <v>287</v>
      </c>
      <c r="G12" s="43">
        <v>211.25</v>
      </c>
      <c r="H12" s="42" t="s">
        <v>288</v>
      </c>
      <c r="I12" s="42" t="s">
        <v>286</v>
      </c>
      <c r="J12" s="125">
        <f>Tabla9[[#This Row],[Columna3]]+30</f>
        <v>42556</v>
      </c>
      <c r="K12" s="125">
        <f>Tabla9[[#This Row],[Columna3]]+90</f>
        <v>42616</v>
      </c>
      <c r="L12" s="125">
        <f>Tabla9[[#This Row],[Columna3]]+120</f>
        <v>42646</v>
      </c>
    </row>
    <row r="13" spans="3:12" ht="12.75" x14ac:dyDescent="0.2">
      <c r="C13" s="44">
        <v>10035</v>
      </c>
      <c r="D13" s="45">
        <v>11778</v>
      </c>
      <c r="E13" s="46">
        <v>42526</v>
      </c>
      <c r="F13" s="47" t="s">
        <v>289</v>
      </c>
      <c r="G13" s="48">
        <v>220.13</v>
      </c>
      <c r="H13" s="47" t="s">
        <v>290</v>
      </c>
      <c r="I13" s="47" t="s">
        <v>291</v>
      </c>
      <c r="J13" s="126">
        <f>Tabla9[[#This Row],[Columna3]]+30</f>
        <v>42556</v>
      </c>
      <c r="K13" s="126">
        <f>Tabla9[[#This Row],[Columna3]]+90</f>
        <v>42616</v>
      </c>
      <c r="L13" s="126">
        <f>Tabla9[[#This Row],[Columna3]]+120</f>
        <v>42646</v>
      </c>
    </row>
    <row r="14" spans="3:12" ht="12.75" x14ac:dyDescent="0.2">
      <c r="C14" s="39">
        <v>10010</v>
      </c>
      <c r="D14" s="40">
        <v>11779</v>
      </c>
      <c r="E14" s="41">
        <v>42528</v>
      </c>
      <c r="F14" s="42" t="s">
        <v>292</v>
      </c>
      <c r="G14" s="43">
        <v>151.44</v>
      </c>
      <c r="H14" s="42" t="s">
        <v>293</v>
      </c>
      <c r="I14" s="42" t="s">
        <v>294</v>
      </c>
      <c r="J14" s="125">
        <f>Tabla9[[#This Row],[Columna3]]+30</f>
        <v>42558</v>
      </c>
      <c r="K14" s="125">
        <f>Tabla9[[#This Row],[Columna3]]+90</f>
        <v>42618</v>
      </c>
      <c r="L14" s="125">
        <f>Tabla9[[#This Row],[Columna3]]+120</f>
        <v>42648</v>
      </c>
    </row>
    <row r="15" spans="3:12" ht="12.75" x14ac:dyDescent="0.2">
      <c r="C15" s="44">
        <v>10012</v>
      </c>
      <c r="D15" s="45">
        <v>11781</v>
      </c>
      <c r="E15" s="46">
        <v>42528</v>
      </c>
      <c r="F15" s="47" t="s">
        <v>295</v>
      </c>
      <c r="G15" s="48">
        <v>98.66</v>
      </c>
      <c r="H15" s="47" t="s">
        <v>296</v>
      </c>
      <c r="I15" s="47" t="s">
        <v>297</v>
      </c>
      <c r="J15" s="126">
        <f>Tabla9[[#This Row],[Columna3]]+30</f>
        <v>42558</v>
      </c>
      <c r="K15" s="126">
        <f>Tabla9[[#This Row],[Columna3]]+90</f>
        <v>42618</v>
      </c>
      <c r="L15" s="126">
        <f>Tabla9[[#This Row],[Columna3]]+120</f>
        <v>42648</v>
      </c>
    </row>
    <row r="16" spans="3:12" ht="12.75" x14ac:dyDescent="0.2">
      <c r="C16" s="39">
        <v>10021</v>
      </c>
      <c r="D16" s="40">
        <v>11784</v>
      </c>
      <c r="E16" s="41">
        <v>42528</v>
      </c>
      <c r="F16" s="42" t="s">
        <v>298</v>
      </c>
      <c r="G16" s="43">
        <v>414.35</v>
      </c>
      <c r="H16" s="42" t="s">
        <v>299</v>
      </c>
      <c r="I16" s="42" t="s">
        <v>291</v>
      </c>
      <c r="J16" s="125">
        <f>Tabla9[[#This Row],[Columna3]]+30</f>
        <v>42558</v>
      </c>
      <c r="K16" s="125">
        <f>Tabla9[[#This Row],[Columna3]]+90</f>
        <v>42618</v>
      </c>
      <c r="L16" s="125">
        <f>Tabla9[[#This Row],[Columna3]]+120</f>
        <v>42648</v>
      </c>
    </row>
    <row r="17" spans="3:12" ht="12.75" x14ac:dyDescent="0.2">
      <c r="C17" s="44">
        <v>10022</v>
      </c>
      <c r="D17" s="45">
        <v>11785</v>
      </c>
      <c r="E17" s="46">
        <v>42529</v>
      </c>
      <c r="F17" s="47" t="s">
        <v>300</v>
      </c>
      <c r="G17" s="48">
        <v>75.989999999999995</v>
      </c>
      <c r="H17" s="47" t="s">
        <v>301</v>
      </c>
      <c r="I17" s="47" t="s">
        <v>302</v>
      </c>
      <c r="J17" s="126">
        <f>Tabla9[[#This Row],[Columna3]]+30</f>
        <v>42559</v>
      </c>
      <c r="K17" s="126">
        <f>Tabla9[[#This Row],[Columna3]]+90</f>
        <v>42619</v>
      </c>
      <c r="L17" s="126">
        <f>Tabla9[[#This Row],[Columna3]]+120</f>
        <v>42649</v>
      </c>
    </row>
    <row r="18" spans="3:12" ht="12.75" x14ac:dyDescent="0.2">
      <c r="C18" s="39">
        <v>10026</v>
      </c>
      <c r="D18" s="40">
        <v>11786</v>
      </c>
      <c r="E18" s="41">
        <v>42529</v>
      </c>
      <c r="F18" s="42" t="s">
        <v>303</v>
      </c>
      <c r="G18" s="43">
        <v>159.88</v>
      </c>
      <c r="H18" s="42" t="s">
        <v>304</v>
      </c>
      <c r="I18" s="42" t="s">
        <v>305</v>
      </c>
      <c r="J18" s="125">
        <f>Tabla9[[#This Row],[Columna3]]+30</f>
        <v>42559</v>
      </c>
      <c r="K18" s="125">
        <f>Tabla9[[#This Row],[Columna3]]+90</f>
        <v>42619</v>
      </c>
      <c r="L18" s="125">
        <f>Tabla9[[#This Row],[Columna3]]+120</f>
        <v>42649</v>
      </c>
    </row>
    <row r="19" spans="3:12" ht="12.75" x14ac:dyDescent="0.2">
      <c r="C19" s="44">
        <v>10033</v>
      </c>
      <c r="D19" s="45">
        <v>11787</v>
      </c>
      <c r="E19" s="46">
        <v>42529</v>
      </c>
      <c r="F19" s="47" t="s">
        <v>306</v>
      </c>
      <c r="G19" s="48">
        <v>190</v>
      </c>
      <c r="H19" s="47" t="s">
        <v>307</v>
      </c>
      <c r="I19" s="47" t="s">
        <v>308</v>
      </c>
      <c r="J19" s="126">
        <f>Tabla9[[#This Row],[Columna3]]+30</f>
        <v>42559</v>
      </c>
      <c r="K19" s="126">
        <f>Tabla9[[#This Row],[Columna3]]+90</f>
        <v>42619</v>
      </c>
      <c r="L19" s="126">
        <f>Tabla9[[#This Row],[Columna3]]+120</f>
        <v>42649</v>
      </c>
    </row>
    <row r="20" spans="3:12" ht="12.75" x14ac:dyDescent="0.2">
      <c r="C20" s="39">
        <v>10015</v>
      </c>
      <c r="D20" s="40">
        <v>11789</v>
      </c>
      <c r="E20" s="41">
        <v>42529</v>
      </c>
      <c r="F20" s="42" t="s">
        <v>309</v>
      </c>
      <c r="G20" s="43">
        <v>561.11</v>
      </c>
      <c r="H20" s="42" t="s">
        <v>310</v>
      </c>
      <c r="I20" s="42" t="s">
        <v>311</v>
      </c>
      <c r="J20" s="125">
        <f>Tabla9[[#This Row],[Columna3]]+30</f>
        <v>42559</v>
      </c>
      <c r="K20" s="125">
        <f>Tabla9[[#This Row],[Columna3]]+90</f>
        <v>42619</v>
      </c>
      <c r="L20" s="125">
        <f>Tabla9[[#This Row],[Columna3]]+120</f>
        <v>42649</v>
      </c>
    </row>
    <row r="21" spans="3:12" ht="12.75" x14ac:dyDescent="0.2">
      <c r="C21" s="44">
        <v>10036</v>
      </c>
      <c r="D21" s="45">
        <v>11790</v>
      </c>
      <c r="E21" s="46">
        <v>42529</v>
      </c>
      <c r="F21" s="47" t="s">
        <v>312</v>
      </c>
      <c r="G21" s="48">
        <v>180.25</v>
      </c>
      <c r="H21" s="47" t="s">
        <v>313</v>
      </c>
      <c r="I21" s="47" t="s">
        <v>314</v>
      </c>
      <c r="J21" s="126">
        <f>Tabla9[[#This Row],[Columna3]]+30</f>
        <v>42559</v>
      </c>
      <c r="K21" s="126">
        <f>Tabla9[[#This Row],[Columna3]]+90</f>
        <v>42619</v>
      </c>
      <c r="L21" s="126">
        <f>Tabla9[[#This Row],[Columna3]]+120</f>
        <v>42649</v>
      </c>
    </row>
    <row r="22" spans="3:12" ht="12.75" x14ac:dyDescent="0.2">
      <c r="C22" s="39">
        <v>10032</v>
      </c>
      <c r="D22" s="40">
        <v>11791</v>
      </c>
      <c r="E22" s="41">
        <v>42529</v>
      </c>
      <c r="F22" s="42" t="s">
        <v>315</v>
      </c>
      <c r="G22" s="43">
        <v>424.6</v>
      </c>
      <c r="H22" s="42" t="s">
        <v>316</v>
      </c>
      <c r="I22" s="42" t="s">
        <v>317</v>
      </c>
      <c r="J22" s="125">
        <f>Tabla9[[#This Row],[Columna3]]+30</f>
        <v>42559</v>
      </c>
      <c r="K22" s="125">
        <f>Tabla9[[#This Row],[Columna3]]+90</f>
        <v>42619</v>
      </c>
      <c r="L22" s="125">
        <f>Tabla9[[#This Row],[Columna3]]+120</f>
        <v>42649</v>
      </c>
    </row>
    <row r="23" spans="3:12" ht="12.75" x14ac:dyDescent="0.2">
      <c r="C23" s="44">
        <v>10017</v>
      </c>
      <c r="D23" s="45">
        <v>11792</v>
      </c>
      <c r="E23" s="46">
        <v>42530</v>
      </c>
      <c r="F23" s="47" t="s">
        <v>318</v>
      </c>
      <c r="G23" s="48">
        <v>119.85</v>
      </c>
      <c r="H23" s="47" t="s">
        <v>319</v>
      </c>
      <c r="I23" s="47" t="s">
        <v>317</v>
      </c>
      <c r="J23" s="126">
        <f>Tabla9[[#This Row],[Columna3]]+30</f>
        <v>42560</v>
      </c>
      <c r="K23" s="126">
        <f>Tabla9[[#This Row],[Columna3]]+90</f>
        <v>42620</v>
      </c>
      <c r="L23" s="126">
        <f>Tabla9[[#This Row],[Columna3]]+120</f>
        <v>42650</v>
      </c>
    </row>
    <row r="24" spans="3:12" ht="12.75" x14ac:dyDescent="0.2">
      <c r="C24" s="39">
        <v>10023</v>
      </c>
      <c r="D24" s="40">
        <v>11796</v>
      </c>
      <c r="E24" s="41">
        <v>42530</v>
      </c>
      <c r="F24" s="42" t="s">
        <v>320</v>
      </c>
      <c r="G24" s="43">
        <v>1751.25</v>
      </c>
      <c r="H24" s="42" t="s">
        <v>321</v>
      </c>
      <c r="I24" s="42" t="s">
        <v>305</v>
      </c>
      <c r="J24" s="125">
        <f>Tabla9[[#This Row],[Columna3]]+30</f>
        <v>42560</v>
      </c>
      <c r="K24" s="125">
        <f>Tabla9[[#This Row],[Columna3]]+90</f>
        <v>42620</v>
      </c>
      <c r="L24" s="125">
        <f>Tabla9[[#This Row],[Columna3]]+120</f>
        <v>42650</v>
      </c>
    </row>
    <row r="25" spans="3:12" ht="12.75" x14ac:dyDescent="0.2">
      <c r="C25" s="44">
        <v>10016</v>
      </c>
      <c r="D25" s="45">
        <v>11797</v>
      </c>
      <c r="E25" s="46">
        <v>42530</v>
      </c>
      <c r="F25" s="47" t="s">
        <v>322</v>
      </c>
      <c r="G25" s="48">
        <v>531.66999999999996</v>
      </c>
      <c r="H25" s="47" t="s">
        <v>323</v>
      </c>
      <c r="I25" s="47" t="s">
        <v>324</v>
      </c>
      <c r="J25" s="126">
        <f>Tabla9[[#This Row],[Columna3]]+30</f>
        <v>42560</v>
      </c>
      <c r="K25" s="126">
        <f>Tabla9[[#This Row],[Columna3]]+90</f>
        <v>42620</v>
      </c>
      <c r="L25" s="126">
        <f>Tabla9[[#This Row],[Columna3]]+120</f>
        <v>42650</v>
      </c>
    </row>
    <row r="26" spans="3:12" ht="12.75" x14ac:dyDescent="0.2">
      <c r="C26" s="39">
        <v>10028</v>
      </c>
      <c r="D26" s="40">
        <v>11798</v>
      </c>
      <c r="E26" s="41">
        <v>42530</v>
      </c>
      <c r="F26" s="42" t="s">
        <v>325</v>
      </c>
      <c r="G26" s="43">
        <v>1150.95</v>
      </c>
      <c r="H26" s="42" t="s">
        <v>326</v>
      </c>
      <c r="I26" s="42" t="s">
        <v>327</v>
      </c>
      <c r="J26" s="125">
        <f>Tabla9[[#This Row],[Columna3]]+30</f>
        <v>42560</v>
      </c>
      <c r="K26" s="125">
        <f>Tabla9[[#This Row],[Columna3]]+90</f>
        <v>42620</v>
      </c>
      <c r="L26" s="125">
        <f>Tabla9[[#This Row],[Columna3]]+120</f>
        <v>42650</v>
      </c>
    </row>
    <row r="27" spans="3:12" ht="12.75" x14ac:dyDescent="0.2">
      <c r="C27" s="44">
        <v>10025</v>
      </c>
      <c r="D27" s="45">
        <v>11802</v>
      </c>
      <c r="E27" s="46">
        <v>42531</v>
      </c>
      <c r="F27" s="47" t="s">
        <v>328</v>
      </c>
      <c r="G27" s="48">
        <v>433.94</v>
      </c>
      <c r="H27" s="47" t="s">
        <v>329</v>
      </c>
      <c r="I27" s="47" t="s">
        <v>330</v>
      </c>
      <c r="J27" s="126">
        <f>Tabla9[[#This Row],[Columna3]]+30</f>
        <v>42561</v>
      </c>
      <c r="K27" s="126">
        <f>Tabla9[[#This Row],[Columna3]]+90</f>
        <v>42621</v>
      </c>
      <c r="L27" s="126">
        <f>Tabla9[[#This Row],[Columna3]]+120</f>
        <v>42651</v>
      </c>
    </row>
    <row r="28" spans="3:12" ht="12.75" x14ac:dyDescent="0.2">
      <c r="C28" s="39">
        <v>10011</v>
      </c>
      <c r="D28" s="40">
        <v>11804</v>
      </c>
      <c r="E28" s="41">
        <v>42531</v>
      </c>
      <c r="F28" s="42" t="s">
        <v>331</v>
      </c>
      <c r="G28" s="43">
        <v>415.09</v>
      </c>
      <c r="H28" s="42" t="s">
        <v>332</v>
      </c>
      <c r="I28" s="42" t="s">
        <v>333</v>
      </c>
      <c r="J28" s="125">
        <f>Tabla9[[#This Row],[Columna3]]+30</f>
        <v>42561</v>
      </c>
      <c r="K28" s="125">
        <f>Tabla9[[#This Row],[Columna3]]+90</f>
        <v>42621</v>
      </c>
      <c r="L28" s="125">
        <f>Tabla9[[#This Row],[Columna3]]+120</f>
        <v>42651</v>
      </c>
    </row>
    <row r="29" spans="3:12" ht="12.75" x14ac:dyDescent="0.2">
      <c r="C29" s="44">
        <v>10013</v>
      </c>
      <c r="D29" s="45">
        <v>11805</v>
      </c>
      <c r="E29" s="46">
        <v>42531</v>
      </c>
      <c r="F29" s="47" t="s">
        <v>334</v>
      </c>
      <c r="G29" s="48">
        <v>410.75</v>
      </c>
      <c r="H29" s="47" t="s">
        <v>335</v>
      </c>
      <c r="I29" s="47" t="s">
        <v>336</v>
      </c>
      <c r="J29" s="126">
        <f>Tabla9[[#This Row],[Columna3]]+30</f>
        <v>42561</v>
      </c>
      <c r="K29" s="126">
        <f>Tabla9[[#This Row],[Columna3]]+90</f>
        <v>42621</v>
      </c>
      <c r="L29" s="126">
        <f>Tabla9[[#This Row],[Columna3]]+120</f>
        <v>42651</v>
      </c>
    </row>
    <row r="30" spans="3:12" ht="12.75" x14ac:dyDescent="0.2">
      <c r="C30" s="39">
        <v>10027</v>
      </c>
      <c r="D30" s="40">
        <v>11806</v>
      </c>
      <c r="E30" s="41">
        <v>42531</v>
      </c>
      <c r="F30" s="42" t="s">
        <v>337</v>
      </c>
      <c r="G30" s="43">
        <v>2568.75</v>
      </c>
      <c r="H30" s="42" t="s">
        <v>338</v>
      </c>
      <c r="I30" s="42" t="s">
        <v>339</v>
      </c>
      <c r="J30" s="125">
        <f>Tabla9[[#This Row],[Columna3]]+30</f>
        <v>42561</v>
      </c>
      <c r="K30" s="125">
        <f>Tabla9[[#This Row],[Columna3]]+90</f>
        <v>42621</v>
      </c>
      <c r="L30" s="125">
        <f>Tabla9[[#This Row],[Columna3]]+120</f>
        <v>42651</v>
      </c>
    </row>
    <row r="31" spans="3:12" ht="12.75" x14ac:dyDescent="0.2">
      <c r="C31" s="44">
        <v>10020</v>
      </c>
      <c r="D31" s="45">
        <v>11811</v>
      </c>
      <c r="E31" s="46">
        <v>42532</v>
      </c>
      <c r="F31" s="47" t="s">
        <v>340</v>
      </c>
      <c r="G31" s="48">
        <v>1611.34</v>
      </c>
      <c r="H31" s="47" t="s">
        <v>341</v>
      </c>
      <c r="I31" s="47" t="s">
        <v>311</v>
      </c>
      <c r="J31" s="126">
        <f>Tabla9[[#This Row],[Columna3]]+30</f>
        <v>42562</v>
      </c>
      <c r="K31" s="126">
        <f>Tabla9[[#This Row],[Columna3]]+90</f>
        <v>42622</v>
      </c>
      <c r="L31" s="126">
        <f>Tabla9[[#This Row],[Columna3]]+120</f>
        <v>42652</v>
      </c>
    </row>
    <row r="32" spans="3:12" ht="12.75" x14ac:dyDescent="0.2">
      <c r="C32" s="39">
        <v>10019</v>
      </c>
      <c r="D32" s="40">
        <v>11814</v>
      </c>
      <c r="E32" s="41">
        <v>42532</v>
      </c>
      <c r="F32" s="42" t="s">
        <v>342</v>
      </c>
      <c r="G32" s="43">
        <v>765.88</v>
      </c>
      <c r="H32" s="42" t="s">
        <v>343</v>
      </c>
      <c r="I32" s="42" t="s">
        <v>344</v>
      </c>
      <c r="J32" s="125">
        <f>Tabla9[[#This Row],[Columna3]]+30</f>
        <v>42562</v>
      </c>
      <c r="K32" s="125">
        <f>Tabla9[[#This Row],[Columna3]]+90</f>
        <v>42622</v>
      </c>
      <c r="L32" s="125">
        <f>Tabla9[[#This Row],[Columna3]]+120</f>
        <v>42652</v>
      </c>
    </row>
    <row r="33" spans="3:12" ht="12.75" x14ac:dyDescent="0.2">
      <c r="C33" s="44">
        <v>10031</v>
      </c>
      <c r="D33" s="45">
        <v>11822</v>
      </c>
      <c r="E33" s="46">
        <v>42551</v>
      </c>
      <c r="F33" s="47" t="s">
        <v>345</v>
      </c>
      <c r="G33" s="48">
        <v>4132.5</v>
      </c>
      <c r="H33" s="47" t="s">
        <v>346</v>
      </c>
      <c r="I33" s="47" t="s">
        <v>291</v>
      </c>
      <c r="J33" s="126">
        <f>Tabla9[[#This Row],[Columna3]]+30</f>
        <v>42581</v>
      </c>
      <c r="K33" s="126">
        <f>Tabla9[[#This Row],[Columna3]]+90</f>
        <v>42641</v>
      </c>
      <c r="L33" s="126">
        <f>Tabla9[[#This Row],[Columna3]]+120</f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57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57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57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57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57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57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57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57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57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57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57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57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57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57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57"/>
    </row>
    <row r="49" spans="12:12" s="22" customFormat="1" ht="12.75" x14ac:dyDescent="0.2">
      <c r="L49" s="57"/>
    </row>
    <row r="50" spans="12:12" s="22" customFormat="1" ht="12.75" x14ac:dyDescent="0.2">
      <c r="L50" s="57"/>
    </row>
    <row r="51" spans="12:12" s="22" customFormat="1" ht="12.75" x14ac:dyDescent="0.2">
      <c r="L51" s="57"/>
    </row>
    <row r="52" spans="12:12" s="22" customFormat="1" ht="12.75" x14ac:dyDescent="0.2">
      <c r="L52" s="57"/>
    </row>
    <row r="53" spans="12:12" s="22" customFormat="1" ht="12.75" x14ac:dyDescent="0.2">
      <c r="L53" s="57"/>
    </row>
    <row r="54" spans="12:12" s="22" customFormat="1" ht="12.75" x14ac:dyDescent="0.2">
      <c r="L54" s="57"/>
    </row>
    <row r="55" spans="12:12" s="22" customFormat="1" ht="12.75" x14ac:dyDescent="0.2">
      <c r="L55" s="57"/>
    </row>
    <row r="56" spans="12:12" s="22" customFormat="1" ht="12.75" x14ac:dyDescent="0.2">
      <c r="L56" s="57"/>
    </row>
    <row r="57" spans="12:12" s="22" customFormat="1" ht="12.75" x14ac:dyDescent="0.2">
      <c r="L57" s="57"/>
    </row>
    <row r="58" spans="12:12" s="22" customFormat="1" ht="12.75" x14ac:dyDescent="0.2">
      <c r="L58" s="57"/>
    </row>
    <row r="59" spans="12:12" s="22" customFormat="1" ht="12.75" x14ac:dyDescent="0.2">
      <c r="L59" s="57"/>
    </row>
    <row r="60" spans="12:12" s="22" customFormat="1" ht="12.75" x14ac:dyDescent="0.2">
      <c r="L60" s="57"/>
    </row>
  </sheetData>
  <mergeCells count="1">
    <mergeCell ref="D1:I1"/>
  </mergeCells>
  <conditionalFormatting sqref="G6:G33">
    <cfRule type="top10" dxfId="105" priority="2" rank="5"/>
  </conditionalFormatting>
  <conditionalFormatting sqref="G5:G33">
    <cfRule type="top10" dxfId="104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zoomScaleNormal="100" workbookViewId="0">
      <selection activeCell="H14" sqref="H14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50" customWidth="1"/>
    <col min="5" max="5" width="14.28515625" style="51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2" ht="31.5" x14ac:dyDescent="0.5">
      <c r="A1" s="60" t="s">
        <v>212</v>
      </c>
      <c r="B1" s="60"/>
      <c r="C1" s="60"/>
      <c r="D1" s="60"/>
      <c r="E1" s="60"/>
      <c r="F1" s="60"/>
    </row>
    <row r="2" spans="1:12" ht="31.5" x14ac:dyDescent="0.5">
      <c r="A2" s="6" t="s">
        <v>358</v>
      </c>
      <c r="B2" s="5"/>
      <c r="C2" s="5"/>
      <c r="D2" s="5"/>
      <c r="E2" s="5"/>
      <c r="F2" s="5"/>
    </row>
    <row r="3" spans="1:12" ht="18.75" x14ac:dyDescent="0.3">
      <c r="A3" s="6" t="s">
        <v>360</v>
      </c>
      <c r="B3" s="24"/>
      <c r="C3" s="25"/>
      <c r="D3" s="26"/>
      <c r="E3" s="26"/>
      <c r="F3" s="26"/>
    </row>
    <row r="4" spans="1:12" ht="18.75" x14ac:dyDescent="0.3">
      <c r="A4" s="6" t="s">
        <v>359</v>
      </c>
    </row>
    <row r="8" spans="1:12" ht="25.5" x14ac:dyDescent="0.2">
      <c r="B8" s="27" t="s">
        <v>347</v>
      </c>
      <c r="C8" s="49">
        <v>42661</v>
      </c>
    </row>
    <row r="9" spans="1:12" s="52" customFormat="1" ht="32.25" customHeight="1" x14ac:dyDescent="0.2">
      <c r="A9" s="22"/>
      <c r="B9" s="23"/>
      <c r="C9" s="23"/>
      <c r="D9" s="50"/>
      <c r="E9" s="51"/>
      <c r="F9" s="22"/>
    </row>
    <row r="10" spans="1:12" x14ac:dyDescent="0.2">
      <c r="L10" s="57"/>
    </row>
    <row r="11" spans="1:12" x14ac:dyDescent="0.2">
      <c r="L11" s="57"/>
    </row>
    <row r="12" spans="1:12" x14ac:dyDescent="0.2">
      <c r="A12" s="52"/>
      <c r="B12" s="131" t="s">
        <v>266</v>
      </c>
      <c r="C12" s="132" t="s">
        <v>267</v>
      </c>
      <c r="D12" s="133" t="s">
        <v>268</v>
      </c>
      <c r="E12" s="134" t="s">
        <v>348</v>
      </c>
      <c r="F12" s="135" t="s">
        <v>226</v>
      </c>
      <c r="G12" s="136" t="s">
        <v>228</v>
      </c>
      <c r="H12" s="137" t="s">
        <v>349</v>
      </c>
      <c r="L12" s="57"/>
    </row>
    <row r="13" spans="1:12" x14ac:dyDescent="0.2">
      <c r="B13" s="129">
        <v>10024</v>
      </c>
      <c r="C13" s="59">
        <v>42465</v>
      </c>
      <c r="D13" s="61">
        <v>42465</v>
      </c>
      <c r="E13" s="62">
        <v>42495</v>
      </c>
      <c r="F13" s="63">
        <v>150</v>
      </c>
      <c r="G13" s="64" t="s">
        <v>350</v>
      </c>
      <c r="H13" s="130">
        <f>IF(C$8&gt;Tabla10[[#This Row],[Fecha Vencim.]],C$8-Tabla10[[#This Row],[Fecha Vencim.]],"No Vencida")</f>
        <v>166</v>
      </c>
      <c r="L13" s="57"/>
    </row>
    <row r="14" spans="1:12" x14ac:dyDescent="0.2">
      <c r="B14" s="129">
        <v>10014</v>
      </c>
      <c r="C14" s="59">
        <v>42465</v>
      </c>
      <c r="D14" s="61">
        <v>42465</v>
      </c>
      <c r="E14" s="62">
        <v>42495</v>
      </c>
      <c r="F14" s="63">
        <v>550</v>
      </c>
      <c r="G14" s="64" t="s">
        <v>351</v>
      </c>
      <c r="H14" s="130">
        <f>IF(C$8&gt;Tabla10[[#This Row],[Fecha Vencim.]],C$8-Tabla10[[#This Row],[Fecha Vencim.]],"No Vencida")</f>
        <v>166</v>
      </c>
      <c r="L14" s="57"/>
    </row>
    <row r="15" spans="1:12" x14ac:dyDescent="0.2">
      <c r="B15" s="129">
        <v>10034</v>
      </c>
      <c r="C15" s="59">
        <v>42465</v>
      </c>
      <c r="D15" s="61">
        <v>42830</v>
      </c>
      <c r="E15" s="62">
        <v>42860</v>
      </c>
      <c r="F15" s="63">
        <v>750</v>
      </c>
      <c r="G15" s="64" t="s">
        <v>352</v>
      </c>
      <c r="H15" s="130" t="str">
        <f>IF(C$8&gt;Tabla10[[#This Row],[Fecha Vencim.]],C$8-Tabla10[[#This Row],[Fecha Vencim.]],"No Vencida")</f>
        <v>No Vencida</v>
      </c>
    </row>
    <row r="16" spans="1:12" x14ac:dyDescent="0.2">
      <c r="B16" s="129">
        <v>10029</v>
      </c>
      <c r="C16" s="59">
        <v>42465</v>
      </c>
      <c r="D16" s="61">
        <v>42830</v>
      </c>
      <c r="E16" s="62">
        <v>42860</v>
      </c>
      <c r="F16" s="63">
        <v>240</v>
      </c>
      <c r="G16" s="64" t="s">
        <v>354</v>
      </c>
      <c r="H16" s="130" t="str">
        <f>IF(C$8&gt;Tabla10[[#This Row],[Fecha Vencim.]],C$8-Tabla10[[#This Row],[Fecha Vencim.]],"No Vencida")</f>
        <v>No Vencida</v>
      </c>
    </row>
    <row r="17" spans="2:8" x14ac:dyDescent="0.2">
      <c r="B17" s="129">
        <v>10030</v>
      </c>
      <c r="C17" s="59">
        <v>42526</v>
      </c>
      <c r="D17" s="61">
        <v>42526</v>
      </c>
      <c r="E17" s="62">
        <v>42556</v>
      </c>
      <c r="F17" s="63">
        <v>61.5</v>
      </c>
      <c r="G17" s="64" t="s">
        <v>353</v>
      </c>
      <c r="H17" s="130">
        <f>IF(C$8&gt;Tabla10[[#This Row],[Fecha Vencim.]],C$8-Tabla10[[#This Row],[Fecha Vencim.]],"No Vencida")</f>
        <v>105</v>
      </c>
    </row>
    <row r="18" spans="2:8" x14ac:dyDescent="0.2">
      <c r="B18" s="129">
        <v>10018</v>
      </c>
      <c r="C18" s="59">
        <v>42526</v>
      </c>
      <c r="D18" s="61">
        <v>42526</v>
      </c>
      <c r="E18" s="62">
        <v>42556</v>
      </c>
      <c r="F18" s="63">
        <v>211.25</v>
      </c>
      <c r="G18" s="64" t="s">
        <v>353</v>
      </c>
      <c r="H18" s="130">
        <f>IF(C$8&gt;Tabla10[[#This Row],[Fecha Vencim.]],C$8-Tabla10[[#This Row],[Fecha Vencim.]],"No Vencida")</f>
        <v>105</v>
      </c>
    </row>
    <row r="19" spans="2:8" x14ac:dyDescent="0.2">
      <c r="B19" s="129">
        <v>10035</v>
      </c>
      <c r="C19" s="59">
        <v>42526</v>
      </c>
      <c r="D19" s="61">
        <v>42891</v>
      </c>
      <c r="E19" s="62">
        <v>42921</v>
      </c>
      <c r="F19" s="63">
        <v>220.13</v>
      </c>
      <c r="G19" s="64" t="s">
        <v>350</v>
      </c>
      <c r="H19" s="130" t="str">
        <f>IF(C$8&gt;Tabla10[[#This Row],[Fecha Vencim.]],C$8-Tabla10[[#This Row],[Fecha Vencim.]],"No Vencida")</f>
        <v>No Vencida</v>
      </c>
    </row>
    <row r="20" spans="2:8" x14ac:dyDescent="0.2">
      <c r="B20" s="129">
        <v>10010</v>
      </c>
      <c r="C20" s="59">
        <v>42528</v>
      </c>
      <c r="D20" s="61">
        <v>42893</v>
      </c>
      <c r="E20" s="62">
        <v>42923</v>
      </c>
      <c r="F20" s="63">
        <v>151.44</v>
      </c>
      <c r="G20" s="64" t="s">
        <v>351</v>
      </c>
      <c r="H20" s="130" t="str">
        <f>IF(C$8&gt;Tabla10[[#This Row],[Fecha Vencim.]],C$8-Tabla10[[#This Row],[Fecha Vencim.]],"No Vencida")</f>
        <v>No Vencida</v>
      </c>
    </row>
    <row r="21" spans="2:8" x14ac:dyDescent="0.2">
      <c r="B21" s="129">
        <v>10030</v>
      </c>
      <c r="C21" s="59">
        <v>42528</v>
      </c>
      <c r="D21" s="61">
        <v>42528</v>
      </c>
      <c r="E21" s="62">
        <v>42558</v>
      </c>
      <c r="F21" s="63">
        <v>198.77</v>
      </c>
      <c r="G21" s="64" t="s">
        <v>352</v>
      </c>
      <c r="H21" s="130">
        <f>IF(C$8&gt;Tabla10[[#This Row],[Fecha Vencim.]],C$8-Tabla10[[#This Row],[Fecha Vencim.]],"No Vencida")</f>
        <v>103</v>
      </c>
    </row>
    <row r="22" spans="2:8" x14ac:dyDescent="0.2">
      <c r="B22" s="129">
        <v>10012</v>
      </c>
      <c r="C22" s="59">
        <v>42528</v>
      </c>
      <c r="D22" s="61">
        <v>42528</v>
      </c>
      <c r="E22" s="62">
        <v>42558</v>
      </c>
      <c r="F22" s="63">
        <v>98.66</v>
      </c>
      <c r="G22" s="64" t="s">
        <v>352</v>
      </c>
      <c r="H22" s="130">
        <f>IF(C$8&gt;Tabla10[[#This Row],[Fecha Vencim.]],C$8-Tabla10[[#This Row],[Fecha Vencim.]],"No Vencida")</f>
        <v>103</v>
      </c>
    </row>
    <row r="23" spans="2:8" x14ac:dyDescent="0.2">
      <c r="B23" s="129">
        <v>10024</v>
      </c>
      <c r="C23" s="59">
        <v>42529</v>
      </c>
      <c r="D23" s="61">
        <v>42528</v>
      </c>
      <c r="E23" s="62">
        <v>42558</v>
      </c>
      <c r="F23" s="63">
        <v>135.63999999999999</v>
      </c>
      <c r="G23" s="64" t="s">
        <v>352</v>
      </c>
      <c r="H23" s="130">
        <f>IF(C$8&gt;Tabla10[[#This Row],[Fecha Vencim.]],C$8-Tabla10[[#This Row],[Fecha Vencim.]],"No Vencida")</f>
        <v>103</v>
      </c>
    </row>
    <row r="24" spans="2:8" x14ac:dyDescent="0.2">
      <c r="B24" s="129">
        <v>10014</v>
      </c>
      <c r="C24" s="59">
        <v>42529</v>
      </c>
      <c r="D24" s="61">
        <v>42528</v>
      </c>
      <c r="E24" s="62">
        <v>42558</v>
      </c>
      <c r="F24" s="63">
        <v>56.5</v>
      </c>
      <c r="G24" s="64" t="s">
        <v>353</v>
      </c>
      <c r="H24" s="130">
        <f>IF(C$8&gt;Tabla10[[#This Row],[Fecha Vencim.]],C$8-Tabla10[[#This Row],[Fecha Vencim.]],"No Vencida")</f>
        <v>103</v>
      </c>
    </row>
    <row r="25" spans="2:8" x14ac:dyDescent="0.2">
      <c r="B25" s="129">
        <v>10021</v>
      </c>
      <c r="C25" s="59">
        <v>42529</v>
      </c>
      <c r="D25" s="61">
        <v>42528</v>
      </c>
      <c r="E25" s="62">
        <v>42558</v>
      </c>
      <c r="F25" s="63">
        <v>414.35</v>
      </c>
      <c r="G25" s="64" t="s">
        <v>353</v>
      </c>
      <c r="H25" s="130">
        <f>IF(C$8&gt;Tabla10[[#This Row],[Fecha Vencim.]],C$8-Tabla10[[#This Row],[Fecha Vencim.]],"No Vencida")</f>
        <v>103</v>
      </c>
    </row>
    <row r="26" spans="2:8" x14ac:dyDescent="0.2">
      <c r="B26" s="129">
        <v>10022</v>
      </c>
      <c r="C26" s="59">
        <v>42529</v>
      </c>
      <c r="D26" s="61">
        <v>42651</v>
      </c>
      <c r="E26" s="62">
        <v>42682</v>
      </c>
      <c r="F26" s="63">
        <v>75.989999999999995</v>
      </c>
      <c r="G26" s="64" t="s">
        <v>355</v>
      </c>
      <c r="H26" s="130" t="str">
        <f>IF(C$8&gt;Tabla10[[#This Row],[Fecha Vencim.]],C$8-Tabla10[[#This Row],[Fecha Vencim.]],"No Vencida")</f>
        <v>No Vencida</v>
      </c>
    </row>
    <row r="27" spans="2:8" x14ac:dyDescent="0.2">
      <c r="B27" s="129">
        <v>10026</v>
      </c>
      <c r="C27" s="59">
        <v>42529</v>
      </c>
      <c r="D27" s="61">
        <v>42529</v>
      </c>
      <c r="E27" s="62">
        <v>42559</v>
      </c>
      <c r="F27" s="63">
        <v>159.88</v>
      </c>
      <c r="G27" s="64" t="s">
        <v>355</v>
      </c>
      <c r="H27" s="130">
        <f>IF(C$8&gt;Tabla10[[#This Row],[Fecha Vencim.]],C$8-Tabla10[[#This Row],[Fecha Vencim.]],"No Vencida")</f>
        <v>102</v>
      </c>
    </row>
    <row r="28" spans="2:8" x14ac:dyDescent="0.2">
      <c r="B28" s="129">
        <v>10033</v>
      </c>
      <c r="C28" s="59">
        <v>42529</v>
      </c>
      <c r="D28" s="61">
        <v>42712</v>
      </c>
      <c r="E28" s="62">
        <v>42743</v>
      </c>
      <c r="F28" s="63">
        <v>190</v>
      </c>
      <c r="G28" s="64" t="s">
        <v>354</v>
      </c>
      <c r="H28" s="130" t="str">
        <f>IF(C$8&gt;Tabla10[[#This Row],[Fecha Vencim.]],C$8-Tabla10[[#This Row],[Fecha Vencim.]],"No Vencida")</f>
        <v>No Vencida</v>
      </c>
    </row>
    <row r="29" spans="2:8" x14ac:dyDescent="0.2">
      <c r="B29" s="129">
        <v>10029</v>
      </c>
      <c r="C29" s="59">
        <v>42530</v>
      </c>
      <c r="D29" s="61">
        <v>42529</v>
      </c>
      <c r="E29" s="62">
        <v>42559</v>
      </c>
      <c r="F29" s="63">
        <v>267.99</v>
      </c>
      <c r="G29" s="64" t="s">
        <v>353</v>
      </c>
      <c r="H29" s="130">
        <f>IF(C$8&gt;Tabla10[[#This Row],[Fecha Vencim.]],C$8-Tabla10[[#This Row],[Fecha Vencim.]],"No Vencida")</f>
        <v>102</v>
      </c>
    </row>
    <row r="30" spans="2:8" x14ac:dyDescent="0.2">
      <c r="B30" s="129">
        <v>10015</v>
      </c>
      <c r="C30" s="59">
        <v>42530</v>
      </c>
      <c r="D30" s="61">
        <v>42712</v>
      </c>
      <c r="E30" s="62">
        <v>42743</v>
      </c>
      <c r="F30" s="63">
        <v>561.11</v>
      </c>
      <c r="G30" s="64" t="s">
        <v>352</v>
      </c>
      <c r="H30" s="130" t="str">
        <f>IF(C$8&gt;Tabla10[[#This Row],[Fecha Vencim.]],C$8-Tabla10[[#This Row],[Fecha Vencim.]],"No Vencida")</f>
        <v>No Vencida</v>
      </c>
    </row>
    <row r="31" spans="2:8" x14ac:dyDescent="0.2">
      <c r="B31" s="129">
        <v>10036</v>
      </c>
      <c r="C31" s="59">
        <v>42530</v>
      </c>
      <c r="D31" s="61">
        <v>42529</v>
      </c>
      <c r="E31" s="62">
        <v>42559</v>
      </c>
      <c r="F31" s="63">
        <v>180.25</v>
      </c>
      <c r="G31" s="64" t="s">
        <v>350</v>
      </c>
      <c r="H31" s="130">
        <f>IF(C$8&gt;Tabla10[[#This Row],[Fecha Vencim.]],C$8-Tabla10[[#This Row],[Fecha Vencim.]],"No Vencida")</f>
        <v>102</v>
      </c>
    </row>
    <row r="32" spans="2:8" x14ac:dyDescent="0.2">
      <c r="B32" s="129">
        <v>10032</v>
      </c>
      <c r="C32" s="59">
        <v>42530</v>
      </c>
      <c r="D32" s="61">
        <v>42529</v>
      </c>
      <c r="E32" s="62">
        <v>42559</v>
      </c>
      <c r="F32" s="63">
        <v>424.6</v>
      </c>
      <c r="G32" s="64" t="s">
        <v>351</v>
      </c>
      <c r="H32" s="130">
        <f>IF(C$8&gt;Tabla10[[#This Row],[Fecha Vencim.]],C$8-Tabla10[[#This Row],[Fecha Vencim.]],"No Vencida")</f>
        <v>102</v>
      </c>
    </row>
    <row r="33" spans="2:8" x14ac:dyDescent="0.2">
      <c r="B33" s="129">
        <v>10017</v>
      </c>
      <c r="C33" s="59">
        <v>42531</v>
      </c>
      <c r="D33" s="61">
        <v>42530</v>
      </c>
      <c r="E33" s="62">
        <v>42560</v>
      </c>
      <c r="F33" s="63">
        <v>119.85</v>
      </c>
      <c r="G33" s="64" t="s">
        <v>354</v>
      </c>
      <c r="H33" s="130">
        <f>IF(C$8&gt;Tabla10[[#This Row],[Fecha Vencim.]],C$8-Tabla10[[#This Row],[Fecha Vencim.]],"No Vencida")</f>
        <v>101</v>
      </c>
    </row>
    <row r="34" spans="2:8" x14ac:dyDescent="0.2">
      <c r="B34" s="129">
        <v>10026</v>
      </c>
      <c r="C34" s="59">
        <v>42531</v>
      </c>
      <c r="D34" s="61">
        <v>42713</v>
      </c>
      <c r="E34" s="62">
        <v>42744</v>
      </c>
      <c r="F34" s="63">
        <v>114.5</v>
      </c>
      <c r="G34" s="64" t="s">
        <v>351</v>
      </c>
      <c r="H34" s="130" t="str">
        <f>IF(C$8&gt;Tabla10[[#This Row],[Fecha Vencim.]],C$8-Tabla10[[#This Row],[Fecha Vencim.]],"No Vencida")</f>
        <v>No Vencida</v>
      </c>
    </row>
    <row r="35" spans="2:8" x14ac:dyDescent="0.2">
      <c r="B35" s="129">
        <v>10033</v>
      </c>
      <c r="C35" s="59">
        <v>42531</v>
      </c>
      <c r="D35" s="61">
        <v>42530</v>
      </c>
      <c r="E35" s="62">
        <v>42560</v>
      </c>
      <c r="F35" s="63">
        <v>323.68</v>
      </c>
      <c r="G35" s="64" t="s">
        <v>352</v>
      </c>
      <c r="H35" s="130">
        <f>IF(C$8&gt;Tabla10[[#This Row],[Fecha Vencim.]],C$8-Tabla10[[#This Row],[Fecha Vencim.]],"No Vencida")</f>
        <v>101</v>
      </c>
    </row>
    <row r="36" spans="2:8" x14ac:dyDescent="0.2">
      <c r="B36" s="129">
        <v>10029</v>
      </c>
      <c r="C36" s="59">
        <v>42531</v>
      </c>
      <c r="D36" s="61">
        <v>42530</v>
      </c>
      <c r="E36" s="62">
        <v>42560</v>
      </c>
      <c r="F36" s="63">
        <v>244.97</v>
      </c>
      <c r="G36" s="64" t="s">
        <v>354</v>
      </c>
      <c r="H36" s="130">
        <f>IF(C$8&gt;Tabla10[[#This Row],[Fecha Vencim.]],C$8-Tabla10[[#This Row],[Fecha Vencim.]],"No Vencida")</f>
        <v>101</v>
      </c>
    </row>
    <row r="37" spans="2:8" x14ac:dyDescent="0.2">
      <c r="B37" s="129">
        <v>10023</v>
      </c>
      <c r="C37" s="59">
        <v>42532</v>
      </c>
      <c r="D37" s="61">
        <v>42530</v>
      </c>
      <c r="E37" s="62">
        <v>42560</v>
      </c>
      <c r="F37" s="63">
        <v>1751.25</v>
      </c>
      <c r="G37" s="64" t="s">
        <v>350</v>
      </c>
      <c r="H37" s="130">
        <f>IF(C$8&gt;Tabla10[[#This Row],[Fecha Vencim.]],C$8-Tabla10[[#This Row],[Fecha Vencim.]],"No Vencida")</f>
        <v>101</v>
      </c>
    </row>
    <row r="38" spans="2:8" x14ac:dyDescent="0.2">
      <c r="B38" s="129">
        <v>10016</v>
      </c>
      <c r="C38" s="59">
        <v>42532</v>
      </c>
      <c r="D38" s="61">
        <v>42713</v>
      </c>
      <c r="E38" s="62">
        <v>42560</v>
      </c>
      <c r="F38" s="63">
        <v>531.66999999999996</v>
      </c>
      <c r="G38" s="64" t="s">
        <v>351</v>
      </c>
      <c r="H38" s="130">
        <f>IF(C$8&gt;Tabla10[[#This Row],[Fecha Vencim.]],C$8-Tabla10[[#This Row],[Fecha Vencim.]],"No Vencida")</f>
        <v>101</v>
      </c>
    </row>
    <row r="39" spans="2:8" x14ac:dyDescent="0.2">
      <c r="B39" s="138">
        <v>10028</v>
      </c>
      <c r="C39" s="139">
        <v>42551</v>
      </c>
      <c r="D39" s="140">
        <v>42530</v>
      </c>
      <c r="E39" s="141">
        <v>42560</v>
      </c>
      <c r="F39" s="142">
        <v>1150.95</v>
      </c>
      <c r="G39" s="143" t="s">
        <v>354</v>
      </c>
      <c r="H39" s="130">
        <f>IF(C$8&gt;Tabla10[[#This Row],[Fecha Vencim.]],C$8-Tabla10[[#This Row],[Fecha Vencim.]],"No Vencida")</f>
        <v>101</v>
      </c>
    </row>
    <row r="40" spans="2:8" x14ac:dyDescent="0.2">
      <c r="D40" s="53"/>
      <c r="E40" s="54"/>
      <c r="F40" s="55"/>
      <c r="G40" s="58"/>
      <c r="H40" s="56"/>
    </row>
    <row r="41" spans="2:8" x14ac:dyDescent="0.2">
      <c r="D41" s="53"/>
      <c r="E41" s="54"/>
      <c r="F41" s="55"/>
      <c r="G41" s="58"/>
      <c r="H41" s="56"/>
    </row>
    <row r="42" spans="2:8" x14ac:dyDescent="0.2">
      <c r="D42" s="53"/>
      <c r="E42" s="54"/>
      <c r="F42" s="55"/>
      <c r="G42" s="58"/>
      <c r="H42" s="56"/>
    </row>
    <row r="43" spans="2:8" x14ac:dyDescent="0.2">
      <c r="D43" s="53"/>
      <c r="E43" s="54"/>
      <c r="F43" s="55"/>
      <c r="G43" s="58"/>
      <c r="H43" s="56"/>
    </row>
    <row r="44" spans="2:8" x14ac:dyDescent="0.2">
      <c r="D44" s="53"/>
      <c r="E44" s="54"/>
      <c r="F44" s="55"/>
      <c r="G44" s="58"/>
      <c r="H44" s="56"/>
    </row>
    <row r="45" spans="2:8" x14ac:dyDescent="0.2">
      <c r="D45" s="53"/>
      <c r="E45" s="54"/>
      <c r="F45" s="55"/>
      <c r="G45" s="58"/>
      <c r="H45" s="56"/>
    </row>
    <row r="46" spans="2:8" x14ac:dyDescent="0.2">
      <c r="D46" s="53"/>
      <c r="E46" s="54"/>
      <c r="F46" s="55"/>
      <c r="G46" s="58"/>
      <c r="H46" s="56"/>
    </row>
    <row r="47" spans="2:8" x14ac:dyDescent="0.2">
      <c r="D47" s="53"/>
      <c r="E47" s="54"/>
      <c r="F47" s="55"/>
      <c r="G47" s="58"/>
      <c r="H47" s="56"/>
    </row>
    <row r="48" spans="2:8" x14ac:dyDescent="0.2">
      <c r="D48" s="53"/>
      <c r="E48" s="54"/>
      <c r="F48" s="55"/>
      <c r="G48" s="58"/>
      <c r="H48" s="56"/>
    </row>
    <row r="49" spans="4:8" x14ac:dyDescent="0.2">
      <c r="D49" s="53"/>
      <c r="E49" s="54"/>
      <c r="F49" s="55"/>
      <c r="G49" s="58"/>
      <c r="H49" s="56"/>
    </row>
    <row r="50" spans="4:8" x14ac:dyDescent="0.2">
      <c r="D50" s="53"/>
      <c r="E50" s="54"/>
      <c r="F50" s="55"/>
      <c r="G50" s="58"/>
      <c r="H50" s="56"/>
    </row>
    <row r="51" spans="4:8" x14ac:dyDescent="0.2">
      <c r="D51" s="53"/>
      <c r="E51" s="54"/>
      <c r="F51" s="55"/>
      <c r="G51" s="58"/>
      <c r="H51" s="56"/>
    </row>
    <row r="52" spans="4:8" x14ac:dyDescent="0.2">
      <c r="D52" s="53"/>
      <c r="E52" s="54"/>
      <c r="F52" s="55"/>
      <c r="G52" s="58"/>
      <c r="H52" s="56"/>
    </row>
    <row r="53" spans="4:8" x14ac:dyDescent="0.2">
      <c r="D53" s="53"/>
      <c r="E53" s="54"/>
      <c r="F53" s="55"/>
      <c r="G53" s="58"/>
      <c r="H53" s="56"/>
    </row>
    <row r="54" spans="4:8" x14ac:dyDescent="0.2">
      <c r="D54" s="53"/>
      <c r="E54" s="54"/>
      <c r="F54" s="55"/>
      <c r="G54" s="58"/>
      <c r="H54" s="56"/>
    </row>
    <row r="55" spans="4:8" x14ac:dyDescent="0.2">
      <c r="D55" s="53"/>
      <c r="E55" s="54"/>
      <c r="F55" s="55"/>
      <c r="G55" s="58"/>
      <c r="H55" s="56"/>
    </row>
    <row r="56" spans="4:8" x14ac:dyDescent="0.2">
      <c r="D56" s="53"/>
      <c r="E56" s="54"/>
      <c r="F56" s="55"/>
      <c r="G56" s="58"/>
      <c r="H56" s="56"/>
    </row>
    <row r="57" spans="4:8" x14ac:dyDescent="0.2">
      <c r="D57" s="53"/>
      <c r="E57" s="54"/>
      <c r="F57" s="55"/>
      <c r="G57" s="58"/>
      <c r="H57" s="56"/>
    </row>
    <row r="58" spans="4:8" x14ac:dyDescent="0.2">
      <c r="D58" s="53"/>
      <c r="E58" s="54"/>
      <c r="F58" s="55"/>
      <c r="G58" s="58"/>
      <c r="H58" s="56"/>
    </row>
    <row r="59" spans="4:8" x14ac:dyDescent="0.2">
      <c r="D59" s="53"/>
      <c r="E59" s="54"/>
      <c r="F59" s="55"/>
      <c r="G59" s="58"/>
      <c r="H59" s="56"/>
    </row>
    <row r="60" spans="4:8" x14ac:dyDescent="0.2">
      <c r="D60" s="53"/>
      <c r="E60" s="54"/>
      <c r="F60" s="55"/>
      <c r="G60" s="58"/>
      <c r="H60" s="56"/>
    </row>
    <row r="61" spans="4:8" x14ac:dyDescent="0.2">
      <c r="D61" s="53"/>
      <c r="E61" s="54"/>
      <c r="F61" s="55"/>
      <c r="G61" s="58"/>
      <c r="H61" s="56"/>
    </row>
    <row r="62" spans="4:8" x14ac:dyDescent="0.2">
      <c r="D62" s="53"/>
      <c r="E62" s="54"/>
      <c r="F62" s="55"/>
      <c r="G62" s="58"/>
      <c r="H62" s="56"/>
    </row>
    <row r="63" spans="4:8" x14ac:dyDescent="0.2">
      <c r="D63" s="53"/>
      <c r="E63" s="54"/>
      <c r="F63" s="55"/>
      <c r="G63" s="58"/>
      <c r="H63" s="56"/>
    </row>
    <row r="64" spans="4:8" x14ac:dyDescent="0.2">
      <c r="D64" s="53"/>
      <c r="E64" s="54"/>
      <c r="F64" s="55"/>
    </row>
    <row r="65" spans="4:6" x14ac:dyDescent="0.2">
      <c r="D65" s="53"/>
      <c r="E65" s="54"/>
      <c r="F65" s="55"/>
    </row>
    <row r="66" spans="4:6" x14ac:dyDescent="0.2">
      <c r="D66" s="53"/>
      <c r="E66" s="54"/>
      <c r="F66" s="55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Grafico clasificación</vt:lpstr>
      <vt:lpstr>Auditoría</vt:lpstr>
      <vt:lpstr>RécordClientes</vt:lpstr>
      <vt:lpstr>RécordFacturas</vt:lpstr>
      <vt:lpstr>Top Empresas Mundial</vt:lpstr>
      <vt:lpstr>Top Empresas México</vt:lpstr>
      <vt:lpstr>T. Dinamicas Top Empresas Méxic</vt:lpstr>
      <vt:lpstr>Dashboard Top 10</vt:lpstr>
      <vt:lpstr>GraficoInventario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Librado Jaime Vazquez Cabrera</cp:lastModifiedBy>
  <cp:lastPrinted>2021-06-28T02:45:00Z</cp:lastPrinted>
  <dcterms:created xsi:type="dcterms:W3CDTF">2021-06-24T20:15:17Z</dcterms:created>
  <dcterms:modified xsi:type="dcterms:W3CDTF">2021-06-28T13:36:15Z</dcterms:modified>
</cp:coreProperties>
</file>