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.martinez\Desktop\Curso de Excel\"/>
    </mc:Choice>
  </mc:AlternateContent>
  <bookViews>
    <workbookView xWindow="0" yWindow="0" windowWidth="20460" windowHeight="6720" tabRatio="789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Tablasdinamicas" sheetId="13" r:id="rId12"/>
    <sheet name="Dashboard" sheetId="14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Nombre">#N/A</definedName>
    <definedName name="SegmentaciónDeDatos_Valor_de_mercado_2014__mdd">#N/A</definedName>
    <definedName name="SegmentaciónDeDatos_Valor_de_mercado_2016__mdd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62913"/>
  <pivotCaches>
    <pivotCache cacheId="58" r:id="rId15"/>
    <pivotCache cacheId="59" r:id="rId16"/>
    <pivotCache cacheId="60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K7" i="8" l="1"/>
  <c r="J7" i="8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D15" i="14" l="1"/>
  <c r="D30" i="14" s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E15" i="14"/>
  <c r="E16" i="14"/>
  <c r="E30" i="14" s="1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F15" i="14"/>
  <c r="F16" i="14"/>
  <c r="F30" i="14" s="1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H30" i="9" l="1"/>
  <c r="H28" i="9"/>
  <c r="H20" i="9"/>
  <c r="H19" i="9"/>
  <c r="H18" i="9"/>
  <c r="H17" i="9"/>
  <c r="H16" i="9"/>
  <c r="H15" i="9"/>
  <c r="H14" i="9"/>
  <c r="H13" i="9"/>
  <c r="H21" i="9"/>
  <c r="H22" i="9"/>
  <c r="H23" i="9"/>
  <c r="H24" i="9"/>
  <c r="H25" i="9"/>
  <c r="H26" i="9"/>
  <c r="H27" i="9"/>
  <c r="H29" i="9"/>
  <c r="H31" i="9"/>
  <c r="H32" i="9"/>
  <c r="H33" i="9"/>
  <c r="H34" i="9"/>
  <c r="H35" i="9"/>
  <c r="H36" i="9"/>
  <c r="H37" i="9"/>
  <c r="H38" i="9"/>
  <c r="H39" i="9"/>
  <c r="L14" i="8" l="1"/>
  <c r="K14" i="8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I39" i="5"/>
  <c r="K39" i="5"/>
  <c r="B16" i="4"/>
  <c r="I36" i="2"/>
  <c r="H36" i="2"/>
  <c r="F36" i="2"/>
  <c r="E36" i="2"/>
  <c r="D36" i="2"/>
  <c r="C36" i="2"/>
  <c r="B36" i="2"/>
  <c r="G36" i="2"/>
  <c r="J36" i="2"/>
  <c r="D41" i="2"/>
  <c r="M17" i="1"/>
  <c r="E28" i="7" l="1"/>
  <c r="H28" i="7"/>
  <c r="E29" i="7"/>
  <c r="H29" i="7"/>
</calcChain>
</file>

<file path=xl/sharedStrings.xml><?xml version="1.0" encoding="utf-8"?>
<sst xmlns="http://schemas.openxmlformats.org/spreadsheetml/2006/main" count="1211" uniqueCount="454">
  <si>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</si>
  <si>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</si>
  <si>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</si>
  <si>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</si>
  <si>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</si>
  <si>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</si>
  <si>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</si>
  <si>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</si>
  <si>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</si>
  <si>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</si>
  <si>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</si>
  <si>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</si>
  <si>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</si>
  <si>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</si>
  <si>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</si>
  <si>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</si>
  <si>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</si>
  <si>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</si>
  <si>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</si>
  <si>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</si>
  <si>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</si>
  <si>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</si>
  <si>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</si>
  <si>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</si>
  <si>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</si>
  <si>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</si>
  <si>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</si>
  <si>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</si>
  <si>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</si>
  <si>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</si>
  <si>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</si>
  <si>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</si>
  <si>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</si>
  <si>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</si>
  <si>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</si>
  <si>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</si>
  <si>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</si>
  <si>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</si>
  <si>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</si>
  <si>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</si>
  <si>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</si>
  <si>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</si>
  <si>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</si>
  <si>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</si>
  <si>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</si>
  <si>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</si>
  <si>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</si>
  <si>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</si>
  <si>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</si>
  <si>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</si>
  <si>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</si>
  <si>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</si>
  <si>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</si>
  <si>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</si>
  <si>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</si>
  <si>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</si>
  <si>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</si>
  <si>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</si>
  <si>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</si>
  <si>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</si>
  <si>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</si>
  <si>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</si>
  <si>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</si>
  <si>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</si>
  <si>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</si>
  <si>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</si>
  <si>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</si>
  <si>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</si>
  <si>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</si>
  <si>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</si>
  <si>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</si>
  <si>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</si>
  <si>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</si>
  <si>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</si>
  <si>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</si>
  <si>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</si>
  <si>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</si>
  <si>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</si>
  <si>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</si>
  <si>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</si>
  <si>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</si>
  <si>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</si>
  <si>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</si>
  <si>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</si>
  <si>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</si>
  <si>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</si>
  <si>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</si>
  <si>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</si>
  <si>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</si>
  <si>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</si>
  <si>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</si>
  <si>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</si>
  <si>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</si>
  <si>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</si>
  <si>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</si>
  <si>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</si>
  <si>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</si>
  <si>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</si>
  <si>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</si>
  <si>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</si>
  <si>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</si>
  <si>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</si>
  <si>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</si>
  <si>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</si>
  <si>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</si>
  <si>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</si>
  <si>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</si>
  <si>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</si>
  <si>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</si>
  <si>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</si>
  <si>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</si>
  <si>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</si>
  <si>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</si>
  <si>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</si>
  <si>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</si>
  <si>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</si>
  <si>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</si>
  <si>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</si>
  <si>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</si>
  <si>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</si>
  <si>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</si>
  <si>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</si>
  <si>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</si>
  <si>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</si>
  <si>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</si>
  <si>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</si>
  <si>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</si>
  <si>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</si>
  <si>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</si>
  <si>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</si>
  <si>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</si>
  <si>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</si>
  <si>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</si>
  <si>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</si>
  <si>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</si>
  <si>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</si>
  <si>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</si>
  <si>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</si>
  <si>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</si>
  <si>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</si>
  <si>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</si>
  <si>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</si>
  <si>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</si>
  <si>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</si>
  <si>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</si>
  <si>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</si>
  <si>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</si>
  <si>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</si>
  <si>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</si>
  <si>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</si>
  <si>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</si>
  <si>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</si>
  <si>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</si>
  <si>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</si>
  <si>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</si>
  <si>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</si>
  <si>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</si>
  <si>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</si>
  <si>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</si>
  <si>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</si>
  <si>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</si>
  <si>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</si>
  <si>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</si>
  <si>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</si>
  <si>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</si>
  <si>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</si>
  <si>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</si>
  <si>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</si>
  <si>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</si>
  <si>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</si>
  <si>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</si>
  <si>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</si>
  <si>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</si>
  <si>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</si>
  <si>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</si>
  <si>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</si>
  <si>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</si>
  <si>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</si>
  <si>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</si>
  <si>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</si>
  <si>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</si>
  <si>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</si>
  <si>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</si>
  <si>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</si>
  <si>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</si>
  <si>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</si>
  <si>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</si>
  <si>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</si>
  <si>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</si>
  <si>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</si>
  <si>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</si>
  <si>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</si>
  <si>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</si>
  <si>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</si>
  <si>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</si>
  <si>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</si>
  <si>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</si>
  <si>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</si>
  <si>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</si>
  <si>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</si>
  <si>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</si>
  <si>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</si>
  <si>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</si>
  <si>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</si>
  <si>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</si>
  <si>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</si>
  <si>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</si>
  <si>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</si>
  <si>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</si>
  <si>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</si>
  <si>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</si>
  <si>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</si>
  <si>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</si>
  <si>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</si>
  <si>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</si>
  <si>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</si>
  <si>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</si>
  <si>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</si>
  <si>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</si>
  <si>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</si>
  <si>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</si>
  <si>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</si>
  <si>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</si>
  <si>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</si>
  <si>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</si>
  <si>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</si>
  <si>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</si>
  <si>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</si>
  <si>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</si>
  <si>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</si>
  <si>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</si>
  <si>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</si>
  <si>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</si>
  <si>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</si>
  <si>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</si>
  <si>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</si>
  <si>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</si>
  <si>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</si>
  <si>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</si>
  <si>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</si>
  <si>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</si>
  <si>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</si>
  <si>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</si>
  <si>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</si>
  <si>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</si>
  <si>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</si>
  <si>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</si>
  <si>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</si>
  <si>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</si>
  <si>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</si>
  <si>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</si>
  <si>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</si>
  <si>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</si>
  <si>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</si>
  <si>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</si>
  <si>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</si>
  <si>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</si>
  <si>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</si>
  <si>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</si>
  <si>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</si>
  <si>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</si>
  <si>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</si>
  <si>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</si>
  <si>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</si>
  <si>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</si>
  <si>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</si>
  <si>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</si>
  <si>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</si>
  <si>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</si>
  <si>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</si>
  <si>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</si>
  <si>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</si>
  <si>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</si>
  <si>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</si>
  <si>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</si>
  <si>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</si>
  <si>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</si>
  <si>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</si>
  <si>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</si>
  <si>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</si>
  <si>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</si>
  <si>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</si>
  <si>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</si>
  <si>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</si>
  <si>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</si>
  <si>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</si>
  <si>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</si>
  <si>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</si>
  <si>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</si>
  <si>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</si>
  <si>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</si>
  <si>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</si>
  <si>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</si>
  <si>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</si>
  <si>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</si>
  <si>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</si>
  <si>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</si>
  <si>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</si>
  <si>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</si>
  <si>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</si>
  <si>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</si>
  <si>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</si>
  <si>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</si>
  <si>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</si>
  <si>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</si>
  <si>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</si>
  <si>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</si>
  <si>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</si>
  <si>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</si>
  <si>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</si>
  <si>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</si>
  <si>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</si>
  <si>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</si>
  <si>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</si>
  <si>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</si>
  <si>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</si>
  <si>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</si>
  <si>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</si>
  <si>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</si>
  <si>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</si>
  <si>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</si>
  <si>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</si>
  <si>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</si>
  <si>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</si>
  <si>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</si>
  <si>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</si>
  <si>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</si>
  <si>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</si>
  <si>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</si>
  <si>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</si>
  <si>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</si>
  <si>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</si>
  <si>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</si>
  <si>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</si>
  <si>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</si>
  <si>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</si>
  <si>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</si>
  <si>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</si>
  <si>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</si>
  <si>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</si>
  <si>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</si>
  <si>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</si>
  <si>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</si>
  <si>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</si>
  <si>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</si>
  <si>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</si>
  <si>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</si>
  <si>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</si>
  <si>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</si>
  <si>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</si>
  <si>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</si>
  <si>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</si>
  <si>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</si>
  <si>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</si>
  <si>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</si>
  <si>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</si>
  <si>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</si>
  <si>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</si>
  <si>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</si>
  <si>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</si>
  <si>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</si>
  <si>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</si>
  <si>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</si>
  <si>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</si>
  <si>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</si>
  <si>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</si>
  <si>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</si>
  <si>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</si>
  <si>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</si>
  <si>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</si>
  <si>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</si>
  <si>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</si>
  <si>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</si>
  <si>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</si>
  <si>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</si>
  <si>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</si>
  <si>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</si>
  <si>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</si>
  <si>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</si>
  <si>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</si>
  <si>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</si>
  <si>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</si>
  <si>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</si>
  <si>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</si>
  <si>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</si>
  <si>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</si>
  <si>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</si>
  <si>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</si>
  <si>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</si>
  <si>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</si>
  <si>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</si>
  <si>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</si>
  <si>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</si>
  <si>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</si>
  <si>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</si>
  <si>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</si>
  <si>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</si>
  <si>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</si>
  <si>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</si>
  <si>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</si>
  <si>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</si>
  <si>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</si>
  <si>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</si>
  <si>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</si>
  <si>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</si>
  <si>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</si>
  <si>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</si>
  <si>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</si>
  <si>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</si>
  <si>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</si>
  <si>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</si>
  <si>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</si>
  <si>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</si>
  <si>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</si>
  <si>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</si>
  <si>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</si>
  <si>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</si>
  <si>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</si>
  <si>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</si>
  <si>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</si>
  <si>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</si>
  <si>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</si>
  <si>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</si>
  <si>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</si>
  <si>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</si>
  <si>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</si>
  <si>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</si>
  <si>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</si>
  <si>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</si>
  <si>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</si>
  <si>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</si>
  <si>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</si>
  <si>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</si>
  <si>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</si>
  <si>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</si>
  <si>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</si>
  <si>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</si>
  <si>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</si>
  <si>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</si>
  <si>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</si>
  <si>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</si>
  <si>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</si>
  <si>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</si>
  <si>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</si>
  <si>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Promedio:</t>
  </si>
  <si>
    <t>Suma de Monto</t>
  </si>
  <si>
    <t>Etiquetas de fila</t>
  </si>
  <si>
    <t>Total general</t>
  </si>
  <si>
    <t>Suma de Valor de mercado 2015 (mdd)</t>
  </si>
  <si>
    <t>Suma de Valor de mercado 2016(mdd)</t>
  </si>
  <si>
    <t>Suma de Valor de mercado 2015 (mdd)2</t>
  </si>
  <si>
    <t>Suma de Valor de mercado 2016 (mdd)</t>
  </si>
  <si>
    <t>Suma de Valor de mercado 2014 (mdd)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</si>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</sst>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</numFmts>
  <fonts count="3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sz val="11"/>
      <color theme="1"/>
      <name val="Bahnschrift SemiBold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1" fillId="0" borderId="0">
      <alignment vertical="center"/>
    </xf>
    <xf numFmtId="0" fontId="22" fillId="0" borderId="0" applyNumberFormat="0" applyFill="0" applyProtection="0"/>
    <xf numFmtId="0" fontId="25" fillId="0" borderId="0" applyNumberFormat="0" applyFill="0" applyBorder="0" applyProtection="0">
      <alignment vertical="top"/>
    </xf>
    <xf numFmtId="0" fontId="26" fillId="0" borderId="0" applyNumberFormat="0" applyFill="0" applyBorder="0" applyAlignment="0" applyProtection="0">
      <alignment vertical="center"/>
    </xf>
  </cellStyleXfs>
  <cellXfs count="162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7" xfId="8" applyFill="1" applyBorder="1"/>
    <xf numFmtId="14" fontId="11" fillId="10" borderId="7" xfId="8" applyNumberFormat="1" applyFill="1" applyBorder="1"/>
    <xf numFmtId="165" fontId="11" fillId="10" borderId="7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8" xfId="8" applyFont="1" applyFill="1" applyBorder="1"/>
    <xf numFmtId="0" fontId="12" fillId="11" borderId="9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8" xfId="8" applyFill="1" applyBorder="1"/>
    <xf numFmtId="0" fontId="11" fillId="0" borderId="10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4" xfId="10" applyNumberFormat="1" applyFont="1" applyFill="1" applyBorder="1" applyAlignment="1">
      <alignment horizontal="center" vertical="center" wrapText="1"/>
    </xf>
    <xf numFmtId="0" fontId="17" fillId="14" borderId="14" xfId="9" applyFont="1" applyFill="1" applyBorder="1" applyAlignment="1">
      <alignment horizontal="center" vertical="center"/>
    </xf>
    <xf numFmtId="164" fontId="17" fillId="14" borderId="14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5" xfId="9" applyFont="1" applyFill="1" applyBorder="1" applyAlignment="1">
      <alignment horizontal="center"/>
    </xf>
    <xf numFmtId="0" fontId="19" fillId="15" borderId="16" xfId="9" applyFont="1" applyFill="1" applyBorder="1" applyAlignment="1">
      <alignment horizontal="center"/>
    </xf>
    <xf numFmtId="14" fontId="19" fillId="15" borderId="16" xfId="9" applyNumberFormat="1" applyFont="1" applyFill="1" applyBorder="1" applyAlignment="1">
      <alignment horizontal="center"/>
    </xf>
    <xf numFmtId="0" fontId="19" fillId="15" borderId="16" xfId="9" applyFont="1" applyFill="1" applyBorder="1" applyAlignment="1">
      <alignment horizontal="left"/>
    </xf>
    <xf numFmtId="164" fontId="19" fillId="15" borderId="16" xfId="10" applyFont="1" applyFill="1" applyBorder="1"/>
    <xf numFmtId="0" fontId="19" fillId="16" borderId="17" xfId="9" applyFont="1" applyFill="1" applyBorder="1" applyAlignment="1">
      <alignment horizontal="center"/>
    </xf>
    <xf numFmtId="0" fontId="19" fillId="16" borderId="18" xfId="9" applyFont="1" applyFill="1" applyBorder="1" applyAlignment="1">
      <alignment horizontal="center"/>
    </xf>
    <xf numFmtId="14" fontId="19" fillId="16" borderId="18" xfId="9" applyNumberFormat="1" applyFont="1" applyFill="1" applyBorder="1" applyAlignment="1">
      <alignment horizontal="center"/>
    </xf>
    <xf numFmtId="0" fontId="19" fillId="16" borderId="18" xfId="9" applyFont="1" applyFill="1" applyBorder="1" applyAlignment="1">
      <alignment horizontal="left"/>
    </xf>
    <xf numFmtId="164" fontId="19" fillId="16" borderId="18" xfId="10" applyFont="1" applyFill="1" applyBorder="1"/>
    <xf numFmtId="0" fontId="19" fillId="15" borderId="17" xfId="9" applyFont="1" applyFill="1" applyBorder="1" applyAlignment="1">
      <alignment horizontal="center"/>
    </xf>
    <xf numFmtId="0" fontId="19" fillId="15" borderId="18" xfId="9" applyFont="1" applyFill="1" applyBorder="1" applyAlignment="1">
      <alignment horizontal="center"/>
    </xf>
    <xf numFmtId="14" fontId="19" fillId="15" borderId="18" xfId="9" applyNumberFormat="1" applyFont="1" applyFill="1" applyBorder="1" applyAlignment="1">
      <alignment horizontal="center"/>
    </xf>
    <xf numFmtId="0" fontId="19" fillId="15" borderId="18" xfId="9" applyFont="1" applyFill="1" applyBorder="1" applyAlignment="1">
      <alignment horizontal="left"/>
    </xf>
    <xf numFmtId="164" fontId="19" fillId="15" borderId="18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9" xfId="9" applyBorder="1" applyAlignment="1">
      <alignment horizontal="center"/>
    </xf>
    <xf numFmtId="0" fontId="17" fillId="14" borderId="19" xfId="9" applyFont="1" applyFill="1" applyBorder="1" applyAlignment="1">
      <alignment horizontal="center" vertical="center"/>
    </xf>
    <xf numFmtId="0" fontId="17" fillId="14" borderId="12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9" xfId="9" applyNumberFormat="1" applyFont="1" applyBorder="1" applyAlignment="1">
      <alignment horizontal="right"/>
    </xf>
    <xf numFmtId="14" fontId="20" fillId="0" borderId="19" xfId="9" applyNumberFormat="1" applyFont="1" applyBorder="1" applyAlignment="1">
      <alignment horizontal="right" wrapText="1"/>
    </xf>
    <xf numFmtId="164" fontId="19" fillId="0" borderId="19" xfId="10" applyFont="1" applyFill="1" applyBorder="1" applyProtection="1"/>
    <xf numFmtId="164" fontId="19" fillId="0" borderId="19" xfId="10" applyFont="1" applyFill="1" applyBorder="1" applyAlignment="1" applyProtection="1">
      <alignment horizontal="left"/>
    </xf>
    <xf numFmtId="0" fontId="21" fillId="0" borderId="0" xfId="11">
      <alignment vertical="center"/>
    </xf>
    <xf numFmtId="166" fontId="21" fillId="0" borderId="0" xfId="11" applyNumberFormat="1">
      <alignment vertical="center"/>
    </xf>
    <xf numFmtId="2" fontId="21" fillId="0" borderId="0" xfId="11" applyNumberFormat="1">
      <alignment vertical="center"/>
    </xf>
    <xf numFmtId="0" fontId="24" fillId="0" borderId="0" xfId="11" applyFont="1" applyAlignment="1"/>
    <xf numFmtId="0" fontId="25" fillId="0" borderId="0" xfId="13" applyFill="1" applyBorder="1" applyAlignment="1">
      <alignment vertical="center"/>
    </xf>
    <xf numFmtId="0" fontId="26" fillId="0" borderId="0" xfId="14" applyFill="1" applyBorder="1" applyAlignment="1">
      <alignment horizontal="left" vertical="center"/>
    </xf>
    <xf numFmtId="0" fontId="27" fillId="0" borderId="0" xfId="11" applyFont="1" applyAlignment="1">
      <alignment horizontal="left" vertical="center"/>
    </xf>
    <xf numFmtId="0" fontId="28" fillId="0" borderId="0" xfId="11" applyFont="1">
      <alignment vertical="center"/>
    </xf>
    <xf numFmtId="0" fontId="28" fillId="8" borderId="21" xfId="11" applyFont="1" applyFill="1" applyBorder="1" applyAlignment="1">
      <alignment horizontal="centerContinuous" vertical="center"/>
    </xf>
    <xf numFmtId="0" fontId="28" fillId="8" borderId="0" xfId="11" applyFont="1" applyFill="1" applyAlignment="1">
      <alignment horizontal="center" vertical="center"/>
    </xf>
    <xf numFmtId="0" fontId="29" fillId="0" borderId="22" xfId="11" applyFont="1" applyBorder="1">
      <alignment vertical="center"/>
    </xf>
    <xf numFmtId="0" fontId="29" fillId="0" borderId="17" xfId="11" applyFont="1" applyBorder="1">
      <alignment vertical="center"/>
    </xf>
    <xf numFmtId="0" fontId="28" fillId="8" borderId="23" xfId="11" applyFont="1" applyFill="1" applyBorder="1" applyAlignment="1">
      <alignment horizontal="center" vertical="center"/>
    </xf>
    <xf numFmtId="0" fontId="28" fillId="8" borderId="24" xfId="11" applyFont="1" applyFill="1" applyBorder="1" applyAlignment="1">
      <alignment horizontal="center" vertical="center"/>
    </xf>
    <xf numFmtId="0" fontId="28" fillId="8" borderId="25" xfId="11" applyFont="1" applyFill="1" applyBorder="1" applyAlignment="1">
      <alignment horizontal="center" vertical="center"/>
    </xf>
    <xf numFmtId="0" fontId="28" fillId="8" borderId="26" xfId="11" applyFont="1" applyFill="1" applyBorder="1" applyAlignment="1">
      <alignment horizontal="center" vertical="center"/>
    </xf>
    <xf numFmtId="0" fontId="29" fillId="0" borderId="0" xfId="11" applyFont="1">
      <alignment vertical="center"/>
    </xf>
    <xf numFmtId="0" fontId="21" fillId="0" borderId="0" xfId="11" applyAlignment="1">
      <alignment horizontal="center" vertical="center"/>
    </xf>
    <xf numFmtId="0" fontId="21" fillId="0" borderId="0" xfId="11" applyAlignment="1">
      <alignment horizontal="center" vertical="center" wrapText="1"/>
    </xf>
    <xf numFmtId="0" fontId="21" fillId="0" borderId="0" xfId="11" applyAlignment="1">
      <alignment vertical="center" wrapText="1"/>
    </xf>
    <xf numFmtId="0" fontId="30" fillId="0" borderId="0" xfId="11" applyFont="1" applyAlignment="1">
      <alignment horizontal="center" vertical="center"/>
    </xf>
    <xf numFmtId="1" fontId="30" fillId="0" borderId="0" xfId="11" applyNumberFormat="1" applyFont="1" applyAlignment="1">
      <alignment horizontal="center" vertical="center"/>
    </xf>
    <xf numFmtId="167" fontId="30" fillId="0" borderId="0" xfId="11" applyNumberFormat="1" applyFont="1" applyAlignment="1">
      <alignment horizontal="center" vertical="center"/>
    </xf>
    <xf numFmtId="168" fontId="30" fillId="0" borderId="0" xfId="11" applyNumberFormat="1" applyFont="1" applyAlignment="1">
      <alignment horizontal="center" vertical="center"/>
    </xf>
    <xf numFmtId="9" fontId="30" fillId="0" borderId="0" xfId="11" applyNumberFormat="1" applyFont="1" applyAlignment="1">
      <alignment horizontal="center" vertical="center"/>
    </xf>
    <xf numFmtId="2" fontId="30" fillId="0" borderId="0" xfId="11" applyNumberFormat="1" applyFont="1" applyAlignment="1">
      <alignment horizontal="center" vertical="center"/>
    </xf>
    <xf numFmtId="166" fontId="30" fillId="0" borderId="0" xfId="11" applyNumberFormat="1" applyFont="1" applyAlignment="1">
      <alignment horizontal="center" vertical="center"/>
    </xf>
    <xf numFmtId="0" fontId="31" fillId="0" borderId="0" xfId="11" applyFont="1">
      <alignment vertical="center"/>
    </xf>
    <xf numFmtId="0" fontId="15" fillId="0" borderId="0" xfId="11" applyFont="1">
      <alignment vertical="center"/>
    </xf>
    <xf numFmtId="168" fontId="21" fillId="0" borderId="0" xfId="11" applyNumberFormat="1" applyAlignment="1">
      <alignment horizontal="center" vertical="center"/>
    </xf>
    <xf numFmtId="9" fontId="21" fillId="0" borderId="0" xfId="11" applyNumberFormat="1" applyAlignment="1">
      <alignment horizontal="center" vertical="center"/>
    </xf>
    <xf numFmtId="2" fontId="21" fillId="0" borderId="0" xfId="11" applyNumberFormat="1" applyAlignment="1">
      <alignment horizontal="center" vertical="center"/>
    </xf>
    <xf numFmtId="166" fontId="21" fillId="0" borderId="0" xfId="11" applyNumberFormat="1" applyAlignment="1">
      <alignment horizontal="center" vertical="center"/>
    </xf>
    <xf numFmtId="0" fontId="32" fillId="0" borderId="0" xfId="11" applyFont="1">
      <alignment vertical="center"/>
    </xf>
    <xf numFmtId="0" fontId="23" fillId="0" borderId="0" xfId="12" applyFont="1" applyFill="1" applyAlignment="1">
      <alignment vertical="center"/>
    </xf>
    <xf numFmtId="0" fontId="28" fillId="8" borderId="0" xfId="11" applyFont="1" applyFill="1" applyAlignment="1">
      <alignment horizontal="centerContinuous" vertical="center"/>
    </xf>
    <xf numFmtId="0" fontId="28" fillId="0" borderId="0" xfId="11" applyFont="1" applyAlignment="1">
      <alignment horizontal="left" vertical="center"/>
    </xf>
    <xf numFmtId="0" fontId="21" fillId="0" borderId="0" xfId="11" applyAlignment="1">
      <alignment horizontal="left" vertical="center" indent="1"/>
    </xf>
    <xf numFmtId="0" fontId="6" fillId="7" borderId="0" xfId="0" applyFont="1" applyFill="1" applyBorder="1"/>
    <xf numFmtId="164" fontId="0" fillId="0" borderId="0" xfId="4" applyFont="1"/>
    <xf numFmtId="42" fontId="0" fillId="0" borderId="0" xfId="4" applyNumberFormat="1" applyFont="1"/>
    <xf numFmtId="164" fontId="0" fillId="0" borderId="0" xfId="0" applyNumberFormat="1"/>
    <xf numFmtId="0" fontId="0" fillId="0" borderId="0" xfId="0" applyNumberFormat="1"/>
    <xf numFmtId="42" fontId="0" fillId="0" borderId="0" xfId="0" applyNumberFormat="1"/>
    <xf numFmtId="0" fontId="0" fillId="0" borderId="0" xfId="0" applyAlignment="1">
      <alignment horizontal="center"/>
    </xf>
    <xf numFmtId="0" fontId="4" fillId="17" borderId="0" xfId="5" applyFont="1" applyFill="1"/>
    <xf numFmtId="0" fontId="6" fillId="17" borderId="0" xfId="5" applyFont="1" applyFill="1" applyAlignment="1">
      <alignment horizontal="center"/>
    </xf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64" fontId="11" fillId="12" borderId="9" xfId="4" applyFont="1" applyFill="1" applyBorder="1"/>
    <xf numFmtId="164" fontId="11" fillId="0" borderId="11" xfId="4" applyFont="1" applyBorder="1"/>
    <xf numFmtId="44" fontId="11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19" fillId="15" borderId="20" xfId="9" applyNumberFormat="1" applyFont="1" applyFill="1" applyBorder="1" applyAlignment="1">
      <alignment horizontal="left"/>
    </xf>
    <xf numFmtId="14" fontId="19" fillId="16" borderId="5" xfId="9" applyNumberFormat="1" applyFont="1" applyFill="1" applyBorder="1" applyAlignment="1">
      <alignment horizontal="left"/>
    </xf>
    <xf numFmtId="14" fontId="19" fillId="15" borderId="5" xfId="9" applyNumberFormat="1" applyFont="1" applyFill="1" applyBorder="1" applyAlignment="1">
      <alignment horizontal="left"/>
    </xf>
    <xf numFmtId="0" fontId="14" fillId="0" borderId="27" xfId="9" applyBorder="1" applyAlignment="1">
      <alignment horizontal="center"/>
    </xf>
    <xf numFmtId="0" fontId="20" fillId="0" borderId="12" xfId="9" applyFont="1" applyBorder="1" applyAlignment="1">
      <alignment horizontal="center" wrapText="1"/>
    </xf>
    <xf numFmtId="0" fontId="14" fillId="0" borderId="31" xfId="9" applyBorder="1" applyAlignment="1">
      <alignment horizontal="center"/>
    </xf>
    <xf numFmtId="0" fontId="14" fillId="0" borderId="32" xfId="9" applyBorder="1" applyAlignment="1">
      <alignment horizontal="center"/>
    </xf>
    <xf numFmtId="14" fontId="19" fillId="0" borderId="32" xfId="9" applyNumberFormat="1" applyFont="1" applyBorder="1" applyAlignment="1">
      <alignment horizontal="right"/>
    </xf>
    <xf numFmtId="14" fontId="20" fillId="0" borderId="32" xfId="9" applyNumberFormat="1" applyFont="1" applyBorder="1" applyAlignment="1">
      <alignment horizontal="right" wrapText="1"/>
    </xf>
    <xf numFmtId="164" fontId="19" fillId="0" borderId="32" xfId="10" applyFont="1" applyFill="1" applyBorder="1" applyProtection="1"/>
    <xf numFmtId="164" fontId="19" fillId="0" borderId="32" xfId="10" applyFont="1" applyFill="1" applyBorder="1" applyAlignment="1" applyProtection="1">
      <alignment horizontal="left"/>
    </xf>
    <xf numFmtId="0" fontId="20" fillId="0" borderId="14" xfId="9" applyFont="1" applyBorder="1" applyAlignment="1">
      <alignment horizontal="center" wrapText="1"/>
    </xf>
    <xf numFmtId="0" fontId="34" fillId="0" borderId="28" xfId="6" applyFont="1" applyFill="1" applyBorder="1" applyAlignment="1" applyProtection="1">
      <alignment horizontal="center" vertical="center" wrapText="1"/>
    </xf>
    <xf numFmtId="0" fontId="34" fillId="0" borderId="29" xfId="6" applyFont="1" applyFill="1" applyBorder="1" applyAlignment="1" applyProtection="1">
      <alignment horizontal="center" vertical="center" wrapText="1"/>
    </xf>
    <xf numFmtId="14" fontId="34" fillId="0" borderId="29" xfId="6" applyNumberFormat="1" applyFont="1" applyFill="1" applyBorder="1" applyAlignment="1" applyProtection="1">
      <alignment horizontal="center" vertical="center" wrapText="1"/>
    </xf>
    <xf numFmtId="0" fontId="34" fillId="0" borderId="29" xfId="6" applyNumberFormat="1" applyFont="1" applyFill="1" applyBorder="1" applyAlignment="1" applyProtection="1">
      <alignment horizontal="center" vertical="center" wrapText="1"/>
    </xf>
    <xf numFmtId="164" fontId="34" fillId="0" borderId="29" xfId="6" applyNumberFormat="1" applyFont="1" applyFill="1" applyBorder="1" applyAlignment="1" applyProtection="1">
      <alignment horizontal="center" vertical="center"/>
    </xf>
    <xf numFmtId="164" fontId="34" fillId="0" borderId="29" xfId="6" applyNumberFormat="1" applyFont="1" applyFill="1" applyBorder="1" applyAlignment="1" applyProtection="1">
      <alignment horizontal="center" vertical="center" wrapText="1"/>
    </xf>
    <xf numFmtId="0" fontId="34" fillId="0" borderId="30" xfId="6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 indent="1"/>
    </xf>
    <xf numFmtId="0" fontId="35" fillId="0" borderId="0" xfId="0" applyFont="1" applyAlignment="1">
      <alignment horizontal="center"/>
    </xf>
    <xf numFmtId="0" fontId="35" fillId="18" borderId="0" xfId="0" applyFont="1" applyFill="1" applyAlignment="1">
      <alignment horizontal="center"/>
    </xf>
    <xf numFmtId="0" fontId="35" fillId="18" borderId="33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164" fontId="0" fillId="19" borderId="0" xfId="4" applyFont="1" applyFill="1"/>
    <xf numFmtId="164" fontId="37" fillId="0" borderId="0" xfId="4" applyFont="1"/>
    <xf numFmtId="164" fontId="0" fillId="0" borderId="33" xfId="4" applyFont="1" applyBorder="1"/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164" fontId="3" fillId="0" borderId="1" xfId="4" applyFont="1" applyBorder="1" applyAlignment="1">
      <alignment horizontal="center"/>
    </xf>
    <xf numFmtId="164" fontId="3" fillId="0" borderId="2" xfId="4" applyFont="1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6" xfId="7" applyFont="1" applyFill="1" applyBorder="1" applyAlignment="1">
      <alignment horizontal="center" vertical="center"/>
    </xf>
    <xf numFmtId="0" fontId="16" fillId="13" borderId="12" xfId="9" applyFont="1" applyFill="1" applyBorder="1" applyAlignment="1">
      <alignment horizontal="center" vertical="center" wrapText="1"/>
    </xf>
    <xf numFmtId="0" fontId="16" fillId="13" borderId="13" xfId="9" applyFont="1" applyFill="1" applyBorder="1" applyAlignment="1">
      <alignment horizontal="center" vertical="center" wrapText="1"/>
    </xf>
    <xf numFmtId="0" fontId="23" fillId="0" borderId="0" xfId="12" applyFont="1" applyFill="1" applyAlignment="1">
      <alignment horizontal="center" vertical="center"/>
    </xf>
  </cellXfs>
  <cellStyles count="15">
    <cellStyle name="Celda de comprobación 2" xfId="7"/>
    <cellStyle name="Encabezado 1 2" xfId="12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/>
    <cellStyle name="Normal" xfId="0" builtinId="0"/>
    <cellStyle name="Normal 2" xfId="5"/>
    <cellStyle name="Normal 3" xfId="8"/>
    <cellStyle name="Normal 4" xfId="9"/>
    <cellStyle name="Normal 5" xfId="11"/>
    <cellStyle name="Título 2 2" xfId="13"/>
  </cellStyles>
  <dxfs count="104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none">
          <fgColor indexed="64"/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numFmt numFmtId="0" formatCode="General"/>
    </dxf>
    <dxf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colors>
    <mruColors>
      <color rgb="FFFFFFFF"/>
      <color rgb="FF6600FF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07/relationships/slicerCache" Target="slicerCaches/slicerCache3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7-4819-B556-F8FBE9DBEEA3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7-4819-B556-F8FBE9DBEEA3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7-4819-B556-F8FBE9DBEEA3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A7-4819-B556-F8FBE9DBEEA3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A7-4819-B556-F8FBE9DBEEA3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A7-4819-B556-F8FBE9DBEEA3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A7-4819-B556-F8FBE9DBEEA3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A7-4819-B556-F8FBE9DBEEA3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A7-4819-B556-F8FBE9DBEEA3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A7-4819-B556-F8FBE9DBEEA3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A7-4819-B556-F8FBE9DBEEA3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A7-4819-B556-F8FBE9DBEEA3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A7-4819-B556-F8FBE9DBEEA3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A7-4819-B556-F8FBE9DBEEA3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A7-4819-B556-F8FBE9DBEEA3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A7-4819-B556-F8FBE9DBEEA3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A7-4819-B556-F8FBE9DBEEA3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A7-4819-B556-F8FBE9DBEEA3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A7-4819-B556-F8FBE9DBEEA3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A7-4819-B556-F8FBE9DBEEA3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A7-4819-B556-F8FBE9DB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Excel.xlsx]Clasificación!TablaDinámica14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ventas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Clasificación!$J$6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0D3-4F90-9346-859E5E8CBA1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0D3-4F90-9346-859E5E8CBA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Clasificación!$I$7:$I$9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Clasificación!$J$7:$J$9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E-4182-9FAF-7E07BC43BE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Excel.xlsx]Tablasdinamicas!TablaDinámica31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tx2">
                    <a:lumMod val="50000"/>
                  </a:schemeClr>
                </a:solidFill>
              </a:rPr>
              <a:t>Comparativo Valor</a:t>
            </a:r>
            <a:r>
              <a:rPr lang="es-MX" b="1" baseline="0">
                <a:solidFill>
                  <a:schemeClr val="tx2">
                    <a:lumMod val="50000"/>
                  </a:schemeClr>
                </a:solidFill>
              </a:rPr>
              <a:t> de mercado por Industria: 2014, 2015 y 2016</a:t>
            </a:r>
            <a:endParaRPr lang="es-MX" b="1">
              <a:solidFill>
                <a:schemeClr val="tx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0684824902723734"/>
          <c:y val="9.0988587825302766E-2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650909977326744"/>
          <c:y val="0.23475553171952576"/>
          <c:w val="0.49404280104568871"/>
          <c:h val="0.3810880605868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Tablasdinamicas!$A$34:$A$46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Tablasdinamicas!$B$34:$B$46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7-4008-8A0E-FCCC65701357}"/>
            </c:ext>
          </c:extLst>
        </c:ser>
        <c:ser>
          <c:idx val="1"/>
          <c:order val="1"/>
          <c:tx>
            <c:strRef>
              <c:f>Tablasdinamicas!$C$33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Tablasdinamicas!$A$34:$A$46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Tablasdinamicas!$C$34:$C$46</c:f>
              <c:numCache>
                <c:formatCode>_("$"* #,##0.00_);_("$"* \(#,##0.00\);_("$"* "-"??_);_(@_)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7-4008-8A0E-FCCC65701357}"/>
            </c:ext>
          </c:extLst>
        </c:ser>
        <c:ser>
          <c:idx val="2"/>
          <c:order val="2"/>
          <c:tx>
            <c:strRef>
              <c:f>Tablasdinamicas!$D$33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Tablasdinamicas!$A$34:$A$46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Tablasdinamicas!$D$34:$D$46</c:f>
              <c:numCache>
                <c:formatCode>_("$"* #,##0.00_);_("$"* \(#,##0.00\);_("$"* "-"??_);_(@_)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7-4008-8A0E-FCCC657013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288704"/>
        <c:axId val="725292864"/>
      </c:barChart>
      <c:catAx>
        <c:axId val="725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292864"/>
        <c:crosses val="autoZero"/>
        <c:auto val="1"/>
        <c:lblAlgn val="ctr"/>
        <c:lblOffset val="100"/>
        <c:noMultiLvlLbl val="0"/>
      </c:catAx>
      <c:valAx>
        <c:axId val="725292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252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Excel.xlsx]Tablasdinamicas!TablaDinámica34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 i="1">
                <a:solidFill>
                  <a:schemeClr val="tx2">
                    <a:lumMod val="50000"/>
                  </a:schemeClr>
                </a:solidFill>
              </a:rPr>
              <a:t>Comparativo</a:t>
            </a:r>
            <a:r>
              <a:rPr lang="es-MX" b="1" i="1" baseline="0">
                <a:solidFill>
                  <a:schemeClr val="tx2">
                    <a:lumMod val="50000"/>
                  </a:schemeClr>
                </a:solidFill>
              </a:rPr>
              <a:t> de Valor de mercado: 2014, 2015 y 2016</a:t>
            </a:r>
            <a:endParaRPr lang="es-MX" b="1" i="1">
              <a:solidFill>
                <a:schemeClr val="tx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536173032107577"/>
          <c:y val="6.7753376911179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Tablasdinamicas!$B$1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Tablasdinamicas!$A$2:$A$29</c:f>
              <c:multiLvlStrCache>
                <c:ptCount val="15"/>
                <c:lvl>
                  <c:pt idx="0">
                    <c:v>Grupo Bimbo</c:v>
                  </c:pt>
                  <c:pt idx="1">
                    <c:v>Grupo Financiero Banorte</c:v>
                  </c:pt>
                  <c:pt idx="2">
                    <c:v>Grupo Inbursa</c:v>
                  </c:pt>
                  <c:pt idx="3">
                    <c:v>Arca Continental</c:v>
                  </c:pt>
                  <c:pt idx="4">
                    <c:v>Femsa</c:v>
                  </c:pt>
                  <c:pt idx="5">
                    <c:v>Grupo Geo</c:v>
                  </c:pt>
                  <c:pt idx="6">
                    <c:v>Grupo Alfa</c:v>
                  </c:pt>
                  <c:pt idx="7">
                    <c:v>Grupo Carso</c:v>
                  </c:pt>
                  <c:pt idx="8">
                    <c:v>Grupo Homex</c:v>
                  </c:pt>
                  <c:pt idx="9">
                    <c:v>Fibra Uno</c:v>
                  </c:pt>
                  <c:pt idx="10">
                    <c:v>Cemex</c:v>
                  </c:pt>
                  <c:pt idx="11">
                    <c:v>Grupo Televisa</c:v>
                  </c:pt>
                  <c:pt idx="12">
                    <c:v>Grupo Financiero México</c:v>
                  </c:pt>
                  <c:pt idx="13">
                    <c:v>América Móvil</c:v>
                  </c:pt>
                  <c:pt idx="14">
                    <c:v>El puerto de Liverpool</c:v>
                  </c:pt>
                </c:lvl>
                <c:lvl>
                  <c:pt idx="0">
                    <c:v>Alimentos procesados</c:v>
                  </c:pt>
                  <c:pt idx="1">
                    <c:v>Banca</c:v>
                  </c:pt>
                  <c:pt idx="3">
                    <c:v>Bebidas</c:v>
                  </c:pt>
                  <c:pt idx="5">
                    <c:v>Bienes raices</c:v>
                  </c:pt>
                  <c:pt idx="6">
                    <c:v>Conglomerados</c:v>
                  </c:pt>
                  <c:pt idx="8">
                    <c:v>Construcción</c:v>
                  </c:pt>
                  <c:pt idx="9">
                    <c:v>Inversiones</c:v>
                  </c:pt>
                  <c:pt idx="10">
                    <c:v>Materiales para construcción</c:v>
                  </c:pt>
                  <c:pt idx="11">
                    <c:v>Medios de comunicación</c:v>
                  </c:pt>
                  <c:pt idx="12">
                    <c:v>Minería</c:v>
                  </c:pt>
                  <c:pt idx="13">
                    <c:v>Telecomunicaciones</c:v>
                  </c:pt>
                  <c:pt idx="14">
                    <c:v>Tiendas departamentales</c:v>
                  </c:pt>
                </c:lvl>
              </c:multiLvlStrCache>
            </c:multiLvlStrRef>
          </c:cat>
          <c:val>
            <c:numRef>
              <c:f>Tablasdinamicas!$B$2:$B$29</c:f>
              <c:numCache>
                <c:formatCode>_("$"* #,##0.00_);_("$"* \(#,##0.00\);_("$"* "-"??_);_(@_)</c:formatCode>
                <c:ptCount val="15"/>
                <c:pt idx="0">
                  <c:v>-5349</c:v>
                </c:pt>
                <c:pt idx="1">
                  <c:v>4326</c:v>
                </c:pt>
                <c:pt idx="2">
                  <c:v>-3316</c:v>
                </c:pt>
                <c:pt idx="3">
                  <c:v>12059</c:v>
                </c:pt>
                <c:pt idx="4">
                  <c:v>32126</c:v>
                </c:pt>
                <c:pt idx="5">
                  <c:v>-1537</c:v>
                </c:pt>
                <c:pt idx="6">
                  <c:v>20766</c:v>
                </c:pt>
                <c:pt idx="7">
                  <c:v>-5507</c:v>
                </c:pt>
                <c:pt idx="8">
                  <c:v>-2107</c:v>
                </c:pt>
                <c:pt idx="9">
                  <c:v>-4705</c:v>
                </c:pt>
                <c:pt idx="10">
                  <c:v>21323</c:v>
                </c:pt>
                <c:pt idx="11">
                  <c:v>16920</c:v>
                </c:pt>
                <c:pt idx="12">
                  <c:v>11500</c:v>
                </c:pt>
                <c:pt idx="13">
                  <c:v>61126</c:v>
                </c:pt>
                <c:pt idx="14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B-40C3-B2C1-15040F9F5362}"/>
            </c:ext>
          </c:extLst>
        </c:ser>
        <c:ser>
          <c:idx val="1"/>
          <c:order val="1"/>
          <c:tx>
            <c:strRef>
              <c:f>Tablasdinamicas!$C$1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Tablasdinamicas!$A$2:$A$29</c:f>
              <c:multiLvlStrCache>
                <c:ptCount val="15"/>
                <c:lvl>
                  <c:pt idx="0">
                    <c:v>Grupo Bimbo</c:v>
                  </c:pt>
                  <c:pt idx="1">
                    <c:v>Grupo Financiero Banorte</c:v>
                  </c:pt>
                  <c:pt idx="2">
                    <c:v>Grupo Inbursa</c:v>
                  </c:pt>
                  <c:pt idx="3">
                    <c:v>Arca Continental</c:v>
                  </c:pt>
                  <c:pt idx="4">
                    <c:v>Femsa</c:v>
                  </c:pt>
                  <c:pt idx="5">
                    <c:v>Grupo Geo</c:v>
                  </c:pt>
                  <c:pt idx="6">
                    <c:v>Grupo Alfa</c:v>
                  </c:pt>
                  <c:pt idx="7">
                    <c:v>Grupo Carso</c:v>
                  </c:pt>
                  <c:pt idx="8">
                    <c:v>Grupo Homex</c:v>
                  </c:pt>
                  <c:pt idx="9">
                    <c:v>Fibra Uno</c:v>
                  </c:pt>
                  <c:pt idx="10">
                    <c:v>Cemex</c:v>
                  </c:pt>
                  <c:pt idx="11">
                    <c:v>Grupo Televisa</c:v>
                  </c:pt>
                  <c:pt idx="12">
                    <c:v>Grupo Financiero México</c:v>
                  </c:pt>
                  <c:pt idx="13">
                    <c:v>América Móvil</c:v>
                  </c:pt>
                  <c:pt idx="14">
                    <c:v>El puerto de Liverpool</c:v>
                  </c:pt>
                </c:lvl>
                <c:lvl>
                  <c:pt idx="0">
                    <c:v>Alimentos procesados</c:v>
                  </c:pt>
                  <c:pt idx="1">
                    <c:v>Banca</c:v>
                  </c:pt>
                  <c:pt idx="3">
                    <c:v>Bebidas</c:v>
                  </c:pt>
                  <c:pt idx="5">
                    <c:v>Bienes raices</c:v>
                  </c:pt>
                  <c:pt idx="6">
                    <c:v>Conglomerados</c:v>
                  </c:pt>
                  <c:pt idx="8">
                    <c:v>Construcción</c:v>
                  </c:pt>
                  <c:pt idx="9">
                    <c:v>Inversiones</c:v>
                  </c:pt>
                  <c:pt idx="10">
                    <c:v>Materiales para construcción</c:v>
                  </c:pt>
                  <c:pt idx="11">
                    <c:v>Medios de comunicación</c:v>
                  </c:pt>
                  <c:pt idx="12">
                    <c:v>Minería</c:v>
                  </c:pt>
                  <c:pt idx="13">
                    <c:v>Telecomunicaciones</c:v>
                  </c:pt>
                  <c:pt idx="14">
                    <c:v>Tiendas departamentales</c:v>
                  </c:pt>
                </c:lvl>
              </c:multiLvlStrCache>
            </c:multiLvlStrRef>
          </c:cat>
          <c:val>
            <c:numRef>
              <c:f>Tablasdinamicas!$C$2:$C$29</c:f>
              <c:numCache>
                <c:formatCode>General</c:formatCode>
                <c:ptCount val="15"/>
                <c:pt idx="0">
                  <c:v>13500</c:v>
                </c:pt>
                <c:pt idx="1">
                  <c:v>15200</c:v>
                </c:pt>
                <c:pt idx="2">
                  <c:v>13300</c:v>
                </c:pt>
                <c:pt idx="3">
                  <c:v>11300</c:v>
                </c:pt>
                <c:pt idx="4">
                  <c:v>33600</c:v>
                </c:pt>
                <c:pt idx="5">
                  <c:v>237</c:v>
                </c:pt>
                <c:pt idx="6">
                  <c:v>9400</c:v>
                </c:pt>
                <c:pt idx="7">
                  <c:v>10500</c:v>
                </c:pt>
                <c:pt idx="8">
                  <c:v>177</c:v>
                </c:pt>
                <c:pt idx="9">
                  <c:v>7400</c:v>
                </c:pt>
                <c:pt idx="10">
                  <c:v>10200</c:v>
                </c:pt>
                <c:pt idx="11">
                  <c:v>15600</c:v>
                </c:pt>
                <c:pt idx="12">
                  <c:v>18500</c:v>
                </c:pt>
                <c:pt idx="13">
                  <c:v>51900</c:v>
                </c:pt>
                <c:pt idx="14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B-40C3-B2C1-15040F9F5362}"/>
            </c:ext>
          </c:extLst>
        </c:ser>
        <c:ser>
          <c:idx val="2"/>
          <c:order val="2"/>
          <c:tx>
            <c:strRef>
              <c:f>Tablasdinamicas!$D$1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Tablasdinamicas!$A$2:$A$29</c:f>
              <c:multiLvlStrCache>
                <c:ptCount val="15"/>
                <c:lvl>
                  <c:pt idx="0">
                    <c:v>Grupo Bimbo</c:v>
                  </c:pt>
                  <c:pt idx="1">
                    <c:v>Grupo Financiero Banorte</c:v>
                  </c:pt>
                  <c:pt idx="2">
                    <c:v>Grupo Inbursa</c:v>
                  </c:pt>
                  <c:pt idx="3">
                    <c:v>Arca Continental</c:v>
                  </c:pt>
                  <c:pt idx="4">
                    <c:v>Femsa</c:v>
                  </c:pt>
                  <c:pt idx="5">
                    <c:v>Grupo Geo</c:v>
                  </c:pt>
                  <c:pt idx="6">
                    <c:v>Grupo Alfa</c:v>
                  </c:pt>
                  <c:pt idx="7">
                    <c:v>Grupo Carso</c:v>
                  </c:pt>
                  <c:pt idx="8">
                    <c:v>Grupo Homex</c:v>
                  </c:pt>
                  <c:pt idx="9">
                    <c:v>Fibra Uno</c:v>
                  </c:pt>
                  <c:pt idx="10">
                    <c:v>Cemex</c:v>
                  </c:pt>
                  <c:pt idx="11">
                    <c:v>Grupo Televisa</c:v>
                  </c:pt>
                  <c:pt idx="12">
                    <c:v>Grupo Financiero México</c:v>
                  </c:pt>
                  <c:pt idx="13">
                    <c:v>América Móvil</c:v>
                  </c:pt>
                  <c:pt idx="14">
                    <c:v>El puerto de Liverpool</c:v>
                  </c:pt>
                </c:lvl>
                <c:lvl>
                  <c:pt idx="0">
                    <c:v>Alimentos procesados</c:v>
                  </c:pt>
                  <c:pt idx="1">
                    <c:v>Banca</c:v>
                  </c:pt>
                  <c:pt idx="3">
                    <c:v>Bebidas</c:v>
                  </c:pt>
                  <c:pt idx="5">
                    <c:v>Bienes raices</c:v>
                  </c:pt>
                  <c:pt idx="6">
                    <c:v>Conglomerados</c:v>
                  </c:pt>
                  <c:pt idx="8">
                    <c:v>Construcción</c:v>
                  </c:pt>
                  <c:pt idx="9">
                    <c:v>Inversiones</c:v>
                  </c:pt>
                  <c:pt idx="10">
                    <c:v>Materiales para construcción</c:v>
                  </c:pt>
                  <c:pt idx="11">
                    <c:v>Medios de comunicación</c:v>
                  </c:pt>
                  <c:pt idx="12">
                    <c:v>Minería</c:v>
                  </c:pt>
                  <c:pt idx="13">
                    <c:v>Telecomunicaciones</c:v>
                  </c:pt>
                  <c:pt idx="14">
                    <c:v>Tiendas departamentales</c:v>
                  </c:pt>
                </c:lvl>
              </c:multiLvlStrCache>
            </c:multiLvlStrRef>
          </c:cat>
          <c:val>
            <c:numRef>
              <c:f>Tablasdinamicas!$D$2:$D$29</c:f>
              <c:numCache>
                <c:formatCode>General</c:formatCode>
                <c:ptCount val="15"/>
                <c:pt idx="0">
                  <c:v>9561</c:v>
                </c:pt>
                <c:pt idx="1">
                  <c:v>1380</c:v>
                </c:pt>
                <c:pt idx="2">
                  <c:v>19794</c:v>
                </c:pt>
                <c:pt idx="3">
                  <c:v>15480</c:v>
                </c:pt>
                <c:pt idx="4">
                  <c:v>16502</c:v>
                </c:pt>
                <c:pt idx="5">
                  <c:v>99</c:v>
                </c:pt>
                <c:pt idx="6">
                  <c:v>22628</c:v>
                </c:pt>
                <c:pt idx="7">
                  <c:v>19732</c:v>
                </c:pt>
                <c:pt idx="8">
                  <c:v>-2263</c:v>
                </c:pt>
                <c:pt idx="9">
                  <c:v>-3257</c:v>
                </c:pt>
                <c:pt idx="10">
                  <c:v>26906</c:v>
                </c:pt>
                <c:pt idx="11">
                  <c:v>-1446</c:v>
                </c:pt>
                <c:pt idx="12">
                  <c:v>27815</c:v>
                </c:pt>
                <c:pt idx="13">
                  <c:v>55060</c:v>
                </c:pt>
                <c:pt idx="14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B-40C3-B2C1-15040F9F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471056"/>
        <c:axId val="738475632"/>
      </c:barChart>
      <c:catAx>
        <c:axId val="7384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tx2">
                <a:lumMod val="20000"/>
                <a:lumOff val="80000"/>
              </a:schemeClr>
            </a:outerShdw>
            <a:softEdge rad="38100"/>
          </a:effectLst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475632"/>
        <c:crosses val="autoZero"/>
        <c:auto val="1"/>
        <c:lblAlgn val="ctr"/>
        <c:lblOffset val="100"/>
        <c:noMultiLvlLbl val="1"/>
      </c:catAx>
      <c:valAx>
        <c:axId val="7384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4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Excel.xlsx]Tablasdinamicas!TablaDinámica35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solidFill>
              <a:schemeClr val="lt1"/>
            </a:solidFill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solidFill>
              <a:schemeClr val="lt1"/>
            </a:solidFill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Tablasdinamicas!$B$69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E8-41C1-84CD-CD66D1840A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E8-41C1-84CD-CD66D1840A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8E8-41C1-84CD-CD66D1840A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8E8-41C1-84CD-CD66D1840A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8E8-41C1-84CD-CD66D1840A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8E8-41C1-84CD-CD66D1840A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8E8-41C1-84CD-CD66D1840A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8E8-41C1-84CD-CD66D1840A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8E8-41C1-84CD-CD66D1840A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8E8-41C1-84CD-CD66D1840A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8E8-41C1-84CD-CD66D1840AA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8E8-41C1-84CD-CD66D1840AA6}"/>
              </c:ext>
            </c:extLst>
          </c:dPt>
          <c:dLbls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Tablasdinamicas!$A$70:$A$82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Tablasdinamicas!$B$70:$B$82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86C-4C3B-B1C6-D123868E2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Excel.xlsx]Tablasdinamicas!TablaDinámica36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dLbl>
          <c:idx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Tablasdinamicas!$B$85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3D-4A8B-80EF-7ECA6E8284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3D-4A8B-80EF-7ECA6E8284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F3D-4A8B-80EF-7ECA6E8284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F3D-4A8B-80EF-7ECA6E8284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F3D-4A8B-80EF-7ECA6E8284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F3D-4A8B-80EF-7ECA6E8284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F3D-4A8B-80EF-7ECA6E8284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F3D-4A8B-80EF-7ECA6E8284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F3D-4A8B-80EF-7ECA6E8284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F3D-4A8B-80EF-7ECA6E8284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F3D-4A8B-80EF-7ECA6E8284E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F3D-4A8B-80EF-7ECA6E8284E7}"/>
              </c:ext>
            </c:extLst>
          </c:dPt>
          <c:dLbls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Tablasdinamicas!$A$86:$A$98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Tablasdinamicas!$B$86:$B$98</c:f>
              <c:numCache>
                <c:formatCode>_("$"* #,##0.00_);_("$"* \(#,##0.00\);_("$"* "-"??_);_(@_)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F3D-4A8B-80EF-7ECA6E828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Excel.xlsx]Tablasdinamicas!TablaDinámica37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Tablasdinamicas!$B$101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53-44EC-9ECC-FA9ED768BB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653-44EC-9ECC-FA9ED768BB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653-44EC-9ECC-FA9ED768BB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653-44EC-9ECC-FA9ED768BB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653-44EC-9ECC-FA9ED768BB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653-44EC-9ECC-FA9ED768BB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653-44EC-9ECC-FA9ED768BB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653-44EC-9ECC-FA9ED768BB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653-44EC-9ECC-FA9ED768BB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653-44EC-9ECC-FA9ED768BBB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653-44EC-9ECC-FA9ED768BBB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653-44EC-9ECC-FA9ED768BBBB}"/>
              </c:ext>
            </c:extLst>
          </c:dPt>
          <c:dLbls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Tablasdinamicas!$A$102:$A$114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Tablasdinamicas!$B$102:$B$114</c:f>
              <c:numCache>
                <c:formatCode>_("$"* #,##0.00_);_("$"* \(#,##0.00\);_("$"* "-"??_);_(@_)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53-44EC-9ECC-FA9ED768BB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487210</xdr:colOff>
      <xdr:row>1</xdr:row>
      <xdr:rowOff>16179</xdr:rowOff>
    </xdr:from>
    <xdr:to>
      <xdr:col>11</xdr:col>
      <xdr:colOff>307932</xdr:colOff>
      <xdr:row>22</xdr:row>
      <xdr:rowOff>10830</xdr:rowOff>
    </xdr:to>
    <xdr:graphicFrame macro="">
      <xdr:nvGraphicFramePr>
        <xdr:cNvPr id="2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833437</xdr:colOff>
      <xdr:row>10</xdr:row>
      <xdr:rowOff>19050</xdr:rowOff>
    </xdr:from>
    <xdr:to>
      <xdr:col>12</xdr:col>
      <xdr:colOff>709612</xdr:colOff>
      <xdr:row>23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2</xdr:col>
      <xdr:colOff>371475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30</xdr:row>
      <xdr:rowOff>85723</xdr:rowOff>
    </xdr:from>
    <xdr:to>
      <xdr:col>3</xdr:col>
      <xdr:colOff>85725</xdr:colOff>
      <xdr:row>55</xdr:row>
      <xdr:rowOff>38100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0</xdr:row>
      <xdr:rowOff>95250</xdr:rowOff>
    </xdr:from>
    <xdr:to>
      <xdr:col>6</xdr:col>
      <xdr:colOff>495300</xdr:colOff>
      <xdr:row>3</xdr:row>
      <xdr:rowOff>28575</xdr:rowOff>
    </xdr:to>
    <xdr:sp macro="" textlink="">
      <xdr:nvSpPr>
        <xdr:cNvPr id="3" name="Redondear rectángulo de esquina diagonal 2"/>
        <xdr:cNvSpPr/>
      </xdr:nvSpPr>
      <xdr:spPr>
        <a:xfrm>
          <a:off x="219075" y="95250"/>
          <a:ext cx="4848225" cy="504825"/>
        </a:xfrm>
        <a:prstGeom prst="round2DiagRect">
          <a:avLst/>
        </a:prstGeom>
        <a:solidFill>
          <a:srgbClr val="3333CC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>
              <a:latin typeface="Arial Rounded MT Bold" panose="020F0704030504030204" pitchFamily="34" charset="0"/>
            </a:rPr>
            <a:t>Las empresas más grandes de Mexico en 2016.</a:t>
          </a:r>
        </a:p>
      </xdr:txBody>
    </xdr:sp>
    <xdr:clientData/>
  </xdr:twoCellAnchor>
  <xdr:twoCellAnchor>
    <xdr:from>
      <xdr:col>0</xdr:col>
      <xdr:colOff>228601</xdr:colOff>
      <xdr:row>3</xdr:row>
      <xdr:rowOff>142876</xdr:rowOff>
    </xdr:from>
    <xdr:to>
      <xdr:col>2</xdr:col>
      <xdr:colOff>95251</xdr:colOff>
      <xdr:row>5</xdr:row>
      <xdr:rowOff>104776</xdr:rowOff>
    </xdr:to>
    <xdr:sp macro="" textlink="">
      <xdr:nvSpPr>
        <xdr:cNvPr id="4" name="Rectángulo 3"/>
        <xdr:cNvSpPr/>
      </xdr:nvSpPr>
      <xdr:spPr>
        <a:xfrm>
          <a:off x="228601" y="714376"/>
          <a:ext cx="1390650" cy="342900"/>
        </a:xfrm>
        <a:prstGeom prst="rect">
          <a:avLst/>
        </a:prstGeom>
        <a:solidFill>
          <a:srgbClr val="66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/>
            <a:t>INFORME</a:t>
          </a:r>
        </a:p>
      </xdr:txBody>
    </xdr:sp>
    <xdr:clientData/>
  </xdr:twoCellAnchor>
  <xdr:twoCellAnchor editAs="oneCell">
    <xdr:from>
      <xdr:col>2</xdr:col>
      <xdr:colOff>561975</xdr:colOff>
      <xdr:row>4</xdr:row>
      <xdr:rowOff>28575</xdr:rowOff>
    </xdr:from>
    <xdr:to>
      <xdr:col>5</xdr:col>
      <xdr:colOff>142875</xdr:colOff>
      <xdr:row>9</xdr:row>
      <xdr:rowOff>142875</xdr:rowOff>
    </xdr:to>
    <xdr:pic>
      <xdr:nvPicPr>
        <xdr:cNvPr id="5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790575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6</xdr:row>
      <xdr:rowOff>0</xdr:rowOff>
    </xdr:from>
    <xdr:to>
      <xdr:col>1</xdr:col>
      <xdr:colOff>171450</xdr:colOff>
      <xdr:row>12</xdr:row>
      <xdr:rowOff>123825</xdr:rowOff>
    </xdr:to>
    <xdr:sp macro="" textlink="">
      <xdr:nvSpPr>
        <xdr:cNvPr id="8" name="Estrella de 16 puntas 7"/>
        <xdr:cNvSpPr/>
      </xdr:nvSpPr>
      <xdr:spPr>
        <a:xfrm>
          <a:off x="152400" y="1143000"/>
          <a:ext cx="1647825" cy="1266825"/>
        </a:xfrm>
        <a:prstGeom prst="star16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Top 15 empresas de México</a:t>
          </a:r>
          <a:endParaRPr lang="es-MX" b="1">
            <a:solidFill>
              <a:schemeClr val="tx2">
                <a:lumMod val="50000"/>
              </a:schemeClr>
            </a:solidFill>
            <a:effectLst/>
          </a:endParaRP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1447800</xdr:colOff>
      <xdr:row>13</xdr:row>
      <xdr:rowOff>57150</xdr:rowOff>
    </xdr:from>
    <xdr:to>
      <xdr:col>2</xdr:col>
      <xdr:colOff>1724025</xdr:colOff>
      <xdr:row>13</xdr:row>
      <xdr:rowOff>142875</xdr:rowOff>
    </xdr:to>
    <xdr:sp macro="" textlink="">
      <xdr:nvSpPr>
        <xdr:cNvPr id="9" name="Flecha derecha 8"/>
        <xdr:cNvSpPr/>
      </xdr:nvSpPr>
      <xdr:spPr>
        <a:xfrm>
          <a:off x="4667250" y="2533650"/>
          <a:ext cx="276225" cy="85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171450</xdr:colOff>
      <xdr:row>10</xdr:row>
      <xdr:rowOff>104775</xdr:rowOff>
    </xdr:from>
    <xdr:to>
      <xdr:col>5</xdr:col>
      <xdr:colOff>666750</xdr:colOff>
      <xdr:row>12</xdr:row>
      <xdr:rowOff>19050</xdr:rowOff>
    </xdr:to>
    <xdr:sp macro="" textlink="">
      <xdr:nvSpPr>
        <xdr:cNvPr id="10" name="Proceso alternativo 9"/>
        <xdr:cNvSpPr/>
      </xdr:nvSpPr>
      <xdr:spPr>
        <a:xfrm>
          <a:off x="5172075" y="2009775"/>
          <a:ext cx="2343150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latin typeface="Bahnschrift Light" panose="020B0502040204020203" pitchFamily="34" charset="0"/>
            </a:rPr>
            <a:t>Valor de mercado:</a:t>
          </a:r>
        </a:p>
      </xdr:txBody>
    </xdr:sp>
    <xdr:clientData/>
  </xdr:twoCellAnchor>
  <xdr:twoCellAnchor>
    <xdr:from>
      <xdr:col>6</xdr:col>
      <xdr:colOff>280985</xdr:colOff>
      <xdr:row>3</xdr:row>
      <xdr:rowOff>152399</xdr:rowOff>
    </xdr:from>
    <xdr:to>
      <xdr:col>15</xdr:col>
      <xdr:colOff>381000</xdr:colOff>
      <xdr:row>30</xdr:row>
      <xdr:rowOff>9525</xdr:rowOff>
    </xdr:to>
    <xdr:graphicFrame macro="">
      <xdr:nvGraphicFramePr>
        <xdr:cNvPr id="11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285750</xdr:colOff>
      <xdr:row>30</xdr:row>
      <xdr:rowOff>123824</xdr:rowOff>
    </xdr:from>
    <xdr:to>
      <xdr:col>8</xdr:col>
      <xdr:colOff>581025</xdr:colOff>
      <xdr:row>55</xdr:row>
      <xdr:rowOff>19050</xdr:rowOff>
    </xdr:to>
    <xdr:graphicFrame macro="">
      <xdr:nvGraphicFramePr>
        <xdr:cNvPr id="13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58509</xdr:colOff>
      <xdr:row>30</xdr:row>
      <xdr:rowOff>129268</xdr:rowOff>
    </xdr:from>
    <xdr:to>
      <xdr:col>15</xdr:col>
      <xdr:colOff>734784</xdr:colOff>
      <xdr:row>55</xdr:row>
      <xdr:rowOff>40822</xdr:rowOff>
    </xdr:to>
    <xdr:graphicFrame macro="">
      <xdr:nvGraphicFramePr>
        <xdr:cNvPr id="14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123143</xdr:colOff>
      <xdr:row>30</xdr:row>
      <xdr:rowOff>134711</xdr:rowOff>
    </xdr:from>
    <xdr:to>
      <xdr:col>22</xdr:col>
      <xdr:colOff>421820</xdr:colOff>
      <xdr:row>55</xdr:row>
      <xdr:rowOff>54429</xdr:rowOff>
    </xdr:to>
    <xdr:graphicFrame macro="">
      <xdr:nvGraphicFramePr>
        <xdr:cNvPr id="18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27213</xdr:colOff>
      <xdr:row>1</xdr:row>
      <xdr:rowOff>27214</xdr:rowOff>
    </xdr:from>
    <xdr:to>
      <xdr:col>19</xdr:col>
      <xdr:colOff>639534</xdr:colOff>
      <xdr:row>15</xdr:row>
      <xdr:rowOff>27214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Nomb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19972" y="215917"/>
              <a:ext cx="2903713" cy="2641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204107</xdr:colOff>
      <xdr:row>1</xdr:row>
      <xdr:rowOff>54428</xdr:rowOff>
    </xdr:from>
    <xdr:to>
      <xdr:col>23</xdr:col>
      <xdr:colOff>693965</xdr:colOff>
      <xdr:row>12</xdr:row>
      <xdr:rowOff>108857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Indust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52055" y="243131"/>
              <a:ext cx="2781250" cy="213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81642</xdr:colOff>
      <xdr:row>15</xdr:row>
      <xdr:rowOff>149678</xdr:rowOff>
    </xdr:from>
    <xdr:to>
      <xdr:col>19</xdr:col>
      <xdr:colOff>721180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Valor de mercado 2014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74401" y="2980220"/>
              <a:ext cx="2930930" cy="2501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380998</xdr:colOff>
      <xdr:row>13</xdr:row>
      <xdr:rowOff>136072</xdr:rowOff>
    </xdr:from>
    <xdr:to>
      <xdr:col>28</xdr:col>
      <xdr:colOff>598714</xdr:colOff>
      <xdr:row>27</xdr:row>
      <xdr:rowOff>13608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Valor de mercado 2016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84135" y="2589209"/>
              <a:ext cx="3272904" cy="25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81642</xdr:colOff>
      <xdr:row>13</xdr:row>
      <xdr:rowOff>136071</xdr:rowOff>
    </xdr:from>
    <xdr:to>
      <xdr:col>24</xdr:col>
      <xdr:colOff>217713</xdr:colOff>
      <xdr:row>26</xdr:row>
      <xdr:rowOff>183696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Valor de mercado 2016 (mdd)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29590" y="2589208"/>
              <a:ext cx="3191260" cy="2500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et Martinez Gil" refreshedDate="44372.589455208334" createdVersion="6" refreshedVersion="6" minRefreshableVersion="3" recordCount="30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net Martinez Gil" refreshedDate="44372.614773148147" createdVersion="6" refreshedVersion="6" minRefreshableVersion="3" recordCount="15">
  <cacheSource type="worksheet">
    <worksheetSource name="tbl_Rendimiento7[[Nombre]:[Valor de mercado 2016(mdd)]]"/>
  </cacheSource>
  <cacheFields count="6">
    <cacheField name="Nombre" numFmtId="0">
      <sharedItems/>
    </cacheField>
    <cacheField name="Lugar en lista global" numFmtId="1">
      <sharedItems containsSemiMixedTypes="0" containsString="0" containsNumber="1" containsInteger="1" minValue="1" maxValue="15"/>
    </cacheField>
    <cacheField name="País" numFmtId="1">
      <sharedItems/>
    </cacheField>
    <cacheField name="Industria" numFmtId="0">
      <sharedItems count="9">
        <s v="Banca"/>
        <s v="Servicios de Inversión"/>
        <s v="Finanzas Diversificadas"/>
        <s v="Cómputo"/>
        <s v="Petróleo y gas"/>
        <s v="Automotriz"/>
        <s v="Telecomunicaciones"/>
        <s v="Bienes raices"/>
        <s v="Retail"/>
      </sharedItems>
    </cacheField>
    <cacheField name="Valor de mercado 2015 (mdd)" numFmtId="167">
      <sharedItems containsSemiMixedTypes="0" containsString="0" containsNumber="1" containsInteger="1" minValue="17000000" maxValue="310000000"/>
    </cacheField>
    <cacheField name="Valor de mercado 2016(mdd)" numFmtId="167">
      <sharedItems containsSemiMixedTypes="0" containsString="0" containsNumber="1" containsInteger="1" minValue="-67885594" maxValue="358752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net Martinez Gil" refreshedDate="44372.626930671293" createdVersion="6" refreshedVersion="6" minRefreshableVersion="3" recordCount="15">
  <cacheSource type="worksheet">
    <worksheetSource name="Basedatos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s v="Industrial and Commercial Bank of China"/>
    <n v="1"/>
    <s v="China"/>
    <x v="0"/>
    <n v="310000000"/>
    <n v="358752007"/>
  </r>
  <r>
    <s v="China Construction Bank"/>
    <n v="2"/>
    <s v="China"/>
    <x v="0"/>
    <n v="280000000"/>
    <n v="267972981"/>
  </r>
  <r>
    <s v="The Agricultural Bank of China"/>
    <n v="3"/>
    <s v="China"/>
    <x v="0"/>
    <n v="280000000"/>
    <n v="324244137"/>
  </r>
  <r>
    <s v="Berkshire Hathaway"/>
    <n v="4"/>
    <s v="EE.UU"/>
    <x v="1"/>
    <n v="56100000"/>
    <n v="85060949"/>
  </r>
  <r>
    <s v="JPMorgan Chase"/>
    <n v="5"/>
    <s v="EE.UU"/>
    <x v="2"/>
    <n v="24000000"/>
    <n v="-67885594"/>
  </r>
  <r>
    <s v="Bank of China"/>
    <n v="6"/>
    <s v="China"/>
    <x v="0"/>
    <n v="23000000"/>
    <n v="31816071"/>
  </r>
  <r>
    <s v="Wells Fargo"/>
    <n v="7"/>
    <s v="EE.UU"/>
    <x v="0"/>
    <n v="22000000"/>
    <n v="15320259"/>
  </r>
  <r>
    <s v="Apple"/>
    <n v="8"/>
    <s v="EE.UU"/>
    <x v="3"/>
    <n v="22000000"/>
    <n v="43952449"/>
  </r>
  <r>
    <s v="ExxonMobil"/>
    <n v="9"/>
    <s v="EE.UU"/>
    <x v="4"/>
    <n v="21000000"/>
    <n v="61894042"/>
  </r>
  <r>
    <s v="Toyota Motor"/>
    <n v="10"/>
    <s v="Japón"/>
    <x v="5"/>
    <n v="21000000"/>
    <n v="51254207"/>
  </r>
  <r>
    <s v="Bank of America"/>
    <n v="11"/>
    <s v="EE.UU"/>
    <x v="0"/>
    <n v="21000000"/>
    <n v="-51402883"/>
  </r>
  <r>
    <s v="AT&amp;T"/>
    <n v="12"/>
    <s v="EE.UU"/>
    <x v="6"/>
    <n v="20000000"/>
    <n v="6998855"/>
  </r>
  <r>
    <s v="Citigroup"/>
    <n v="13"/>
    <s v="EE.UU"/>
    <x v="7"/>
    <n v="18000000"/>
    <n v="-67569210"/>
  </r>
  <r>
    <s v="HSBC Holdings"/>
    <n v="14"/>
    <s v="Reino Unido"/>
    <x v="0"/>
    <n v="18000000"/>
    <n v="15087630"/>
  </r>
  <r>
    <s v="Wal-Mart"/>
    <n v="15"/>
    <s v="EE.UU"/>
    <x v="8"/>
    <n v="17000000"/>
    <n v="402381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m/>
    <m/>
    <m/>
    <m/>
    <m/>
    <m/>
    <m/>
    <m/>
    <m/>
    <m/>
    <m/>
    <m/>
    <m/>
  </r>
  <r>
    <x v="1"/>
    <x v="1"/>
    <x v="1"/>
    <x v="1"/>
    <x v="1"/>
    <x v="1"/>
    <m/>
    <m/>
    <m/>
    <m/>
    <m/>
    <m/>
    <m/>
    <m/>
    <m/>
    <m/>
    <m/>
    <m/>
    <m/>
  </r>
  <r>
    <x v="2"/>
    <x v="2"/>
    <x v="2"/>
    <x v="2"/>
    <x v="2"/>
    <x v="2"/>
    <m/>
    <m/>
    <m/>
    <m/>
    <m/>
    <m/>
    <m/>
    <m/>
    <m/>
    <m/>
    <m/>
    <m/>
    <m/>
  </r>
  <r>
    <x v="3"/>
    <x v="3"/>
    <x v="3"/>
    <x v="3"/>
    <x v="3"/>
    <x v="3"/>
    <m/>
    <m/>
    <m/>
    <m/>
    <m/>
    <m/>
    <m/>
    <m/>
    <m/>
    <m/>
    <m/>
    <m/>
    <m/>
  </r>
  <r>
    <x v="4"/>
    <x v="4"/>
    <x v="4"/>
    <x v="4"/>
    <x v="4"/>
    <x v="4"/>
    <m/>
    <m/>
    <m/>
    <m/>
    <m/>
    <m/>
    <m/>
    <m/>
    <m/>
    <m/>
    <m/>
    <m/>
    <m/>
  </r>
  <r>
    <x v="5"/>
    <x v="5"/>
    <x v="5"/>
    <x v="5"/>
    <x v="5"/>
    <x v="5"/>
    <m/>
    <m/>
    <m/>
    <m/>
    <m/>
    <m/>
    <m/>
    <m/>
    <m/>
    <m/>
    <m/>
    <m/>
    <m/>
  </r>
  <r>
    <x v="6"/>
    <x v="6"/>
    <x v="2"/>
    <x v="6"/>
    <x v="6"/>
    <x v="6"/>
    <m/>
    <m/>
    <m/>
    <m/>
    <m/>
    <m/>
    <m/>
    <m/>
    <m/>
    <m/>
    <m/>
    <m/>
    <m/>
  </r>
  <r>
    <x v="7"/>
    <x v="7"/>
    <x v="6"/>
    <x v="7"/>
    <x v="7"/>
    <x v="7"/>
    <m/>
    <m/>
    <m/>
    <m/>
    <m/>
    <m/>
    <m/>
    <m/>
    <m/>
    <m/>
    <m/>
    <m/>
    <m/>
  </r>
  <r>
    <x v="8"/>
    <x v="8"/>
    <x v="7"/>
    <x v="8"/>
    <x v="8"/>
    <x v="8"/>
    <m/>
    <m/>
    <m/>
    <m/>
    <m/>
    <m/>
    <m/>
    <m/>
    <m/>
    <m/>
    <m/>
    <m/>
    <m/>
  </r>
  <r>
    <x v="9"/>
    <x v="9"/>
    <x v="8"/>
    <x v="9"/>
    <x v="9"/>
    <x v="9"/>
    <m/>
    <m/>
    <m/>
    <m/>
    <m/>
    <m/>
    <m/>
    <m/>
    <m/>
    <m/>
    <m/>
    <m/>
    <m/>
  </r>
  <r>
    <x v="10"/>
    <x v="10"/>
    <x v="1"/>
    <x v="10"/>
    <x v="10"/>
    <x v="10"/>
    <m/>
    <m/>
    <m/>
    <m/>
    <m/>
    <m/>
    <m/>
    <m/>
    <m/>
    <m/>
    <m/>
    <m/>
    <m/>
  </r>
  <r>
    <x v="11"/>
    <x v="11"/>
    <x v="7"/>
    <x v="11"/>
    <x v="11"/>
    <x v="11"/>
    <m/>
    <m/>
    <m/>
    <m/>
    <m/>
    <m/>
    <m/>
    <m/>
    <m/>
    <m/>
    <m/>
    <m/>
    <m/>
  </r>
  <r>
    <x v="12"/>
    <x v="12"/>
    <x v="9"/>
    <x v="12"/>
    <x v="12"/>
    <x v="12"/>
    <m/>
    <m/>
    <m/>
    <m/>
    <m/>
    <m/>
    <m/>
    <m/>
    <m/>
    <m/>
    <m/>
    <m/>
    <m/>
  </r>
  <r>
    <x v="13"/>
    <x v="13"/>
    <x v="10"/>
    <x v="13"/>
    <x v="13"/>
    <x v="13"/>
    <m/>
    <m/>
    <m/>
    <m/>
    <m/>
    <m/>
    <m/>
    <m/>
    <m/>
    <m/>
    <m/>
    <m/>
    <m/>
  </r>
  <r>
    <x v="14"/>
    <x v="14"/>
    <x v="11"/>
    <x v="14"/>
    <x v="14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4" cacheId="5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6:J9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2" baseItem="0" numFmtId="44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9" cacheId="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9:D39" firstHeaderRow="0" firstDataRow="1" firstDataCol="1"/>
  <pivotFields count="6">
    <pivotField showAll="0"/>
    <pivotField numFmtId="1" showAll="0"/>
    <pivotField showAll="0"/>
    <pivotField axis="axisRow" showAll="0">
      <items count="10">
        <item x="5"/>
        <item x="0"/>
        <item x="7"/>
        <item x="3"/>
        <item x="2"/>
        <item x="4"/>
        <item x="8"/>
        <item x="1"/>
        <item x="6"/>
        <item t="default"/>
      </items>
    </pivotField>
    <pivotField dataField="1" numFmtId="167" showAll="0"/>
    <pivotField dataField="1" numFmtId="167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de mercado 2015 (mdd)" fld="4" baseField="3" baseItem="0" numFmtId="44"/>
    <dataField name="Suma de Valor de mercado 2016(mdd)" fld="5" baseField="3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6" cacheId="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85:B98" firstHeaderRow="1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/>
    <pivotField dataField="1" numFmtId="167" showAll="0"/>
    <pivotField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alor de mercado 2015 (mdd)2" fld="4" baseField="0" baseItem="0" numFmtId="164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5" cacheId="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A69:B82" firstHeaderRow="1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alor de mercado 2014 (mdd)" fld="3" baseField="2" baseItem="0" numFmtId="44"/>
  </dataFields>
  <chartFormats count="15"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34" cacheId="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1:D29" firstHeaderRow="0" firstDataRow="1" firstDataCol="1"/>
  <pivotFields count="19">
    <pivotField axis="axisRow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28">
    <i>
      <x/>
    </i>
    <i r="1">
      <x v="7"/>
    </i>
    <i>
      <x v="1"/>
    </i>
    <i r="1">
      <x v="9"/>
    </i>
    <i r="1">
      <x v="13"/>
    </i>
    <i>
      <x v="2"/>
    </i>
    <i r="1">
      <x v="1"/>
    </i>
    <i r="1">
      <x v="4"/>
    </i>
    <i>
      <x v="3"/>
    </i>
    <i r="1">
      <x v="11"/>
    </i>
    <i>
      <x v="4"/>
    </i>
    <i r="1">
      <x v="6"/>
    </i>
    <i r="1">
      <x v="8"/>
    </i>
    <i>
      <x v="5"/>
    </i>
    <i r="1">
      <x v="12"/>
    </i>
    <i>
      <x v="6"/>
    </i>
    <i r="1">
      <x v="5"/>
    </i>
    <i>
      <x v="7"/>
    </i>
    <i r="1">
      <x v="2"/>
    </i>
    <i>
      <x v="8"/>
    </i>
    <i r="1">
      <x v="14"/>
    </i>
    <i>
      <x v="9"/>
    </i>
    <i r="1">
      <x v="10"/>
    </i>
    <i>
      <x v="10"/>
    </i>
    <i r="1">
      <x/>
    </i>
    <i>
      <x v="11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2" baseItem="0" numFmtId="44"/>
    <dataField name="Suma de Valor de mercado 2015 (mdd)2" fld="4" baseField="0" baseItem="0"/>
    <dataField name="Suma de Valor de mercado 2016 (mdd)" fld="5" baseField="0" baseItem="0"/>
  </dataFields>
  <chartFormats count="4"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33" cacheId="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49:F66" firstHeaderRow="1" firstDataRow="2" firstDataCol="3"/>
  <pivotFields count="19">
    <pivotField axis="axisRow" compact="0" outline="0" showAll="0" defaultSubtotal="0">
      <items count="15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</items>
    </pivotField>
    <pivotField axis="axisRow" compact="0" outline="0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outline="0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compact="0" numFmtId="167" outline="0" showAll="0"/>
    <pivotField dataField="1" compact="0" numFmtId="167" outline="0" showAll="0"/>
    <pivotField dataField="1"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"/>
    <field x="0"/>
    <field x="2"/>
  </rowFields>
  <rowItems count="16">
    <i>
      <x/>
      <x/>
      <x v="10"/>
    </i>
    <i>
      <x v="1"/>
      <x v="4"/>
      <x v="2"/>
    </i>
    <i>
      <x v="2"/>
      <x v="9"/>
      <x v="1"/>
    </i>
    <i>
      <x v="3"/>
      <x v="10"/>
      <x v="9"/>
    </i>
    <i>
      <x v="4"/>
      <x v="14"/>
      <x v="8"/>
    </i>
    <i>
      <x v="5"/>
      <x v="2"/>
      <x v="7"/>
    </i>
    <i>
      <x v="6"/>
      <x v="13"/>
      <x v="1"/>
    </i>
    <i>
      <x v="7"/>
      <x v="7"/>
      <x/>
    </i>
    <i>
      <x v="8"/>
      <x v="6"/>
      <x v="4"/>
    </i>
    <i>
      <x v="9"/>
      <x v="3"/>
      <x v="11"/>
    </i>
    <i>
      <x v="10"/>
      <x v="1"/>
      <x v="2"/>
    </i>
    <i>
      <x v="11"/>
      <x v="8"/>
      <x v="4"/>
    </i>
    <i>
      <x v="12"/>
      <x v="11"/>
      <x v="3"/>
    </i>
    <i>
      <x v="13"/>
      <x v="12"/>
      <x v="5"/>
    </i>
    <i>
      <x v="14"/>
      <x v="5"/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31" cacheId="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3:D46" firstHeaderRow="0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/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2" baseItem="0" numFmtId="44"/>
    <dataField name="Suma de Valor de mercado 2015 (mdd)2" fld="4" baseField="0" baseItem="0" numFmtId="164"/>
    <dataField name="Suma de Valor de mercado 2016 (mdd)" fld="5" baseField="0" baseItem="0" numFmtId="164"/>
  </dataFields>
  <formats count="1">
    <format dxfId="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hartFormats count="3"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37" cacheId="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101:B114" firstHeaderRow="1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/>
    <pivotField numFmtId="167" showAll="0"/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alor de mercado 2016 (mdd)" fld="5" baseField="0" baseItem="0" numFmtId="164"/>
  </dataFields>
  <formats count="1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5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" sourceName="Nombre">
  <pivotTables>
    <pivotTable tabId="13" name="TablaDinámica34"/>
  </pivotTables>
  <data>
    <tabular pivotCacheId="1">
      <items count="15">
        <i x="0" s="1"/>
        <i x="10" s="1"/>
        <i x="5" s="1"/>
        <i x="9" s="1"/>
        <i x="1" s="1"/>
        <i x="14" s="1"/>
        <i x="8" s="1"/>
        <i x="7" s="1"/>
        <i x="11" s="1"/>
        <i x="2" s="1"/>
        <i x="3" s="1"/>
        <i x="12" s="1"/>
        <i x="13" s="1"/>
        <i x="6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pivotTables>
    <pivotTable tabId="13" name="TablaDinámica34"/>
    <pivotTable tabId="13" name="TablaDinámica31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4__mdd" sourceName="Valor de mercado 2014 (mdd)">
  <pivotTables>
    <pivotTable tabId="13" name="TablaDinámica34"/>
    <pivotTable tabId="13" name="TablaDinámica31"/>
    <pivotTable tabId="13" name="TablaDinámica35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6__mdd" sourceName="Valor de mercado 2016 (mdd)">
  <pivotTables>
    <pivotTable tabId="13" name="TablaDinámica34"/>
    <pivotTable tabId="13" name="TablaDinámica31"/>
    <pivotTable tabId="13" name="TablaDinámica37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" cache="SegmentaciónDeDatos_Nombre" caption="Nombre" columnCount="2" style="SlicerStyleOther2" rowHeight="241300"/>
  <slicer name="Industria" cache="SegmentaciónDeDatos_Industria" caption="Industria" columnCount="2" style="SlicerStyleLight5" rowHeight="241300"/>
  <slicer name="Valor de mercado 2014 (mdd)" cache="SegmentaciónDeDatos_Valor_de_mercado_2014__mdd" caption="Valor de mercado 2014 (mdd)" columnCount="2" style="SlicerStyleLight5" rowHeight="241300"/>
  <slicer name="Valor de mercado 2016 (mdd)" cache="SegmentaciónDeDatos_Valor_de_mercado_2016__mdd" caption="Valor de mercado 2016 (mdd)" columnCount="2" style="SlicerStyleLight5" rowHeight="241300"/>
  <slicer name="Valor de mercado 2016 (mdd) 1" cache="SegmentaciónDeDatos_Valor_de_mercado_2016__mdd" caption="Valor de mercado 2016 (mdd)" columnCount="2" style="SlicerStyleOther2" rowHeight="241300"/>
</slicers>
</file>

<file path=xl/tables/table1.xml><?xml version="1.0" encoding="utf-8"?>
<table xmlns="http://schemas.openxmlformats.org/spreadsheetml/2006/main" id="6" name="Tabla6" displayName="Tabla6" ref="A6:J54" totalsRowShown="0" headerRowDxfId="101" tableBorderDxfId="100">
  <autoFilter ref="A6:J54"/>
  <tableColumns count="10">
    <tableColumn id="1" name="ID" dataDxfId="99"/>
    <tableColumn id="2" name="FechaDeOrden" dataDxfId="98"/>
    <tableColumn id="3" name="Empleado" dataDxfId="97"/>
    <tableColumn id="4" name="Status" dataDxfId="96"/>
    <tableColumn id="5" name="Compañía" dataDxfId="95"/>
    <tableColumn id="6" name="Fecha de envío" dataDxfId="94"/>
    <tableColumn id="7" name="Cantidad" dataDxfId="93"/>
    <tableColumn id="8" name="Precio" dataDxfId="92" dataCellStyle="Moneda"/>
    <tableColumn id="9" name="Costo de envío" dataDxfId="91" dataCellStyle="Moneda"/>
    <tableColumn id="10" name="Total" dataDxfId="9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Label="Total"/>
    <tableColumn id="2" name="ID" totalsRowFunction="count"/>
    <tableColumn id="3" name="Primer nombre" totalsRowFunction="count"/>
    <tableColumn id="4" name="Apellido" totalsRowFunction="count"/>
    <tableColumn id="5" name="Teléfono" totalsRowFunction="count"/>
    <tableColumn id="6" name="Puesto" totalsRowFunction="count"/>
    <tableColumn id="7" name="Compras realizadas" totalsRowFunction="sum" dataDxfId="89" totalsRowDxfId="88" dataCellStyle="Moneda"/>
    <tableColumn id="8" name="Dirección" totalsRowFunction="count"/>
    <tableColumn id="9" name="Estado/Provincia" totalsRowFunction="count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4:E14" totalsRowShown="0" headerRowDxfId="86">
  <autoFilter ref="A4:E14"/>
  <tableColumns count="5">
    <tableColumn id="1" name="Compañía"/>
    <tableColumn id="2" name="Pedidos" dataDxfId="85"/>
    <tableColumn id="3" name="Primer nombre"/>
    <tableColumn id="4" name="Apellido"/>
    <tableColumn id="5" name="Puesto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8" name="Tabla8" displayName="Tabla8" ref="C8:K39" totalsRowCount="1" headerRowDxfId="84" tableBorderDxfId="83" headerRowCellStyle="Normal 3">
  <autoFilter ref="C8:K38"/>
  <tableColumns count="9">
    <tableColumn id="1" name="Referencia" totalsRowLabel="Total"/>
    <tableColumn id="2" name="Fecha Alta" dataDxfId="82" dataCellStyle="Normal 3"/>
    <tableColumn id="3" name="Tipo"/>
    <tableColumn id="4" name="Operación"/>
    <tableColumn id="5" name="Estado"/>
    <tableColumn id="6" name="Superficie"/>
    <tableColumn id="7" name="Monto" totalsRowFunction="sum" dataDxfId="81" totalsRowDxfId="80" dataCellStyle="Normal 3"/>
    <tableColumn id="8" name="Fecha Venta" dataDxfId="79" dataCellStyle="Normal 3"/>
    <tableColumn id="9" name="Vendedor" totalsRowFunction="coun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" name="Tabla5" displayName="Tabla5" ref="C6:G36" totalsRowShown="0">
  <autoFilter ref="C6:G36"/>
  <tableColumns count="5">
    <tableColumn id="1" name="Giro Comercial"/>
    <tableColumn id="5" name="Código" dataDxfId="78"/>
    <tableColumn id="2" name="Operación"/>
    <tableColumn id="3" name="Estado"/>
    <tableColumn id="4" name="Monto" dataDxfId="77" dataCellStyle="Moneda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3" name="Auditoría" displayName="Auditoría" ref="C4:I25">
  <autoFilter ref="C4:I25"/>
  <tableColumns count="7">
    <tableColumn id="1" name="Referencia" totalsRowLabel="Total"/>
    <tableColumn id="2" name="Fecha Alta" dataDxfId="76"/>
    <tableColumn id="3" name="Tipo"/>
    <tableColumn id="4" name="Operación"/>
    <tableColumn id="5" name="Estado"/>
    <tableColumn id="6" name="Superficie"/>
    <tableColumn id="7" name="Monto de venta" totalsRowFunction="sum" dataDxfId="75" totalsRowDxfId="74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id="9" name="Tabla9" displayName="Tabla9" ref="B12:H39" totalsRowShown="0" headerRowDxfId="70" headerRowBorderDxfId="69" tableBorderDxfId="68" totalsRowBorderDxfId="67">
  <autoFilter ref="B12:H39"/>
  <tableColumns count="7">
    <tableColumn id="1" name="Cuenta No." dataDxfId="66" dataCellStyle="Normal 4"/>
    <tableColumn id="2" name="Factura No." dataDxfId="65" dataCellStyle="Normal 4"/>
    <tableColumn id="3" name="Fecha Factura" dataDxfId="64" dataCellStyle="Normal 4"/>
    <tableColumn id="4" name="Fecha Vencim." dataDxfId="63" dataCellStyle="Normal 4"/>
    <tableColumn id="5" name="Monto" dataDxfId="62" dataCellStyle="Moneda 2"/>
    <tableColumn id="6" name="Vendedor" dataDxfId="61" dataCellStyle="Moneda 2"/>
    <tableColumn id="7" name="Días Vencidos" dataDxfId="60" dataCellStyle="Normal 4">
      <calculatedColumnFormula>IF($C$8&gt;Tabla9[[#This Row],[Fecha Vencim.]],$C$8-Tabla9[[#This Row],[Fecha Vencim.]],IF($C$8&lt;=Tabla9[[#This Row],[Fecha Vencim.]],"No vencida"))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4" name="tbl_Rendimiento7" displayName="tbl_Rendimiento7" ref="B11:U26" totalsRowShown="0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50"/>
    <tableColumn id="3" name="Lugar en lista global" dataDxfId="49"/>
    <tableColumn id="20" name="País" dataDxfId="48"/>
    <tableColumn id="4" name="Industria" dataDxfId="47"/>
    <tableColumn id="5" name="Valor de mercado 2015 (mdd)" dataDxfId="46"/>
    <tableColumn id="6" name="Valor de mercado 2016(mdd)" dataDxfId="45"/>
    <tableColumn id="21" name="Ganancia/Perdida" dataDxfId="44"/>
    <tableColumn id="19" name="Logo"/>
    <tableColumn id="7" name="Columna1" dataDxfId="43"/>
    <tableColumn id="8" name="Columna2" dataDxfId="42"/>
    <tableColumn id="9" name="Columna3" dataDxfId="41"/>
    <tableColumn id="10" name="Columna4" dataDxfId="40"/>
    <tableColumn id="11" name="Columna5" dataDxfId="39"/>
    <tableColumn id="12" name="Columna6" dataDxfId="38"/>
    <tableColumn id="13" name="Columna7" dataDxfId="37"/>
    <tableColumn id="14" name="Columna8" dataDxfId="36"/>
    <tableColumn id="15" name="Columna9" dataDxfId="35"/>
    <tableColumn id="16" name="Columna10" dataDxfId="34"/>
    <tableColumn id="17" name="Columna11" dataDxfId="33"/>
    <tableColumn id="18" name="Columna12" dataDxfId="32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5" name="Basedatos" displayName="Basedatos" ref="B9:T24" totalsRowShown="0" headerRowDxfId="22">
  <autoFilter ref="B9:T24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mbre" dataDxfId="21"/>
    <tableColumn id="2" name="Lugar de la lista de México" dataDxfId="20"/>
    <tableColumn id="4" name="Industria" dataDxfId="19"/>
    <tableColumn id="22" name="Valor de mercado 2014 (mdd)" dataDxfId="18"/>
    <tableColumn id="5" name="Valor de mercado 2015 (mdd)2" dataDxfId="17"/>
    <tableColumn id="20" name="Valor de mercado 2016 (mdd)" dataDxfId="16"/>
    <tableColumn id="19" name="Logo"/>
    <tableColumn id="7" name="Columna1" dataDxfId="15"/>
    <tableColumn id="8" name="Columna2" dataDxfId="14"/>
    <tableColumn id="9" name="Columna3" dataDxfId="13"/>
    <tableColumn id="10" name="Columna4" dataDxfId="12"/>
    <tableColumn id="11" name="Columna5" dataDxfId="11"/>
    <tableColumn id="12" name="Columna6" dataDxfId="10"/>
    <tableColumn id="13" name="Columna7" dataDxfId="9"/>
    <tableColumn id="14" name="Columna8" dataDxfId="8"/>
    <tableColumn id="15" name="Columna9" dataDxfId="7"/>
    <tableColumn id="16" name="Columna10" dataDxfId="6"/>
    <tableColumn id="17" name="Columna11" dataDxfId="5"/>
    <tableColumn id="18" name="Columna12" data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zoomScaleNormal="100" workbookViewId="0">
      <selection activeCell="G16" sqref="G16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52" t="s">
        <v>212</v>
      </c>
      <c r="B1" s="152"/>
      <c r="C1" s="152"/>
      <c r="D1" s="152"/>
      <c r="E1" s="152"/>
      <c r="F1" s="152"/>
    </row>
    <row r="2" spans="1:14" ht="31.5" x14ac:dyDescent="0.5">
      <c r="A2" s="6" t="s">
        <v>213</v>
      </c>
      <c r="B2" s="5"/>
      <c r="C2" s="5"/>
      <c r="D2" s="5"/>
      <c r="E2" s="5"/>
      <c r="F2" s="5"/>
    </row>
    <row r="3" spans="1:14" ht="18.75" x14ac:dyDescent="0.3">
      <c r="A3" s="6" t="s">
        <v>214</v>
      </c>
    </row>
    <row r="4" spans="1:14" ht="18.75" x14ac:dyDescent="0.3">
      <c r="A4" s="6" t="s">
        <v>215</v>
      </c>
    </row>
    <row r="5" spans="1:14" ht="18.75" x14ac:dyDescent="0.3">
      <c r="A5" s="6"/>
    </row>
    <row r="6" spans="1:14" x14ac:dyDescent="0.25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50" t="s">
        <v>27</v>
      </c>
      <c r="N16" s="150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51">
        <f>MAX(Tabla6[Precio])</f>
        <v>4799</v>
      </c>
      <c r="N17" s="151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103" priority="1" operator="containsText" text="Cerrado">
      <formula>NOT(ISERROR(SEARCH("Cerrado",D7)))</formula>
    </cfRule>
    <cfRule type="containsText" dxfId="102" priority="2" operator="containsText" text="Nuevo">
      <formula>NOT(ISERROR(SEARCH("Nuevo",D7)))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46"/>
  <sheetViews>
    <sheetView showGridLines="0" topLeftCell="F13" zoomScaleNormal="145" workbookViewId="0">
      <selection activeCell="I28" sqref="I28"/>
    </sheetView>
  </sheetViews>
  <sheetFormatPr baseColWidth="10" defaultColWidth="0" defaultRowHeight="18" customHeight="1" x14ac:dyDescent="0.25"/>
  <cols>
    <col min="1" max="1" width="1.7109375" style="63" customWidth="1"/>
    <col min="2" max="2" width="21.5703125" style="63" customWidth="1"/>
    <col min="3" max="3" width="35.42578125" style="63" customWidth="1"/>
    <col min="4" max="4" width="35" style="63" customWidth="1"/>
    <col min="5" max="5" width="26" style="63" customWidth="1"/>
    <col min="6" max="7" width="25.85546875" style="63" customWidth="1"/>
    <col min="8" max="8" width="20.140625" style="63" customWidth="1"/>
    <col min="9" max="9" width="22.42578125" style="63" customWidth="1"/>
    <col min="10" max="13" width="9.28515625" style="64" hidden="1" customWidth="1"/>
    <col min="14" max="14" width="10.7109375" style="65" hidden="1" customWidth="1"/>
    <col min="15" max="15" width="9.28515625" style="65" hidden="1" customWidth="1"/>
    <col min="16" max="19" width="9.28515625" style="64" hidden="1" customWidth="1"/>
    <col min="20" max="20" width="13.28515625" style="65" hidden="1" customWidth="1"/>
    <col min="21" max="21" width="6.42578125" style="63" hidden="1" customWidth="1"/>
    <col min="22" max="24" width="1.28515625" style="63" hidden="1" customWidth="1"/>
    <col min="25" max="16384" width="0" style="63" hidden="1"/>
  </cols>
  <sheetData>
    <row r="1" spans="1:21" ht="34.5" customHeight="1" x14ac:dyDescent="0.5">
      <c r="A1" s="58" t="s">
        <v>212</v>
      </c>
    </row>
    <row r="2" spans="1:21" ht="18" customHeight="1" x14ac:dyDescent="0.3">
      <c r="A2" s="6" t="s">
        <v>441</v>
      </c>
    </row>
    <row r="5" spans="1:21" ht="12.75" x14ac:dyDescent="0.25"/>
    <row r="6" spans="1:21" ht="34.5" x14ac:dyDescent="0.35">
      <c r="B6" s="161" t="s">
        <v>364</v>
      </c>
      <c r="C6" s="161"/>
      <c r="D6" s="161"/>
      <c r="E6" s="161"/>
      <c r="F6" s="161"/>
      <c r="G6" s="161"/>
      <c r="H6" s="161"/>
      <c r="I6" s="161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5" x14ac:dyDescent="0.25">
      <c r="B7" s="67" t="s">
        <v>365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2.75" x14ac:dyDescent="0.25"/>
    <row r="9" spans="1:21" ht="12.75" x14ac:dyDescent="0.25">
      <c r="B9" s="70"/>
      <c r="C9" s="71" t="s">
        <v>366</v>
      </c>
      <c r="D9" s="71"/>
      <c r="E9" s="71"/>
      <c r="F9" s="72" t="s">
        <v>367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25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25">
      <c r="B11" s="80" t="s">
        <v>368</v>
      </c>
      <c r="C11" s="81" t="s">
        <v>369</v>
      </c>
      <c r="D11" s="81" t="s">
        <v>370</v>
      </c>
      <c r="E11" s="80" t="s">
        <v>371</v>
      </c>
      <c r="F11" s="80" t="s">
        <v>372</v>
      </c>
      <c r="G11" s="80" t="s">
        <v>373</v>
      </c>
      <c r="H11" s="80" t="s">
        <v>374</v>
      </c>
      <c r="I11" s="80" t="s">
        <v>375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376</v>
      </c>
      <c r="O11" s="80" t="s">
        <v>377</v>
      </c>
      <c r="P11" s="80" t="s">
        <v>378</v>
      </c>
      <c r="Q11" s="80" t="s">
        <v>379</v>
      </c>
      <c r="R11" s="80" t="s">
        <v>380</v>
      </c>
      <c r="S11" s="80" t="s">
        <v>381</v>
      </c>
      <c r="T11" s="80" t="s">
        <v>382</v>
      </c>
      <c r="U11" s="80" t="s">
        <v>383</v>
      </c>
    </row>
    <row r="12" spans="1:21" s="91" customFormat="1" ht="24" customHeight="1" x14ac:dyDescent="0.25">
      <c r="B12" s="83" t="s">
        <v>384</v>
      </c>
      <c r="C12" s="84">
        <v>1</v>
      </c>
      <c r="D12" s="84" t="s">
        <v>385</v>
      </c>
      <c r="E12" s="83" t="s">
        <v>386</v>
      </c>
      <c r="F12" s="85">
        <v>310000000</v>
      </c>
      <c r="G12" s="85">
        <v>358752007</v>
      </c>
      <c r="H12" s="85"/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25">
      <c r="B13" s="83" t="s">
        <v>387</v>
      </c>
      <c r="C13" s="84">
        <v>2</v>
      </c>
      <c r="D13" s="84" t="s">
        <v>385</v>
      </c>
      <c r="E13" s="83" t="s">
        <v>386</v>
      </c>
      <c r="F13" s="85">
        <v>280000000</v>
      </c>
      <c r="G13" s="85">
        <v>267972981</v>
      </c>
      <c r="H13" s="85"/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25">
      <c r="B14" s="83" t="s">
        <v>388</v>
      </c>
      <c r="C14" s="84">
        <v>3</v>
      </c>
      <c r="D14" s="84" t="s">
        <v>385</v>
      </c>
      <c r="E14" s="83" t="s">
        <v>386</v>
      </c>
      <c r="F14" s="85">
        <v>280000000</v>
      </c>
      <c r="G14" s="85">
        <v>324244137</v>
      </c>
      <c r="H14" s="85"/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25">
      <c r="B15" s="83" t="s">
        <v>389</v>
      </c>
      <c r="C15" s="84">
        <v>4</v>
      </c>
      <c r="D15" s="84" t="s">
        <v>390</v>
      </c>
      <c r="E15" s="83" t="s">
        <v>391</v>
      </c>
      <c r="F15" s="85">
        <v>56100000</v>
      </c>
      <c r="G15" s="85">
        <v>85060949</v>
      </c>
      <c r="H15" s="85"/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25">
      <c r="B16" s="83" t="s">
        <v>392</v>
      </c>
      <c r="C16" s="84">
        <v>5</v>
      </c>
      <c r="D16" s="84" t="s">
        <v>390</v>
      </c>
      <c r="E16" s="83" t="s">
        <v>393</v>
      </c>
      <c r="F16" s="85">
        <v>24000000</v>
      </c>
      <c r="G16" s="85">
        <v>-67885594</v>
      </c>
      <c r="H16" s="85"/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25">
      <c r="B17" s="83" t="s">
        <v>394</v>
      </c>
      <c r="C17" s="84">
        <v>6</v>
      </c>
      <c r="D17" s="84" t="s">
        <v>385</v>
      </c>
      <c r="E17" s="83" t="s">
        <v>386</v>
      </c>
      <c r="F17" s="85">
        <v>23000000</v>
      </c>
      <c r="G17" s="85">
        <v>31816071</v>
      </c>
      <c r="H17" s="85"/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25">
      <c r="B18" s="83" t="s">
        <v>395</v>
      </c>
      <c r="C18" s="84">
        <v>7</v>
      </c>
      <c r="D18" s="84" t="s">
        <v>390</v>
      </c>
      <c r="E18" s="83" t="s">
        <v>386</v>
      </c>
      <c r="F18" s="85">
        <v>22000000</v>
      </c>
      <c r="G18" s="85">
        <v>15320259</v>
      </c>
      <c r="H18" s="85"/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25">
      <c r="B19" s="83" t="s">
        <v>396</v>
      </c>
      <c r="C19" s="84">
        <v>8</v>
      </c>
      <c r="D19" s="84" t="s">
        <v>390</v>
      </c>
      <c r="E19" s="83" t="s">
        <v>397</v>
      </c>
      <c r="F19" s="85">
        <v>22000000</v>
      </c>
      <c r="G19" s="85">
        <v>43952449</v>
      </c>
      <c r="H19" s="85"/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25">
      <c r="B20" s="83" t="s">
        <v>398</v>
      </c>
      <c r="C20" s="84">
        <v>9</v>
      </c>
      <c r="D20" s="84" t="s">
        <v>390</v>
      </c>
      <c r="E20" s="83" t="s">
        <v>399</v>
      </c>
      <c r="F20" s="85">
        <v>21000000</v>
      </c>
      <c r="G20" s="85">
        <v>61894042</v>
      </c>
      <c r="H20" s="85"/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25">
      <c r="B21" s="83" t="s">
        <v>400</v>
      </c>
      <c r="C21" s="84">
        <v>10</v>
      </c>
      <c r="D21" s="84" t="s">
        <v>401</v>
      </c>
      <c r="E21" s="83" t="s">
        <v>402</v>
      </c>
      <c r="F21" s="85">
        <v>21000000</v>
      </c>
      <c r="G21" s="85">
        <v>51254207</v>
      </c>
      <c r="H21" s="85"/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25">
      <c r="B22" s="83" t="s">
        <v>403</v>
      </c>
      <c r="C22" s="84">
        <v>11</v>
      </c>
      <c r="D22" s="84" t="s">
        <v>390</v>
      </c>
      <c r="E22" s="83" t="s">
        <v>386</v>
      </c>
      <c r="F22" s="85">
        <v>21000000</v>
      </c>
      <c r="G22" s="85">
        <v>-51402883</v>
      </c>
      <c r="H22" s="85"/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25">
      <c r="B23" s="83" t="s">
        <v>404</v>
      </c>
      <c r="C23" s="84">
        <v>12</v>
      </c>
      <c r="D23" s="84" t="s">
        <v>390</v>
      </c>
      <c r="E23" s="83" t="s">
        <v>405</v>
      </c>
      <c r="F23" s="85">
        <v>20000000</v>
      </c>
      <c r="G23" s="85">
        <v>6998855</v>
      </c>
      <c r="H23" s="85"/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25">
      <c r="B24" s="83" t="s">
        <v>406</v>
      </c>
      <c r="C24" s="84">
        <v>13</v>
      </c>
      <c r="D24" s="84" t="s">
        <v>390</v>
      </c>
      <c r="E24" s="83" t="s">
        <v>407</v>
      </c>
      <c r="F24" s="85">
        <v>18000000</v>
      </c>
      <c r="G24" s="85">
        <v>-67569210</v>
      </c>
      <c r="H24" s="85"/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25">
      <c r="B25" s="83" t="s">
        <v>408</v>
      </c>
      <c r="C25" s="84">
        <v>14</v>
      </c>
      <c r="D25" s="84" t="s">
        <v>409</v>
      </c>
      <c r="E25" s="83" t="s">
        <v>386</v>
      </c>
      <c r="F25" s="85">
        <v>18000000</v>
      </c>
      <c r="G25" s="85">
        <v>15087630</v>
      </c>
      <c r="H25" s="85"/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25">
      <c r="B26" s="83" t="s">
        <v>410</v>
      </c>
      <c r="C26" s="84">
        <v>15</v>
      </c>
      <c r="D26" s="84" t="s">
        <v>390</v>
      </c>
      <c r="E26" s="83" t="s">
        <v>411</v>
      </c>
      <c r="F26" s="85">
        <v>17000000</v>
      </c>
      <c r="G26" s="85">
        <v>40238117</v>
      </c>
      <c r="H26" s="85"/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  <row r="29" spans="2:21" ht="15" x14ac:dyDescent="0.25">
      <c r="B29" s="119" t="s">
        <v>446</v>
      </c>
      <c r="C29" t="s">
        <v>448</v>
      </c>
      <c r="D29" t="s">
        <v>449</v>
      </c>
    </row>
    <row r="30" spans="2:21" ht="15" x14ac:dyDescent="0.25">
      <c r="B30" s="120" t="s">
        <v>402</v>
      </c>
      <c r="C30" s="121">
        <v>21000000</v>
      </c>
      <c r="D30" s="121">
        <v>51254207</v>
      </c>
    </row>
    <row r="31" spans="2:21" ht="15" x14ac:dyDescent="0.25">
      <c r="B31" s="120" t="s">
        <v>386</v>
      </c>
      <c r="C31" s="121">
        <v>954000000</v>
      </c>
      <c r="D31" s="121">
        <v>961790202</v>
      </c>
    </row>
    <row r="32" spans="2:21" ht="15" x14ac:dyDescent="0.25">
      <c r="B32" s="120" t="s">
        <v>407</v>
      </c>
      <c r="C32" s="121">
        <v>18000000</v>
      </c>
      <c r="D32" s="121">
        <v>-67569210</v>
      </c>
    </row>
    <row r="33" spans="2:4" ht="15" x14ac:dyDescent="0.25">
      <c r="B33" s="120" t="s">
        <v>397</v>
      </c>
      <c r="C33" s="121">
        <v>22000000</v>
      </c>
      <c r="D33" s="121">
        <v>43952449</v>
      </c>
    </row>
    <row r="34" spans="2:4" ht="15" x14ac:dyDescent="0.25">
      <c r="B34" s="120" t="s">
        <v>393</v>
      </c>
      <c r="C34" s="121">
        <v>24000000</v>
      </c>
      <c r="D34" s="121">
        <v>-67885594</v>
      </c>
    </row>
    <row r="35" spans="2:4" ht="15" x14ac:dyDescent="0.25">
      <c r="B35" s="120" t="s">
        <v>399</v>
      </c>
      <c r="C35" s="121">
        <v>21000000</v>
      </c>
      <c r="D35" s="121">
        <v>61894042</v>
      </c>
    </row>
    <row r="36" spans="2:4" ht="15" x14ac:dyDescent="0.25">
      <c r="B36" s="120" t="s">
        <v>411</v>
      </c>
      <c r="C36" s="121">
        <v>17000000</v>
      </c>
      <c r="D36" s="121">
        <v>40238117</v>
      </c>
    </row>
    <row r="37" spans="2:4" ht="15" x14ac:dyDescent="0.25">
      <c r="B37" s="120" t="s">
        <v>391</v>
      </c>
      <c r="C37" s="121">
        <v>56100000</v>
      </c>
      <c r="D37" s="121">
        <v>85060949</v>
      </c>
    </row>
    <row r="38" spans="2:4" ht="15" x14ac:dyDescent="0.25">
      <c r="B38" s="120" t="s">
        <v>405</v>
      </c>
      <c r="C38" s="121">
        <v>20000000</v>
      </c>
      <c r="D38" s="121">
        <v>6998855</v>
      </c>
    </row>
    <row r="39" spans="2:4" ht="15" x14ac:dyDescent="0.25">
      <c r="B39" s="120" t="s">
        <v>447</v>
      </c>
      <c r="C39" s="121">
        <v>1153100000</v>
      </c>
      <c r="D39" s="121">
        <v>1115734017</v>
      </c>
    </row>
    <row r="40" spans="2:4" ht="15" x14ac:dyDescent="0.25">
      <c r="B40"/>
      <c r="C40"/>
      <c r="D40"/>
    </row>
    <row r="41" spans="2:4" ht="15" x14ac:dyDescent="0.25">
      <c r="B41"/>
      <c r="C41"/>
      <c r="D41"/>
    </row>
    <row r="42" spans="2:4" ht="15" x14ac:dyDescent="0.25">
      <c r="B42"/>
      <c r="C42"/>
      <c r="D42"/>
    </row>
    <row r="43" spans="2:4" ht="15" x14ac:dyDescent="0.25">
      <c r="B43"/>
      <c r="C43"/>
      <c r="D43"/>
    </row>
    <row r="44" spans="2:4" ht="15" x14ac:dyDescent="0.25">
      <c r="B44"/>
      <c r="C44"/>
      <c r="D44"/>
    </row>
    <row r="45" spans="2:4" ht="15" x14ac:dyDescent="0.25">
      <c r="B45"/>
      <c r="C45"/>
      <c r="D45"/>
    </row>
    <row r="46" spans="2:4" ht="15" x14ac:dyDescent="0.25">
      <c r="B46"/>
      <c r="C46"/>
      <c r="D46"/>
    </row>
  </sheetData>
  <mergeCells count="1">
    <mergeCell ref="B6:I6"/>
  </mergeCells>
  <conditionalFormatting sqref="T9:U10 U27:U65482">
    <cfRule type="cellIs" dxfId="59" priority="7" stopIfTrue="1" operator="equal">
      <formula>"VERDE"</formula>
    </cfRule>
    <cfRule type="cellIs" dxfId="58" priority="8" stopIfTrue="1" operator="equal">
      <formula>"AMARILLO"</formula>
    </cfRule>
    <cfRule type="cellIs" dxfId="57" priority="9" stopIfTrue="1" operator="equal">
      <formula>"ROJO"</formula>
    </cfRule>
  </conditionalFormatting>
  <conditionalFormatting sqref="U12:U26">
    <cfRule type="expression" dxfId="56" priority="2">
      <formula>$U12="NEGRO"</formula>
    </cfRule>
    <cfRule type="expression" dxfId="55" priority="3">
      <formula>$U12="VERDE"</formula>
    </cfRule>
    <cfRule type="expression" dxfId="54" priority="4">
      <formula>$U12="ROJO"</formula>
    </cfRule>
    <cfRule type="expression" dxfId="53" priority="5">
      <formula>$U12="NARANJA"</formula>
    </cfRule>
    <cfRule type="expression" dxfId="52" priority="6">
      <formula>$U12=""</formula>
    </cfRule>
  </conditionalFormatting>
  <conditionalFormatting sqref="J12:M26 R12:S26">
    <cfRule type="expression" dxfId="51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2"/>
  <headerFooter alignWithMargins="0"/>
  <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Mundial'!F13:G13</xm:f>
              <xm:sqref>H13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Mundial'!F14:G14</xm:f>
              <xm:sqref>H14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Mundial'!F15:G15</xm:f>
              <xm:sqref>H15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Mundial'!F16:G16</xm:f>
              <xm:sqref>H16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Mundial'!F17:G17</xm:f>
              <xm:sqref>H17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Mundial'!F18:G18</xm:f>
              <xm:sqref>H18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Mundial'!F19:G19</xm:f>
              <xm:sqref>H19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Mundial'!F20:G20</xm:f>
              <xm:sqref>H20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Mundial'!F21:G21</xm:f>
              <xm:sqref>H21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Mundial'!F22:G22</xm:f>
              <xm:sqref>H22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Mundial'!F23:G23</xm:f>
              <xm:sqref>H23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Mundial'!F24:G24</xm:f>
              <xm:sqref>H24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Mundial'!F25:G25</xm:f>
              <xm:sqref>H25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topLeftCell="B4" zoomScaleNormal="100" workbookViewId="0">
      <selection activeCell="B5" sqref="B5"/>
    </sheetView>
  </sheetViews>
  <sheetFormatPr baseColWidth="10" defaultColWidth="0" defaultRowHeight="18" customHeight="1" x14ac:dyDescent="0.25"/>
  <cols>
    <col min="1" max="1" width="1.7109375" style="63" customWidth="1"/>
    <col min="2" max="2" width="24.7109375" style="63" customWidth="1"/>
    <col min="3" max="3" width="23.5703125" style="63" customWidth="1"/>
    <col min="4" max="5" width="26" style="63" customWidth="1"/>
    <col min="6" max="7" width="25.85546875" style="63" customWidth="1"/>
    <col min="8" max="8" width="22.42578125" style="63" customWidth="1"/>
    <col min="9" max="12" width="9.28515625" style="64" hidden="1" customWidth="1"/>
    <col min="13" max="13" width="10.7109375" style="65" hidden="1" customWidth="1"/>
    <col min="14" max="14" width="9.28515625" style="65" hidden="1" customWidth="1"/>
    <col min="15" max="18" width="9.28515625" style="64" hidden="1" customWidth="1"/>
    <col min="19" max="19" width="13.28515625" style="65" hidden="1" customWidth="1"/>
    <col min="20" max="20" width="6.42578125" style="63" hidden="1" customWidth="1"/>
    <col min="21" max="23" width="1.28515625" style="63" hidden="1" customWidth="1"/>
    <col min="24" max="16384" width="0" style="63" hidden="1"/>
  </cols>
  <sheetData>
    <row r="1" spans="1:20" ht="34.5" customHeight="1" x14ac:dyDescent="0.5">
      <c r="A1" s="58" t="s">
        <v>212</v>
      </c>
      <c r="I1" s="63"/>
      <c r="M1" s="64"/>
      <c r="O1" s="65"/>
      <c r="S1" s="64"/>
      <c r="T1" s="65"/>
    </row>
    <row r="2" spans="1:20" ht="18" customHeight="1" x14ac:dyDescent="0.3">
      <c r="A2" s="6" t="s">
        <v>442</v>
      </c>
      <c r="I2" s="63"/>
      <c r="M2" s="64"/>
      <c r="O2" s="65"/>
      <c r="S2" s="64"/>
      <c r="T2" s="65"/>
    </row>
    <row r="3" spans="1:20" ht="18.75" x14ac:dyDescent="0.3">
      <c r="A3" s="6" t="s">
        <v>443</v>
      </c>
    </row>
    <row r="4" spans="1:20" ht="34.5" x14ac:dyDescent="0.35">
      <c r="B4" s="97" t="s">
        <v>412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5" x14ac:dyDescent="0.25">
      <c r="B5" s="67" t="s">
        <v>365</v>
      </c>
      <c r="C5" s="69"/>
      <c r="D5" s="69"/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2.75" x14ac:dyDescent="0.25"/>
    <row r="7" spans="1:20" ht="12.75" x14ac:dyDescent="0.25">
      <c r="B7" s="70"/>
      <c r="C7" s="70"/>
      <c r="D7" s="71"/>
      <c r="E7" s="98"/>
      <c r="F7" s="72" t="s">
        <v>367</v>
      </c>
      <c r="G7" s="72"/>
      <c r="H7" s="72"/>
      <c r="I7" s="71"/>
      <c r="J7" s="71"/>
      <c r="K7" s="71"/>
      <c r="L7" s="71"/>
      <c r="M7" s="71"/>
      <c r="N7" s="71"/>
      <c r="O7" s="71"/>
      <c r="P7" s="71"/>
      <c r="Q7" s="71"/>
      <c r="R7" s="71"/>
      <c r="S7" s="73"/>
      <c r="T7" s="74"/>
    </row>
    <row r="8" spans="1:20" ht="6" customHeight="1" x14ac:dyDescent="0.25">
      <c r="B8" s="70"/>
      <c r="C8" s="99"/>
      <c r="D8" s="77"/>
      <c r="E8" s="77"/>
      <c r="F8" s="78"/>
      <c r="G8" s="78"/>
      <c r="H8" s="72"/>
      <c r="I8" s="75"/>
      <c r="J8" s="77"/>
      <c r="K8" s="75"/>
      <c r="L8" s="77"/>
      <c r="M8" s="75"/>
      <c r="N8" s="77"/>
      <c r="O8" s="75"/>
      <c r="P8" s="76"/>
      <c r="Q8" s="76"/>
      <c r="R8" s="77"/>
      <c r="S8" s="79"/>
      <c r="T8" s="79"/>
    </row>
    <row r="9" spans="1:20" s="82" customFormat="1" ht="30" customHeight="1" x14ac:dyDescent="0.25">
      <c r="B9" s="80" t="s">
        <v>368</v>
      </c>
      <c r="C9" s="100" t="s">
        <v>413</v>
      </c>
      <c r="D9" s="80" t="s">
        <v>371</v>
      </c>
      <c r="E9" s="80" t="s">
        <v>414</v>
      </c>
      <c r="F9" s="80" t="s">
        <v>415</v>
      </c>
      <c r="G9" s="80" t="s">
        <v>416</v>
      </c>
      <c r="H9" s="80" t="s">
        <v>375</v>
      </c>
      <c r="I9" s="80" t="s">
        <v>260</v>
      </c>
      <c r="J9" s="80" t="s">
        <v>261</v>
      </c>
      <c r="K9" s="80" t="s">
        <v>262</v>
      </c>
      <c r="L9" s="80" t="s">
        <v>263</v>
      </c>
      <c r="M9" s="80" t="s">
        <v>376</v>
      </c>
      <c r="N9" s="80" t="s">
        <v>377</v>
      </c>
      <c r="O9" s="80" t="s">
        <v>378</v>
      </c>
      <c r="P9" s="80" t="s">
        <v>379</v>
      </c>
      <c r="Q9" s="80" t="s">
        <v>380</v>
      </c>
      <c r="R9" s="80" t="s">
        <v>381</v>
      </c>
      <c r="S9" s="80" t="s">
        <v>382</v>
      </c>
      <c r="T9" s="80" t="s">
        <v>383</v>
      </c>
    </row>
    <row r="10" spans="1:20" s="91" customFormat="1" ht="24" customHeight="1" x14ac:dyDescent="0.25">
      <c r="B10" s="83" t="s">
        <v>417</v>
      </c>
      <c r="C10" s="83">
        <v>1</v>
      </c>
      <c r="D10" s="83" t="s">
        <v>405</v>
      </c>
      <c r="E10" s="85">
        <v>61126</v>
      </c>
      <c r="F10" s="85">
        <v>51900</v>
      </c>
      <c r="G10" s="85">
        <v>55060</v>
      </c>
      <c r="H10" s="83"/>
      <c r="I10" s="86"/>
      <c r="J10" s="87"/>
      <c r="K10" s="86"/>
      <c r="L10" s="87"/>
      <c r="M10" s="88"/>
      <c r="N10" s="88"/>
      <c r="O10" s="89"/>
      <c r="P10" s="89"/>
      <c r="Q10" s="87"/>
      <c r="R10" s="86"/>
      <c r="S10" s="88"/>
      <c r="T10" s="90"/>
    </row>
    <row r="11" spans="1:20" s="91" customFormat="1" ht="24" customHeight="1" x14ac:dyDescent="0.25">
      <c r="B11" s="83" t="s">
        <v>418</v>
      </c>
      <c r="C11" s="83">
        <v>2</v>
      </c>
      <c r="D11" s="83" t="s">
        <v>419</v>
      </c>
      <c r="E11" s="85">
        <v>32126</v>
      </c>
      <c r="F11" s="85">
        <v>33600</v>
      </c>
      <c r="G11" s="85">
        <v>16502</v>
      </c>
      <c r="H11" s="63"/>
      <c r="I11" s="92"/>
      <c r="J11" s="93"/>
      <c r="K11" s="92"/>
      <c r="L11" s="93"/>
      <c r="M11" s="94"/>
      <c r="N11" s="94"/>
      <c r="O11" s="95"/>
      <c r="P11" s="95"/>
      <c r="Q11" s="93"/>
      <c r="R11" s="92"/>
      <c r="S11" s="94"/>
      <c r="T11" s="96"/>
    </row>
    <row r="12" spans="1:20" ht="24" customHeight="1" x14ac:dyDescent="0.25">
      <c r="B12" s="83" t="s">
        <v>420</v>
      </c>
      <c r="C12" s="83">
        <v>3</v>
      </c>
      <c r="D12" s="83" t="s">
        <v>386</v>
      </c>
      <c r="E12" s="85">
        <v>4326</v>
      </c>
      <c r="F12" s="85">
        <v>15200</v>
      </c>
      <c r="G12" s="85">
        <v>1380</v>
      </c>
      <c r="I12" s="92"/>
      <c r="J12" s="93"/>
      <c r="K12" s="92"/>
      <c r="L12" s="93"/>
      <c r="M12" s="94"/>
      <c r="N12" s="94"/>
      <c r="O12" s="95"/>
      <c r="P12" s="95"/>
      <c r="Q12" s="93"/>
      <c r="R12" s="92"/>
      <c r="S12" s="94"/>
      <c r="T12" s="96"/>
    </row>
    <row r="13" spans="1:20" ht="24" customHeight="1" x14ac:dyDescent="0.25">
      <c r="B13" s="83" t="s">
        <v>421</v>
      </c>
      <c r="C13" s="83">
        <v>4</v>
      </c>
      <c r="D13" s="83" t="s">
        <v>422</v>
      </c>
      <c r="E13" s="85">
        <v>11500</v>
      </c>
      <c r="F13" s="85">
        <v>18500</v>
      </c>
      <c r="G13" s="85">
        <v>27815</v>
      </c>
      <c r="I13" s="92"/>
      <c r="J13" s="93"/>
      <c r="K13" s="92"/>
      <c r="L13" s="93"/>
      <c r="M13" s="94"/>
      <c r="N13" s="94"/>
      <c r="O13" s="95"/>
      <c r="P13" s="95"/>
      <c r="Q13" s="93"/>
      <c r="R13" s="92"/>
      <c r="S13" s="94"/>
      <c r="T13" s="96"/>
    </row>
    <row r="14" spans="1:20" ht="24" customHeight="1" x14ac:dyDescent="0.25">
      <c r="B14" s="83" t="s">
        <v>423</v>
      </c>
      <c r="C14" s="83">
        <v>5</v>
      </c>
      <c r="D14" s="83" t="s">
        <v>424</v>
      </c>
      <c r="E14" s="85">
        <v>16920</v>
      </c>
      <c r="F14" s="85">
        <v>15600</v>
      </c>
      <c r="G14" s="85">
        <v>-1446</v>
      </c>
      <c r="I14" s="92"/>
      <c r="J14" s="93"/>
      <c r="K14" s="92"/>
      <c r="L14" s="93"/>
      <c r="M14" s="94"/>
      <c r="N14" s="94"/>
      <c r="O14" s="95"/>
      <c r="P14" s="95"/>
      <c r="Q14" s="93"/>
      <c r="R14" s="92"/>
      <c r="S14" s="94"/>
      <c r="T14" s="96"/>
    </row>
    <row r="15" spans="1:20" s="91" customFormat="1" ht="24" customHeight="1" x14ac:dyDescent="0.25">
      <c r="B15" s="83" t="s">
        <v>425</v>
      </c>
      <c r="C15" s="83">
        <v>6</v>
      </c>
      <c r="D15" s="83" t="s">
        <v>426</v>
      </c>
      <c r="E15" s="85">
        <v>21323</v>
      </c>
      <c r="F15" s="85">
        <v>10200</v>
      </c>
      <c r="G15" s="85">
        <v>26906</v>
      </c>
      <c r="H15" s="63"/>
      <c r="I15" s="92"/>
      <c r="J15" s="93"/>
      <c r="K15" s="92"/>
      <c r="L15" s="93"/>
      <c r="M15" s="94"/>
      <c r="N15" s="94"/>
      <c r="O15" s="95"/>
      <c r="P15" s="95"/>
      <c r="Q15" s="93"/>
      <c r="R15" s="92"/>
      <c r="S15" s="94"/>
      <c r="T15" s="96"/>
    </row>
    <row r="16" spans="1:20" ht="24" customHeight="1" x14ac:dyDescent="0.25">
      <c r="B16" s="83" t="s">
        <v>427</v>
      </c>
      <c r="C16" s="83">
        <v>7</v>
      </c>
      <c r="D16" s="83" t="s">
        <v>386</v>
      </c>
      <c r="E16" s="85">
        <v>-3316</v>
      </c>
      <c r="F16" s="85">
        <v>13300</v>
      </c>
      <c r="G16" s="85">
        <v>19794</v>
      </c>
      <c r="I16" s="92"/>
      <c r="J16" s="93"/>
      <c r="K16" s="92"/>
      <c r="L16" s="93"/>
      <c r="M16" s="94"/>
      <c r="N16" s="94"/>
      <c r="O16" s="95"/>
      <c r="P16" s="95"/>
      <c r="Q16" s="93"/>
      <c r="R16" s="92"/>
      <c r="S16" s="94"/>
      <c r="T16" s="96"/>
    </row>
    <row r="17" spans="2:20" ht="24" customHeight="1" x14ac:dyDescent="0.25">
      <c r="B17" s="83" t="s">
        <v>428</v>
      </c>
      <c r="C17" s="83">
        <v>8</v>
      </c>
      <c r="D17" s="83" t="s">
        <v>429</v>
      </c>
      <c r="E17" s="85">
        <v>-5349</v>
      </c>
      <c r="F17" s="85">
        <v>13500</v>
      </c>
      <c r="G17" s="85">
        <v>9561</v>
      </c>
      <c r="I17" s="92"/>
      <c r="J17" s="93"/>
      <c r="K17" s="92"/>
      <c r="L17" s="93"/>
      <c r="M17" s="94"/>
      <c r="N17" s="94"/>
      <c r="O17" s="95"/>
      <c r="P17" s="95"/>
      <c r="Q17" s="93"/>
      <c r="R17" s="92"/>
      <c r="S17" s="94"/>
      <c r="T17" s="96"/>
    </row>
    <row r="18" spans="2:20" ht="24" customHeight="1" x14ac:dyDescent="0.25">
      <c r="B18" s="83" t="s">
        <v>430</v>
      </c>
      <c r="C18" s="83">
        <v>9</v>
      </c>
      <c r="D18" s="83" t="s">
        <v>431</v>
      </c>
      <c r="E18" s="85">
        <v>20766</v>
      </c>
      <c r="F18" s="85">
        <v>9400</v>
      </c>
      <c r="G18" s="85">
        <v>22628</v>
      </c>
      <c r="I18" s="92"/>
      <c r="J18" s="93"/>
      <c r="K18" s="92"/>
      <c r="L18" s="93"/>
      <c r="M18" s="94"/>
      <c r="N18" s="94"/>
      <c r="O18" s="95"/>
      <c r="P18" s="95"/>
      <c r="Q18" s="93"/>
      <c r="R18" s="92"/>
      <c r="S18" s="94"/>
      <c r="T18" s="96"/>
    </row>
    <row r="19" spans="2:20" s="91" customFormat="1" ht="24" customHeight="1" x14ac:dyDescent="0.25">
      <c r="B19" s="83" t="s">
        <v>432</v>
      </c>
      <c r="C19" s="83">
        <v>10</v>
      </c>
      <c r="D19" s="83" t="s">
        <v>433</v>
      </c>
      <c r="E19" s="85">
        <v>33045</v>
      </c>
      <c r="F19" s="85">
        <v>15900</v>
      </c>
      <c r="G19" s="85">
        <v>9882</v>
      </c>
      <c r="H19" s="63"/>
      <c r="I19" s="86"/>
      <c r="J19" s="87"/>
      <c r="K19" s="86"/>
      <c r="L19" s="87"/>
      <c r="M19" s="88"/>
      <c r="N19" s="88"/>
      <c r="O19" s="89"/>
      <c r="P19" s="89"/>
      <c r="Q19" s="87"/>
      <c r="R19" s="86"/>
      <c r="S19" s="88"/>
      <c r="T19" s="90"/>
    </row>
    <row r="20" spans="2:20" s="91" customFormat="1" ht="24" customHeight="1" x14ac:dyDescent="0.25">
      <c r="B20" s="83" t="s">
        <v>434</v>
      </c>
      <c r="C20" s="83">
        <v>11</v>
      </c>
      <c r="D20" s="83" t="s">
        <v>419</v>
      </c>
      <c r="E20" s="85">
        <v>12059</v>
      </c>
      <c r="F20" s="85">
        <v>11300</v>
      </c>
      <c r="G20" s="85">
        <v>15480</v>
      </c>
      <c r="H20" s="63"/>
      <c r="I20" s="92"/>
      <c r="J20" s="93"/>
      <c r="K20" s="92"/>
      <c r="L20" s="93"/>
      <c r="M20" s="94"/>
      <c r="N20" s="94"/>
      <c r="O20" s="95"/>
      <c r="P20" s="95"/>
      <c r="Q20" s="93"/>
      <c r="R20" s="92"/>
      <c r="S20" s="94"/>
      <c r="T20" s="96"/>
    </row>
    <row r="21" spans="2:20" ht="24" customHeight="1" x14ac:dyDescent="0.25">
      <c r="B21" s="83" t="s">
        <v>435</v>
      </c>
      <c r="C21" s="83">
        <v>12</v>
      </c>
      <c r="D21" s="83" t="s">
        <v>431</v>
      </c>
      <c r="E21" s="85">
        <v>-5507</v>
      </c>
      <c r="F21" s="85">
        <v>10500</v>
      </c>
      <c r="G21" s="85">
        <v>19732</v>
      </c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customHeight="1" x14ac:dyDescent="0.25">
      <c r="B22" s="83" t="s">
        <v>436</v>
      </c>
      <c r="C22" s="83">
        <v>13</v>
      </c>
      <c r="D22" s="83" t="s">
        <v>407</v>
      </c>
      <c r="E22" s="85">
        <v>-1537</v>
      </c>
      <c r="F22" s="85">
        <v>237</v>
      </c>
      <c r="G22" s="85">
        <v>99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customHeight="1" x14ac:dyDescent="0.25">
      <c r="B23" s="83" t="s">
        <v>437</v>
      </c>
      <c r="C23" s="83">
        <v>14</v>
      </c>
      <c r="D23" s="83" t="s">
        <v>438</v>
      </c>
      <c r="E23" s="85">
        <v>-2107</v>
      </c>
      <c r="F23" s="85">
        <v>177</v>
      </c>
      <c r="G23" s="85">
        <v>-2263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s="91" customFormat="1" ht="24" customHeight="1" x14ac:dyDescent="0.25">
      <c r="B24" s="83" t="s">
        <v>439</v>
      </c>
      <c r="C24" s="83">
        <v>15</v>
      </c>
      <c r="D24" s="83" t="s">
        <v>440</v>
      </c>
      <c r="E24" s="85">
        <v>-4705</v>
      </c>
      <c r="F24" s="85">
        <v>7400</v>
      </c>
      <c r="G24" s="85">
        <v>-3257</v>
      </c>
      <c r="H24" s="63"/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</sheetData>
  <conditionalFormatting sqref="S7:T8 T25:T65480">
    <cfRule type="cellIs" dxfId="31" priority="7" stopIfTrue="1" operator="equal">
      <formula>"VERDE"</formula>
    </cfRule>
    <cfRule type="cellIs" dxfId="30" priority="8" stopIfTrue="1" operator="equal">
      <formula>"AMARILLO"</formula>
    </cfRule>
    <cfRule type="cellIs" dxfId="29" priority="9" stopIfTrue="1" operator="equal">
      <formula>"ROJO"</formula>
    </cfRule>
  </conditionalFormatting>
  <conditionalFormatting sqref="T10:T24">
    <cfRule type="expression" dxfId="28" priority="2">
      <formula>$T10="NEGRO"</formula>
    </cfRule>
    <cfRule type="expression" dxfId="27" priority="3">
      <formula>$T10="VERDE"</formula>
    </cfRule>
    <cfRule type="expression" dxfId="26" priority="4">
      <formula>$T10="ROJO"</formula>
    </cfRule>
    <cfRule type="expression" dxfId="25" priority="5">
      <formula>$T10="NARANJA"</formula>
    </cfRule>
    <cfRule type="expression" dxfId="24" priority="6">
      <formula>$T10=""</formula>
    </cfRule>
  </conditionalFormatting>
  <conditionalFormatting sqref="I10:L24 Q10:R24">
    <cfRule type="expression" dxfId="23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A97" workbookViewId="0">
      <selection activeCell="A109" sqref="A109"/>
    </sheetView>
  </sheetViews>
  <sheetFormatPr baseColWidth="10" defaultRowHeight="15" x14ac:dyDescent="0.25"/>
  <cols>
    <col min="1" max="1" width="26.7109375" customWidth="1"/>
    <col min="2" max="2" width="35.42578125" customWidth="1"/>
    <col min="3" max="3" width="36.42578125" customWidth="1"/>
    <col min="4" max="4" width="35.42578125" customWidth="1"/>
    <col min="5" max="5" width="36.42578125" customWidth="1"/>
    <col min="6" max="6" width="35.42578125" customWidth="1"/>
    <col min="7" max="9" width="12.5703125" bestFit="1" customWidth="1"/>
    <col min="10" max="10" width="11.85546875" customWidth="1"/>
    <col min="11" max="11" width="24" customWidth="1"/>
    <col min="12" max="12" width="23.5703125" customWidth="1"/>
    <col min="13" max="13" width="10.7109375" customWidth="1"/>
    <col min="14" max="14" width="13.28515625" customWidth="1"/>
    <col min="15" max="15" width="13.5703125" customWidth="1"/>
    <col min="16" max="16" width="14.28515625" customWidth="1"/>
    <col min="17" max="17" width="12.5703125" customWidth="1"/>
    <col min="18" max="18" width="10.5703125" customWidth="1"/>
    <col min="19" max="19" width="6.85546875" customWidth="1"/>
    <col min="20" max="20" width="20.5703125" customWidth="1"/>
    <col min="21" max="21" width="7.85546875" customWidth="1"/>
    <col min="22" max="22" width="15.7109375" customWidth="1"/>
    <col min="23" max="23" width="7.85546875" customWidth="1"/>
    <col min="24" max="24" width="11.85546875" customWidth="1"/>
    <col min="25" max="25" width="7.85546875" customWidth="1"/>
    <col min="26" max="26" width="10.7109375" customWidth="1"/>
    <col min="27" max="27" width="7.85546875" customWidth="1"/>
    <col min="28" max="28" width="13.28515625" customWidth="1"/>
    <col min="29" max="29" width="7.85546875" customWidth="1"/>
    <col min="30" max="30" width="9.5703125" customWidth="1"/>
    <col min="31" max="31" width="7.85546875" customWidth="1"/>
    <col min="32" max="32" width="12.5703125" customWidth="1"/>
    <col min="33" max="33" width="7.85546875" customWidth="1"/>
    <col min="34" max="34" width="16.7109375" customWidth="1"/>
    <col min="35" max="35" width="19.85546875" customWidth="1"/>
    <col min="36" max="36" width="7.85546875" customWidth="1"/>
    <col min="37" max="37" width="14.42578125" customWidth="1"/>
    <col min="38" max="38" width="17.5703125" customWidth="1"/>
    <col min="39" max="39" width="7.85546875" customWidth="1"/>
    <col min="40" max="40" width="14.28515625" customWidth="1"/>
    <col min="41" max="41" width="17.42578125" customWidth="1"/>
    <col min="42" max="42" width="7.85546875" customWidth="1"/>
    <col min="43" max="43" width="13.140625" bestFit="1" customWidth="1"/>
    <col min="44" max="44" width="16.28515625" bestFit="1" customWidth="1"/>
    <col min="45" max="45" width="7.85546875" customWidth="1"/>
    <col min="46" max="46" width="12.5703125" bestFit="1" customWidth="1"/>
  </cols>
  <sheetData>
    <row r="1" spans="1:4" x14ac:dyDescent="0.25">
      <c r="A1" s="119" t="s">
        <v>446</v>
      </c>
      <c r="B1" t="s">
        <v>452</v>
      </c>
      <c r="C1" t="s">
        <v>450</v>
      </c>
      <c r="D1" t="s">
        <v>451</v>
      </c>
    </row>
    <row r="2" spans="1:4" x14ac:dyDescent="0.25">
      <c r="A2" s="120" t="s">
        <v>429</v>
      </c>
      <c r="B2" s="121">
        <v>-5349</v>
      </c>
      <c r="C2" s="105">
        <v>13500</v>
      </c>
      <c r="D2" s="105">
        <v>9561</v>
      </c>
    </row>
    <row r="3" spans="1:4" x14ac:dyDescent="0.25">
      <c r="A3" s="141" t="s">
        <v>428</v>
      </c>
      <c r="B3" s="121">
        <v>-5349</v>
      </c>
      <c r="C3" s="105">
        <v>13500</v>
      </c>
      <c r="D3" s="105">
        <v>9561</v>
      </c>
    </row>
    <row r="4" spans="1:4" x14ac:dyDescent="0.25">
      <c r="A4" s="120" t="s">
        <v>386</v>
      </c>
      <c r="B4" s="121">
        <v>1010</v>
      </c>
      <c r="C4" s="105">
        <v>28500</v>
      </c>
      <c r="D4" s="105">
        <v>21174</v>
      </c>
    </row>
    <row r="5" spans="1:4" x14ac:dyDescent="0.25">
      <c r="A5" s="141" t="s">
        <v>420</v>
      </c>
      <c r="B5" s="121">
        <v>4326</v>
      </c>
      <c r="C5" s="105">
        <v>15200</v>
      </c>
      <c r="D5" s="105">
        <v>1380</v>
      </c>
    </row>
    <row r="6" spans="1:4" x14ac:dyDescent="0.25">
      <c r="A6" s="141" t="s">
        <v>427</v>
      </c>
      <c r="B6" s="121">
        <v>-3316</v>
      </c>
      <c r="C6" s="105">
        <v>13300</v>
      </c>
      <c r="D6" s="105">
        <v>19794</v>
      </c>
    </row>
    <row r="7" spans="1:4" x14ac:dyDescent="0.25">
      <c r="A7" s="120" t="s">
        <v>419</v>
      </c>
      <c r="B7" s="121">
        <v>44185</v>
      </c>
      <c r="C7" s="105">
        <v>44900</v>
      </c>
      <c r="D7" s="105">
        <v>31982</v>
      </c>
    </row>
    <row r="8" spans="1:4" x14ac:dyDescent="0.25">
      <c r="A8" s="141" t="s">
        <v>434</v>
      </c>
      <c r="B8" s="121">
        <v>12059</v>
      </c>
      <c r="C8" s="105">
        <v>11300</v>
      </c>
      <c r="D8" s="105">
        <v>15480</v>
      </c>
    </row>
    <row r="9" spans="1:4" x14ac:dyDescent="0.25">
      <c r="A9" s="141" t="s">
        <v>418</v>
      </c>
      <c r="B9" s="121">
        <v>32126</v>
      </c>
      <c r="C9" s="105">
        <v>33600</v>
      </c>
      <c r="D9" s="105">
        <v>16502</v>
      </c>
    </row>
    <row r="10" spans="1:4" x14ac:dyDescent="0.25">
      <c r="A10" s="120" t="s">
        <v>407</v>
      </c>
      <c r="B10" s="121">
        <v>-1537</v>
      </c>
      <c r="C10" s="105">
        <v>237</v>
      </c>
      <c r="D10" s="105">
        <v>99</v>
      </c>
    </row>
    <row r="11" spans="1:4" x14ac:dyDescent="0.25">
      <c r="A11" s="141" t="s">
        <v>436</v>
      </c>
      <c r="B11" s="121">
        <v>-1537</v>
      </c>
      <c r="C11" s="105">
        <v>237</v>
      </c>
      <c r="D11" s="105">
        <v>99</v>
      </c>
    </row>
    <row r="12" spans="1:4" x14ac:dyDescent="0.25">
      <c r="A12" s="120" t="s">
        <v>431</v>
      </c>
      <c r="B12" s="121">
        <v>15259</v>
      </c>
      <c r="C12" s="105">
        <v>19900</v>
      </c>
      <c r="D12" s="105">
        <v>42360</v>
      </c>
    </row>
    <row r="13" spans="1:4" x14ac:dyDescent="0.25">
      <c r="A13" s="141" t="s">
        <v>430</v>
      </c>
      <c r="B13" s="121">
        <v>20766</v>
      </c>
      <c r="C13" s="105">
        <v>9400</v>
      </c>
      <c r="D13" s="105">
        <v>22628</v>
      </c>
    </row>
    <row r="14" spans="1:4" x14ac:dyDescent="0.25">
      <c r="A14" s="141" t="s">
        <v>435</v>
      </c>
      <c r="B14" s="121">
        <v>-5507</v>
      </c>
      <c r="C14" s="105">
        <v>10500</v>
      </c>
      <c r="D14" s="105">
        <v>19732</v>
      </c>
    </row>
    <row r="15" spans="1:4" x14ac:dyDescent="0.25">
      <c r="A15" s="120" t="s">
        <v>438</v>
      </c>
      <c r="B15" s="121">
        <v>-2107</v>
      </c>
      <c r="C15" s="105">
        <v>177</v>
      </c>
      <c r="D15" s="105">
        <v>-2263</v>
      </c>
    </row>
    <row r="16" spans="1:4" x14ac:dyDescent="0.25">
      <c r="A16" s="141" t="s">
        <v>437</v>
      </c>
      <c r="B16" s="121">
        <v>-2107</v>
      </c>
      <c r="C16" s="105">
        <v>177</v>
      </c>
      <c r="D16" s="105">
        <v>-2263</v>
      </c>
    </row>
    <row r="17" spans="1:4" x14ac:dyDescent="0.25">
      <c r="A17" s="120" t="s">
        <v>440</v>
      </c>
      <c r="B17" s="121">
        <v>-4705</v>
      </c>
      <c r="C17" s="105">
        <v>7400</v>
      </c>
      <c r="D17" s="105">
        <v>-3257</v>
      </c>
    </row>
    <row r="18" spans="1:4" x14ac:dyDescent="0.25">
      <c r="A18" s="141" t="s">
        <v>439</v>
      </c>
      <c r="B18" s="121">
        <v>-4705</v>
      </c>
      <c r="C18" s="105">
        <v>7400</v>
      </c>
      <c r="D18" s="105">
        <v>-3257</v>
      </c>
    </row>
    <row r="19" spans="1:4" x14ac:dyDescent="0.25">
      <c r="A19" s="120" t="s">
        <v>426</v>
      </c>
      <c r="B19" s="121">
        <v>21323</v>
      </c>
      <c r="C19" s="105">
        <v>10200</v>
      </c>
      <c r="D19" s="105">
        <v>26906</v>
      </c>
    </row>
    <row r="20" spans="1:4" x14ac:dyDescent="0.25">
      <c r="A20" s="141" t="s">
        <v>425</v>
      </c>
      <c r="B20" s="121">
        <v>21323</v>
      </c>
      <c r="C20" s="105">
        <v>10200</v>
      </c>
      <c r="D20" s="105">
        <v>26906</v>
      </c>
    </row>
    <row r="21" spans="1:4" x14ac:dyDescent="0.25">
      <c r="A21" s="120" t="s">
        <v>424</v>
      </c>
      <c r="B21" s="121">
        <v>16920</v>
      </c>
      <c r="C21" s="105">
        <v>15600</v>
      </c>
      <c r="D21" s="105">
        <v>-1446</v>
      </c>
    </row>
    <row r="22" spans="1:4" x14ac:dyDescent="0.25">
      <c r="A22" s="141" t="s">
        <v>423</v>
      </c>
      <c r="B22" s="121">
        <v>16920</v>
      </c>
      <c r="C22" s="105">
        <v>15600</v>
      </c>
      <c r="D22" s="105">
        <v>-1446</v>
      </c>
    </row>
    <row r="23" spans="1:4" x14ac:dyDescent="0.25">
      <c r="A23" s="120" t="s">
        <v>422</v>
      </c>
      <c r="B23" s="121">
        <v>11500</v>
      </c>
      <c r="C23" s="105">
        <v>18500</v>
      </c>
      <c r="D23" s="105">
        <v>27815</v>
      </c>
    </row>
    <row r="24" spans="1:4" x14ac:dyDescent="0.25">
      <c r="A24" s="141" t="s">
        <v>421</v>
      </c>
      <c r="B24" s="121">
        <v>11500</v>
      </c>
      <c r="C24" s="105">
        <v>18500</v>
      </c>
      <c r="D24" s="105">
        <v>27815</v>
      </c>
    </row>
    <row r="25" spans="1:4" x14ac:dyDescent="0.25">
      <c r="A25" s="120" t="s">
        <v>405</v>
      </c>
      <c r="B25" s="121">
        <v>61126</v>
      </c>
      <c r="C25" s="105">
        <v>51900</v>
      </c>
      <c r="D25" s="105">
        <v>55060</v>
      </c>
    </row>
    <row r="26" spans="1:4" x14ac:dyDescent="0.25">
      <c r="A26" s="141" t="s">
        <v>417</v>
      </c>
      <c r="B26" s="121">
        <v>61126</v>
      </c>
      <c r="C26" s="105">
        <v>51900</v>
      </c>
      <c r="D26" s="105">
        <v>55060</v>
      </c>
    </row>
    <row r="27" spans="1:4" x14ac:dyDescent="0.25">
      <c r="A27" s="120" t="s">
        <v>433</v>
      </c>
      <c r="B27" s="121">
        <v>33045</v>
      </c>
      <c r="C27" s="105">
        <v>15900</v>
      </c>
      <c r="D27" s="105">
        <v>9882</v>
      </c>
    </row>
    <row r="28" spans="1:4" x14ac:dyDescent="0.25">
      <c r="A28" s="141" t="s">
        <v>432</v>
      </c>
      <c r="B28" s="121">
        <v>33045</v>
      </c>
      <c r="C28" s="105">
        <v>15900</v>
      </c>
      <c r="D28" s="105">
        <v>9882</v>
      </c>
    </row>
    <row r="29" spans="1:4" x14ac:dyDescent="0.25">
      <c r="A29" s="120" t="s">
        <v>447</v>
      </c>
      <c r="B29" s="121">
        <v>190670</v>
      </c>
      <c r="C29" s="105">
        <v>226714</v>
      </c>
      <c r="D29" s="105">
        <v>217873</v>
      </c>
    </row>
    <row r="30" spans="1:4" x14ac:dyDescent="0.25">
      <c r="A30" s="120"/>
      <c r="B30" s="121"/>
      <c r="C30" s="121"/>
      <c r="D30" s="121"/>
    </row>
    <row r="31" spans="1:4" x14ac:dyDescent="0.25">
      <c r="A31" s="120"/>
      <c r="B31" s="121"/>
      <c r="C31" s="121"/>
      <c r="D31" s="121"/>
    </row>
    <row r="33" spans="1:4" x14ac:dyDescent="0.25">
      <c r="A33" s="119" t="s">
        <v>446</v>
      </c>
      <c r="B33" t="s">
        <v>452</v>
      </c>
      <c r="C33" t="s">
        <v>450</v>
      </c>
      <c r="D33" t="s">
        <v>451</v>
      </c>
    </row>
    <row r="34" spans="1:4" x14ac:dyDescent="0.25">
      <c r="A34" s="120" t="s">
        <v>429</v>
      </c>
      <c r="B34" s="121">
        <v>-5349</v>
      </c>
      <c r="C34" s="104">
        <v>13500</v>
      </c>
      <c r="D34" s="104">
        <v>9561</v>
      </c>
    </row>
    <row r="35" spans="1:4" x14ac:dyDescent="0.25">
      <c r="A35" s="120" t="s">
        <v>386</v>
      </c>
      <c r="B35" s="121">
        <v>1010</v>
      </c>
      <c r="C35" s="104">
        <v>28500</v>
      </c>
      <c r="D35" s="104">
        <v>21174</v>
      </c>
    </row>
    <row r="36" spans="1:4" x14ac:dyDescent="0.25">
      <c r="A36" s="120" t="s">
        <v>419</v>
      </c>
      <c r="B36" s="121">
        <v>44185</v>
      </c>
      <c r="C36" s="104">
        <v>44900</v>
      </c>
      <c r="D36" s="104">
        <v>31982</v>
      </c>
    </row>
    <row r="37" spans="1:4" x14ac:dyDescent="0.25">
      <c r="A37" s="120" t="s">
        <v>407</v>
      </c>
      <c r="B37" s="121">
        <v>-1537</v>
      </c>
      <c r="C37" s="104">
        <v>237</v>
      </c>
      <c r="D37" s="104">
        <v>99</v>
      </c>
    </row>
    <row r="38" spans="1:4" x14ac:dyDescent="0.25">
      <c r="A38" s="120" t="s">
        <v>431</v>
      </c>
      <c r="B38" s="121">
        <v>15259</v>
      </c>
      <c r="C38" s="104">
        <v>19900</v>
      </c>
      <c r="D38" s="104">
        <v>42360</v>
      </c>
    </row>
    <row r="39" spans="1:4" x14ac:dyDescent="0.25">
      <c r="A39" s="120" t="s">
        <v>438</v>
      </c>
      <c r="B39" s="121">
        <v>-2107</v>
      </c>
      <c r="C39" s="104">
        <v>177</v>
      </c>
      <c r="D39" s="104">
        <v>-2263</v>
      </c>
    </row>
    <row r="40" spans="1:4" x14ac:dyDescent="0.25">
      <c r="A40" s="120" t="s">
        <v>440</v>
      </c>
      <c r="B40" s="121">
        <v>-4705</v>
      </c>
      <c r="C40" s="104">
        <v>7400</v>
      </c>
      <c r="D40" s="104">
        <v>-3257</v>
      </c>
    </row>
    <row r="41" spans="1:4" x14ac:dyDescent="0.25">
      <c r="A41" s="120" t="s">
        <v>426</v>
      </c>
      <c r="B41" s="121">
        <v>21323</v>
      </c>
      <c r="C41" s="104">
        <v>10200</v>
      </c>
      <c r="D41" s="104">
        <v>26906</v>
      </c>
    </row>
    <row r="42" spans="1:4" x14ac:dyDescent="0.25">
      <c r="A42" s="120" t="s">
        <v>424</v>
      </c>
      <c r="B42" s="121">
        <v>16920</v>
      </c>
      <c r="C42" s="104">
        <v>15600</v>
      </c>
      <c r="D42" s="104">
        <v>-1446</v>
      </c>
    </row>
    <row r="43" spans="1:4" x14ac:dyDescent="0.25">
      <c r="A43" s="120" t="s">
        <v>422</v>
      </c>
      <c r="B43" s="121">
        <v>11500</v>
      </c>
      <c r="C43" s="104">
        <v>18500</v>
      </c>
      <c r="D43" s="104">
        <v>27815</v>
      </c>
    </row>
    <row r="44" spans="1:4" x14ac:dyDescent="0.25">
      <c r="A44" s="120" t="s">
        <v>405</v>
      </c>
      <c r="B44" s="121">
        <v>61126</v>
      </c>
      <c r="C44" s="104">
        <v>51900</v>
      </c>
      <c r="D44" s="104">
        <v>55060</v>
      </c>
    </row>
    <row r="45" spans="1:4" x14ac:dyDescent="0.25">
      <c r="A45" s="120" t="s">
        <v>433</v>
      </c>
      <c r="B45" s="121">
        <v>33045</v>
      </c>
      <c r="C45" s="104">
        <v>15900</v>
      </c>
      <c r="D45" s="104">
        <v>9882</v>
      </c>
    </row>
    <row r="46" spans="1:4" x14ac:dyDescent="0.25">
      <c r="A46" s="120" t="s">
        <v>447</v>
      </c>
      <c r="B46" s="121">
        <v>190670</v>
      </c>
      <c r="C46" s="104">
        <v>226714</v>
      </c>
      <c r="D46" s="104">
        <v>217873</v>
      </c>
    </row>
    <row r="49" spans="1:9" x14ac:dyDescent="0.25">
      <c r="D49" s="119" t="s">
        <v>453</v>
      </c>
    </row>
    <row r="50" spans="1:9" x14ac:dyDescent="0.25">
      <c r="A50" s="119" t="s">
        <v>413</v>
      </c>
      <c r="B50" s="119" t="s">
        <v>368</v>
      </c>
      <c r="C50" s="119" t="s">
        <v>371</v>
      </c>
      <c r="D50" t="s">
        <v>452</v>
      </c>
      <c r="E50" t="s">
        <v>450</v>
      </c>
      <c r="F50" t="s">
        <v>451</v>
      </c>
    </row>
    <row r="51" spans="1:9" x14ac:dyDescent="0.25">
      <c r="A51">
        <v>1</v>
      </c>
      <c r="B51" t="s">
        <v>417</v>
      </c>
      <c r="C51" t="s">
        <v>405</v>
      </c>
      <c r="D51" s="104">
        <v>61126</v>
      </c>
      <c r="E51" s="104">
        <v>51900</v>
      </c>
      <c r="F51" s="104">
        <v>55060</v>
      </c>
      <c r="G51" s="147">
        <f>GETPIVOTDATA("Suma de Valor de mercado 2014 (mdd)",$A$49,"Nombre","América Móvil","Lugar de la lista de México",1,"Industria","Telecomunicaciones")</f>
        <v>61126</v>
      </c>
      <c r="H51" s="147">
        <f>GETPIVOTDATA("Suma de Valor de mercado 2015 (mdd)2",$A$49,"Nombre","América Móvil","Lugar de la lista de México",1,"Industria","Telecomunicaciones")</f>
        <v>51900</v>
      </c>
      <c r="I51" s="147">
        <f>GETPIVOTDATA("Suma de Valor de mercado 2016 (mdd)",$A$49,"Nombre","América Móvil","Lugar de la lista de México",1,"Industria","Telecomunicaciones")</f>
        <v>55060</v>
      </c>
    </row>
    <row r="52" spans="1:9" x14ac:dyDescent="0.25">
      <c r="A52">
        <v>2</v>
      </c>
      <c r="B52" t="s">
        <v>418</v>
      </c>
      <c r="C52" t="s">
        <v>419</v>
      </c>
      <c r="D52" s="104">
        <v>32126</v>
      </c>
      <c r="E52" s="104">
        <v>33600</v>
      </c>
      <c r="F52" s="104">
        <v>16502</v>
      </c>
      <c r="G52" s="147">
        <f>GETPIVOTDATA("Suma de Valor de mercado 2014 (mdd)",$A$49,"Nombre","Femsa","Lugar de la lista de México",2,"Industria","Bebidas")</f>
        <v>32126</v>
      </c>
      <c r="H52" s="147">
        <f>GETPIVOTDATA("Suma de Valor de mercado 2015 (mdd)2",$A$49,"Nombre","Femsa","Lugar de la lista de México",2,"Industria","Bebidas")</f>
        <v>33600</v>
      </c>
      <c r="I52" s="147">
        <f>GETPIVOTDATA("Suma de Valor de mercado 2016 (mdd)",$A$49,"Nombre","Femsa","Lugar de la lista de México",2,"Industria","Bebidas")</f>
        <v>16502</v>
      </c>
    </row>
    <row r="53" spans="1:9" x14ac:dyDescent="0.25">
      <c r="A53">
        <v>3</v>
      </c>
      <c r="B53" t="s">
        <v>420</v>
      </c>
      <c r="C53" t="s">
        <v>386</v>
      </c>
      <c r="D53" s="104">
        <v>4326</v>
      </c>
      <c r="E53" s="104">
        <v>15200</v>
      </c>
      <c r="F53" s="104">
        <v>1380</v>
      </c>
      <c r="G53" s="147">
        <f>GETPIVOTDATA("Suma de Valor de mercado 2014 (mdd)",$A$49,"Nombre","Grupo Financiero Banorte","Lugar de la lista de México",3,"Industria","Banca")</f>
        <v>4326</v>
      </c>
      <c r="H53" s="147">
        <f>GETPIVOTDATA("Suma de Valor de mercado 2015 (mdd)2",$A$49,"Nombre","Grupo Financiero Banorte","Lugar de la lista de México",3,"Industria","Banca")</f>
        <v>15200</v>
      </c>
      <c r="I53" s="147">
        <f>GETPIVOTDATA("Suma de Valor de mercado 2016 (mdd)",$A$49,"Nombre","Grupo Financiero Banorte","Lugar de la lista de México",3,"Industria","Banca")</f>
        <v>1380</v>
      </c>
    </row>
    <row r="54" spans="1:9" x14ac:dyDescent="0.25">
      <c r="A54">
        <v>4</v>
      </c>
      <c r="B54" t="s">
        <v>421</v>
      </c>
      <c r="C54" t="s">
        <v>422</v>
      </c>
      <c r="D54" s="104">
        <v>11500</v>
      </c>
      <c r="E54" s="104">
        <v>18500</v>
      </c>
      <c r="F54" s="104">
        <v>27815</v>
      </c>
      <c r="G54" s="147">
        <f>GETPIVOTDATA("Suma de Valor de mercado 2014 (mdd)",$A$49,"Nombre","Grupo Financiero México","Lugar de la lista de México",4,"Industria","Minería")</f>
        <v>11500</v>
      </c>
      <c r="H54" s="147">
        <f>GETPIVOTDATA("Suma de Valor de mercado 2015 (mdd)2",$A$49,"Nombre","Grupo Financiero México","Lugar de la lista de México",4,"Industria","Minería")</f>
        <v>18500</v>
      </c>
      <c r="I54" s="147">
        <f>GETPIVOTDATA("Suma de Valor de mercado 2016 (mdd)",$A$49,"Nombre","Grupo Financiero México","Lugar de la lista de México",4,"Industria","Minería")</f>
        <v>27815</v>
      </c>
    </row>
    <row r="55" spans="1:9" x14ac:dyDescent="0.25">
      <c r="A55">
        <v>5</v>
      </c>
      <c r="B55" t="s">
        <v>423</v>
      </c>
      <c r="C55" t="s">
        <v>424</v>
      </c>
      <c r="D55" s="104">
        <v>16920</v>
      </c>
      <c r="E55" s="104">
        <v>15600</v>
      </c>
      <c r="F55" s="104">
        <v>-1446</v>
      </c>
      <c r="G55" s="147">
        <f>GETPIVOTDATA("Suma de Valor de mercado 2014 (mdd)",$A$49,"Nombre","Grupo Televisa","Lugar de la lista de México",5,"Industria","Medios de comunicación")</f>
        <v>16920</v>
      </c>
      <c r="H55" s="147">
        <f>GETPIVOTDATA("Suma de Valor de mercado 2015 (mdd)2",$A$49,"Nombre","Grupo Televisa","Lugar de la lista de México",5,"Industria","Medios de comunicación")</f>
        <v>15600</v>
      </c>
      <c r="I55" s="147">
        <f>GETPIVOTDATA("Suma de Valor de mercado 2016 (mdd)",$A$49,"Nombre","Grupo Televisa","Lugar de la lista de México",5,"Industria","Medios de comunicación")</f>
        <v>-1446</v>
      </c>
    </row>
    <row r="56" spans="1:9" x14ac:dyDescent="0.25">
      <c r="A56">
        <v>6</v>
      </c>
      <c r="B56" t="s">
        <v>425</v>
      </c>
      <c r="C56" t="s">
        <v>426</v>
      </c>
      <c r="D56" s="104">
        <v>21323</v>
      </c>
      <c r="E56" s="104">
        <v>10200</v>
      </c>
      <c r="F56" s="104">
        <v>26906</v>
      </c>
      <c r="G56" s="147">
        <f>GETPIVOTDATA("Suma de Valor de mercado 2014 (mdd)",$A$49,"Nombre","Cemex","Lugar de la lista de México",6,"Industria","Materiales para construcción")</f>
        <v>21323</v>
      </c>
      <c r="H56" s="147">
        <f>GETPIVOTDATA("Suma de Valor de mercado 2015 (mdd)2",$A$49,"Nombre","Cemex","Lugar de la lista de México",6,"Industria","Materiales para construcción")</f>
        <v>10200</v>
      </c>
      <c r="I56" s="147">
        <f>GETPIVOTDATA("Suma de Valor de mercado 2016 (mdd)",$A$49,"Nombre","Cemex","Lugar de la lista de México",6,"Industria","Materiales para construcción")</f>
        <v>26906</v>
      </c>
    </row>
    <row r="57" spans="1:9" x14ac:dyDescent="0.25">
      <c r="A57">
        <v>7</v>
      </c>
      <c r="B57" t="s">
        <v>427</v>
      </c>
      <c r="C57" t="s">
        <v>386</v>
      </c>
      <c r="D57" s="104">
        <v>-3316</v>
      </c>
      <c r="E57" s="104">
        <v>13300</v>
      </c>
      <c r="F57" s="104">
        <v>19794</v>
      </c>
      <c r="G57" s="147">
        <f>GETPIVOTDATA("Suma de Valor de mercado 2014 (mdd)",$A$49,"Nombre","Grupo Inbursa","Lugar de la lista de México",7,"Industria","Banca")</f>
        <v>-3316</v>
      </c>
      <c r="H57" s="147">
        <f>GETPIVOTDATA("Suma de Valor de mercado 2015 (mdd)2",$A$49,"Nombre","Grupo Inbursa","Lugar de la lista de México",7,"Industria","Banca")</f>
        <v>13300</v>
      </c>
      <c r="I57" s="147">
        <f>GETPIVOTDATA("Suma de Valor de mercado 2016 (mdd)",$A$49,"Nombre","Grupo Inbursa","Lugar de la lista de México",7,"Industria","Banca")</f>
        <v>19794</v>
      </c>
    </row>
    <row r="58" spans="1:9" x14ac:dyDescent="0.25">
      <c r="A58">
        <v>8</v>
      </c>
      <c r="B58" t="s">
        <v>428</v>
      </c>
      <c r="C58" t="s">
        <v>429</v>
      </c>
      <c r="D58" s="104">
        <v>-5349</v>
      </c>
      <c r="E58" s="104">
        <v>13500</v>
      </c>
      <c r="F58" s="104">
        <v>9561</v>
      </c>
      <c r="G58" s="147">
        <f>GETPIVOTDATA("Suma de Valor de mercado 2014 (mdd)",$A$49,"Nombre","Grupo Bimbo","Lugar de la lista de México",8,"Industria","Alimentos procesados")</f>
        <v>-5349</v>
      </c>
      <c r="H58" s="147">
        <f>GETPIVOTDATA("Suma de Valor de mercado 2015 (mdd)2",$A$49,"Nombre","Grupo Bimbo","Lugar de la lista de México",8,"Industria","Alimentos procesados")</f>
        <v>13500</v>
      </c>
      <c r="I58" s="147">
        <f>GETPIVOTDATA("Suma de Valor de mercado 2016 (mdd)",$A$49,"Nombre","Grupo Bimbo","Lugar de la lista de México",8,"Industria","Alimentos procesados")</f>
        <v>9561</v>
      </c>
    </row>
    <row r="59" spans="1:9" x14ac:dyDescent="0.25">
      <c r="A59">
        <v>9</v>
      </c>
      <c r="B59" t="s">
        <v>430</v>
      </c>
      <c r="C59" t="s">
        <v>431</v>
      </c>
      <c r="D59" s="104">
        <v>20766</v>
      </c>
      <c r="E59" s="104">
        <v>9400</v>
      </c>
      <c r="F59" s="104">
        <v>22628</v>
      </c>
      <c r="G59" s="147">
        <f>GETPIVOTDATA("Suma de Valor de mercado 2014 (mdd)",$A$49,"Nombre","Grupo Alfa","Lugar de la lista de México",9,"Industria","Conglomerados")</f>
        <v>20766</v>
      </c>
      <c r="H59" s="147">
        <f>GETPIVOTDATA("Suma de Valor de mercado 2015 (mdd)2",$A$49,"Nombre","Grupo Alfa","Lugar de la lista de México",9,"Industria","Conglomerados")</f>
        <v>9400</v>
      </c>
      <c r="I59" s="147">
        <f>GETPIVOTDATA("Suma de Valor de mercado 2016 (mdd)",$A$49,"Nombre","Grupo Alfa","Lugar de la lista de México",9,"Industria","Conglomerados")</f>
        <v>22628</v>
      </c>
    </row>
    <row r="60" spans="1:9" x14ac:dyDescent="0.25">
      <c r="A60">
        <v>10</v>
      </c>
      <c r="B60" t="s">
        <v>432</v>
      </c>
      <c r="C60" t="s">
        <v>433</v>
      </c>
      <c r="D60" s="104">
        <v>33045</v>
      </c>
      <c r="E60" s="104">
        <v>15900</v>
      </c>
      <c r="F60" s="104">
        <v>9882</v>
      </c>
      <c r="G60" s="147">
        <f>GETPIVOTDATA("Suma de Valor de mercado 2014 (mdd)",$A$49,"Nombre","El puerto de Liverpool","Lugar de la lista de México",10,"Industria","Tiendas departamentales")</f>
        <v>33045</v>
      </c>
      <c r="H60" s="147">
        <f>GETPIVOTDATA("Suma de Valor de mercado 2015 (mdd)2",$A$49,"Nombre","El puerto de Liverpool","Lugar de la lista de México",10,"Industria","Tiendas departamentales")</f>
        <v>15900</v>
      </c>
      <c r="I60" s="147">
        <f>GETPIVOTDATA("Suma de Valor de mercado 2016 (mdd)",$A$49,"Nombre","El puerto de Liverpool","Lugar de la lista de México",10,"Industria","Tiendas departamentales")</f>
        <v>9882</v>
      </c>
    </row>
    <row r="61" spans="1:9" x14ac:dyDescent="0.25">
      <c r="A61">
        <v>11</v>
      </c>
      <c r="B61" t="s">
        <v>434</v>
      </c>
      <c r="C61" t="s">
        <v>419</v>
      </c>
      <c r="D61" s="104">
        <v>12059</v>
      </c>
      <c r="E61" s="104">
        <v>11300</v>
      </c>
      <c r="F61" s="104">
        <v>15480</v>
      </c>
      <c r="G61" s="147">
        <f>GETPIVOTDATA("Suma de Valor de mercado 2014 (mdd)",$A$49,"Nombre","Arca Continental","Lugar de la lista de México",11,"Industria","Bebidas")</f>
        <v>12059</v>
      </c>
      <c r="H61" s="147">
        <f>GETPIVOTDATA("Suma de Valor de mercado 2015 (mdd)2",$A$49,"Nombre","Arca Continental","Lugar de la lista de México",11,"Industria","Bebidas")</f>
        <v>11300</v>
      </c>
      <c r="I61" s="147">
        <f>GETPIVOTDATA("Suma de Valor de mercado 2016 (mdd)",$A$49,"Nombre","Arca Continental","Lugar de la lista de México",11,"Industria","Bebidas")</f>
        <v>15480</v>
      </c>
    </row>
    <row r="62" spans="1:9" x14ac:dyDescent="0.25">
      <c r="A62">
        <v>12</v>
      </c>
      <c r="B62" t="s">
        <v>435</v>
      </c>
      <c r="C62" t="s">
        <v>431</v>
      </c>
      <c r="D62" s="104">
        <v>-5507</v>
      </c>
      <c r="E62" s="104">
        <v>10500</v>
      </c>
      <c r="F62" s="104">
        <v>19732</v>
      </c>
      <c r="G62" s="147">
        <f>GETPIVOTDATA("Suma de Valor de mercado 2014 (mdd)",$A$49,"Nombre","Grupo Carso","Lugar de la lista de México",12,"Industria","Conglomerados")</f>
        <v>-5507</v>
      </c>
      <c r="H62" s="147">
        <f>GETPIVOTDATA("Suma de Valor de mercado 2015 (mdd)2",$A$49,"Nombre","Grupo Carso","Lugar de la lista de México",12,"Industria","Conglomerados")</f>
        <v>10500</v>
      </c>
      <c r="I62" s="147">
        <f>GETPIVOTDATA("Suma de Valor de mercado 2016 (mdd)",$A$49,"Nombre","Grupo Carso","Lugar de la lista de México",12,"Industria","Conglomerados")</f>
        <v>19732</v>
      </c>
    </row>
    <row r="63" spans="1:9" x14ac:dyDescent="0.25">
      <c r="A63">
        <v>13</v>
      </c>
      <c r="B63" t="s">
        <v>436</v>
      </c>
      <c r="C63" t="s">
        <v>407</v>
      </c>
      <c r="D63" s="104">
        <v>-1537</v>
      </c>
      <c r="E63" s="104">
        <v>237</v>
      </c>
      <c r="F63" s="104">
        <v>99</v>
      </c>
      <c r="G63" s="147">
        <f>GETPIVOTDATA("Suma de Valor de mercado 2014 (mdd)",$A$49,"Nombre","Grupo Geo","Lugar de la lista de México",13,"Industria","Bienes raices")</f>
        <v>-1537</v>
      </c>
      <c r="H63" s="147">
        <f>GETPIVOTDATA("Suma de Valor de mercado 2015 (mdd)2",$A$49,"Nombre","Grupo Geo","Lugar de la lista de México",13,"Industria","Bienes raices")</f>
        <v>237</v>
      </c>
      <c r="I63" s="147">
        <f>GETPIVOTDATA("Suma de Valor de mercado 2016 (mdd)",$A$49,"Nombre","Grupo Geo","Lugar de la lista de México",13,"Industria","Bienes raices")</f>
        <v>99</v>
      </c>
    </row>
    <row r="64" spans="1:9" x14ac:dyDescent="0.25">
      <c r="A64">
        <v>14</v>
      </c>
      <c r="B64" t="s">
        <v>437</v>
      </c>
      <c r="C64" t="s">
        <v>438</v>
      </c>
      <c r="D64" s="104">
        <v>-2107</v>
      </c>
      <c r="E64" s="104">
        <v>177</v>
      </c>
      <c r="F64" s="104">
        <v>-2263</v>
      </c>
      <c r="G64" s="147">
        <f>GETPIVOTDATA("Suma de Valor de mercado 2014 (mdd)",$A$49,"Nombre","Grupo Homex","Lugar de la lista de México",14,"Industria","Construcción")</f>
        <v>-2107</v>
      </c>
      <c r="H64" s="147">
        <f>GETPIVOTDATA("Suma de Valor de mercado 2015 (mdd)2",$A$49,"Nombre","Grupo Homex","Lugar de la lista de México",14,"Industria","Construcción")</f>
        <v>177</v>
      </c>
      <c r="I64" s="147">
        <f>GETPIVOTDATA("Suma de Valor de mercado 2016 (mdd)",$A$49,"Nombre","Grupo Homex","Lugar de la lista de México",14,"Industria","Construcción")</f>
        <v>-2263</v>
      </c>
    </row>
    <row r="65" spans="1:9" x14ac:dyDescent="0.25">
      <c r="A65">
        <v>15</v>
      </c>
      <c r="B65" t="s">
        <v>439</v>
      </c>
      <c r="C65" t="s">
        <v>440</v>
      </c>
      <c r="D65" s="104">
        <v>-4705</v>
      </c>
      <c r="E65" s="104">
        <v>7400</v>
      </c>
      <c r="F65" s="104">
        <v>-3257</v>
      </c>
      <c r="G65" s="147">
        <f>GETPIVOTDATA("Suma de Valor de mercado 2014 (mdd)",$A$49,"Nombre","Fibra Uno","Lugar de la lista de México",15,"Industria","Inversiones")</f>
        <v>-4705</v>
      </c>
      <c r="H65" s="147">
        <f>GETPIVOTDATA("Suma de Valor de mercado 2015 (mdd)2",$A$49,"Nombre","Fibra Uno","Lugar de la lista de México",15,"Industria","Inversiones")</f>
        <v>7400</v>
      </c>
      <c r="I65" s="147">
        <f>GETPIVOTDATA("Suma de Valor de mercado 2016 (mdd)",$A$49,"Nombre","Fibra Uno","Lugar de la lista de México",15,"Industria","Inversiones")</f>
        <v>-3257</v>
      </c>
    </row>
    <row r="66" spans="1:9" x14ac:dyDescent="0.25">
      <c r="A66" t="s">
        <v>447</v>
      </c>
      <c r="D66" s="104">
        <v>190670</v>
      </c>
      <c r="E66" s="104">
        <v>226714</v>
      </c>
      <c r="F66" s="104">
        <v>217873</v>
      </c>
      <c r="G66" s="147">
        <f>GETPIVOTDATA("Suma de Valor de mercado 2014 (mdd)",$A$49)</f>
        <v>190670</v>
      </c>
      <c r="H66" s="147">
        <f>GETPIVOTDATA("Suma de Valor de mercado 2015 (mdd)2",$A$49)</f>
        <v>226714</v>
      </c>
      <c r="I66" s="147">
        <f>GETPIVOTDATA("Suma de Valor de mercado 2016 (mdd)",$A$49)</f>
        <v>217873</v>
      </c>
    </row>
    <row r="69" spans="1:9" x14ac:dyDescent="0.25">
      <c r="A69" s="119" t="s">
        <v>446</v>
      </c>
      <c r="B69" t="s">
        <v>452</v>
      </c>
    </row>
    <row r="70" spans="1:9" x14ac:dyDescent="0.25">
      <c r="A70" s="120" t="s">
        <v>429</v>
      </c>
      <c r="B70" s="121">
        <v>-5349</v>
      </c>
    </row>
    <row r="71" spans="1:9" x14ac:dyDescent="0.25">
      <c r="A71" s="120" t="s">
        <v>386</v>
      </c>
      <c r="B71" s="121">
        <v>1010</v>
      </c>
    </row>
    <row r="72" spans="1:9" x14ac:dyDescent="0.25">
      <c r="A72" s="120" t="s">
        <v>419</v>
      </c>
      <c r="B72" s="121">
        <v>44185</v>
      </c>
    </row>
    <row r="73" spans="1:9" x14ac:dyDescent="0.25">
      <c r="A73" s="120" t="s">
        <v>407</v>
      </c>
      <c r="B73" s="121">
        <v>-1537</v>
      </c>
    </row>
    <row r="74" spans="1:9" x14ac:dyDescent="0.25">
      <c r="A74" s="120" t="s">
        <v>431</v>
      </c>
      <c r="B74" s="121">
        <v>15259</v>
      </c>
    </row>
    <row r="75" spans="1:9" x14ac:dyDescent="0.25">
      <c r="A75" s="120" t="s">
        <v>438</v>
      </c>
      <c r="B75" s="121">
        <v>-2107</v>
      </c>
    </row>
    <row r="76" spans="1:9" x14ac:dyDescent="0.25">
      <c r="A76" s="120" t="s">
        <v>440</v>
      </c>
      <c r="B76" s="121">
        <v>-4705</v>
      </c>
    </row>
    <row r="77" spans="1:9" x14ac:dyDescent="0.25">
      <c r="A77" s="120" t="s">
        <v>426</v>
      </c>
      <c r="B77" s="121">
        <v>21323</v>
      </c>
    </row>
    <row r="78" spans="1:9" x14ac:dyDescent="0.25">
      <c r="A78" s="120" t="s">
        <v>424</v>
      </c>
      <c r="B78" s="121">
        <v>16920</v>
      </c>
    </row>
    <row r="79" spans="1:9" x14ac:dyDescent="0.25">
      <c r="A79" s="120" t="s">
        <v>422</v>
      </c>
      <c r="B79" s="121">
        <v>11500</v>
      </c>
    </row>
    <row r="80" spans="1:9" x14ac:dyDescent="0.25">
      <c r="A80" s="120" t="s">
        <v>405</v>
      </c>
      <c r="B80" s="121">
        <v>61126</v>
      </c>
    </row>
    <row r="81" spans="1:2" x14ac:dyDescent="0.25">
      <c r="A81" s="120" t="s">
        <v>433</v>
      </c>
      <c r="B81" s="121">
        <v>33045</v>
      </c>
    </row>
    <row r="82" spans="1:2" x14ac:dyDescent="0.25">
      <c r="A82" s="120" t="s">
        <v>447</v>
      </c>
      <c r="B82" s="121">
        <v>190670</v>
      </c>
    </row>
    <row r="85" spans="1:2" x14ac:dyDescent="0.25">
      <c r="A85" s="119" t="s">
        <v>446</v>
      </c>
      <c r="B85" t="s">
        <v>450</v>
      </c>
    </row>
    <row r="86" spans="1:2" x14ac:dyDescent="0.25">
      <c r="A86" s="120" t="s">
        <v>429</v>
      </c>
      <c r="B86" s="104">
        <v>13500</v>
      </c>
    </row>
    <row r="87" spans="1:2" x14ac:dyDescent="0.25">
      <c r="A87" s="120" t="s">
        <v>386</v>
      </c>
      <c r="B87" s="104">
        <v>28500</v>
      </c>
    </row>
    <row r="88" spans="1:2" x14ac:dyDescent="0.25">
      <c r="A88" s="120" t="s">
        <v>419</v>
      </c>
      <c r="B88" s="104">
        <v>44900</v>
      </c>
    </row>
    <row r="89" spans="1:2" x14ac:dyDescent="0.25">
      <c r="A89" s="120" t="s">
        <v>407</v>
      </c>
      <c r="B89" s="104">
        <v>237</v>
      </c>
    </row>
    <row r="90" spans="1:2" x14ac:dyDescent="0.25">
      <c r="A90" s="120" t="s">
        <v>431</v>
      </c>
      <c r="B90" s="104">
        <v>19900</v>
      </c>
    </row>
    <row r="91" spans="1:2" x14ac:dyDescent="0.25">
      <c r="A91" s="120" t="s">
        <v>438</v>
      </c>
      <c r="B91" s="104">
        <v>177</v>
      </c>
    </row>
    <row r="92" spans="1:2" x14ac:dyDescent="0.25">
      <c r="A92" s="120" t="s">
        <v>440</v>
      </c>
      <c r="B92" s="104">
        <v>7400</v>
      </c>
    </row>
    <row r="93" spans="1:2" x14ac:dyDescent="0.25">
      <c r="A93" s="120" t="s">
        <v>426</v>
      </c>
      <c r="B93" s="104">
        <v>10200</v>
      </c>
    </row>
    <row r="94" spans="1:2" x14ac:dyDescent="0.25">
      <c r="A94" s="120" t="s">
        <v>424</v>
      </c>
      <c r="B94" s="104">
        <v>15600</v>
      </c>
    </row>
    <row r="95" spans="1:2" x14ac:dyDescent="0.25">
      <c r="A95" s="120" t="s">
        <v>422</v>
      </c>
      <c r="B95" s="104">
        <v>18500</v>
      </c>
    </row>
    <row r="96" spans="1:2" x14ac:dyDescent="0.25">
      <c r="A96" s="120" t="s">
        <v>405</v>
      </c>
      <c r="B96" s="104">
        <v>51900</v>
      </c>
    </row>
    <row r="97" spans="1:2" x14ac:dyDescent="0.25">
      <c r="A97" s="120" t="s">
        <v>433</v>
      </c>
      <c r="B97" s="104">
        <v>15900</v>
      </c>
    </row>
    <row r="98" spans="1:2" x14ac:dyDescent="0.25">
      <c r="A98" s="120" t="s">
        <v>447</v>
      </c>
      <c r="B98" s="104">
        <v>226714</v>
      </c>
    </row>
    <row r="101" spans="1:2" x14ac:dyDescent="0.25">
      <c r="A101" s="119" t="s">
        <v>446</v>
      </c>
      <c r="B101" t="s">
        <v>451</v>
      </c>
    </row>
    <row r="102" spans="1:2" x14ac:dyDescent="0.25">
      <c r="A102" s="120" t="s">
        <v>429</v>
      </c>
      <c r="B102" s="104">
        <v>9561</v>
      </c>
    </row>
    <row r="103" spans="1:2" x14ac:dyDescent="0.25">
      <c r="A103" s="120" t="s">
        <v>386</v>
      </c>
      <c r="B103" s="104">
        <v>21174</v>
      </c>
    </row>
    <row r="104" spans="1:2" x14ac:dyDescent="0.25">
      <c r="A104" s="120" t="s">
        <v>419</v>
      </c>
      <c r="B104" s="104">
        <v>31982</v>
      </c>
    </row>
    <row r="105" spans="1:2" x14ac:dyDescent="0.25">
      <c r="A105" s="120" t="s">
        <v>407</v>
      </c>
      <c r="B105" s="104">
        <v>99</v>
      </c>
    </row>
    <row r="106" spans="1:2" x14ac:dyDescent="0.25">
      <c r="A106" s="120" t="s">
        <v>431</v>
      </c>
      <c r="B106" s="104">
        <v>42360</v>
      </c>
    </row>
    <row r="107" spans="1:2" x14ac:dyDescent="0.25">
      <c r="A107" s="120" t="s">
        <v>438</v>
      </c>
      <c r="B107" s="104">
        <v>-2263</v>
      </c>
    </row>
    <row r="108" spans="1:2" x14ac:dyDescent="0.25">
      <c r="A108" s="120" t="s">
        <v>440</v>
      </c>
      <c r="B108" s="104">
        <v>-3257</v>
      </c>
    </row>
    <row r="109" spans="1:2" x14ac:dyDescent="0.25">
      <c r="A109" s="120" t="s">
        <v>426</v>
      </c>
      <c r="B109" s="104">
        <v>26906</v>
      </c>
    </row>
    <row r="110" spans="1:2" x14ac:dyDescent="0.25">
      <c r="A110" s="120" t="s">
        <v>424</v>
      </c>
      <c r="B110" s="104">
        <v>-1446</v>
      </c>
    </row>
    <row r="111" spans="1:2" x14ac:dyDescent="0.25">
      <c r="A111" s="120" t="s">
        <v>422</v>
      </c>
      <c r="B111" s="104">
        <v>27815</v>
      </c>
    </row>
    <row r="112" spans="1:2" x14ac:dyDescent="0.25">
      <c r="A112" s="120" t="s">
        <v>405</v>
      </c>
      <c r="B112" s="104">
        <v>55060</v>
      </c>
    </row>
    <row r="113" spans="1:2" x14ac:dyDescent="0.25">
      <c r="A113" s="120" t="s">
        <v>433</v>
      </c>
      <c r="B113" s="104">
        <v>9882</v>
      </c>
    </row>
    <row r="114" spans="1:2" x14ac:dyDescent="0.25">
      <c r="A114" s="120" t="s">
        <v>447</v>
      </c>
      <c r="B114" s="104">
        <v>217873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F30"/>
  <sheetViews>
    <sheetView showGridLines="0" zoomScale="60" zoomScaleNormal="60" workbookViewId="0">
      <selection activeCell="P30" sqref="P30"/>
    </sheetView>
  </sheetViews>
  <sheetFormatPr baseColWidth="10" defaultRowHeight="15" x14ac:dyDescent="0.25"/>
  <cols>
    <col min="1" max="1" width="24.42578125" bestFit="1" customWidth="1"/>
    <col min="2" max="2" width="23.85546875" bestFit="1" customWidth="1"/>
    <col min="3" max="3" width="26.7109375" bestFit="1" customWidth="1"/>
    <col min="4" max="4" width="13.7109375" bestFit="1" customWidth="1"/>
    <col min="5" max="5" width="14" bestFit="1" customWidth="1"/>
    <col min="6" max="6" width="13.5703125" bestFit="1" customWidth="1"/>
  </cols>
  <sheetData>
    <row r="14" spans="1:6" x14ac:dyDescent="0.25">
      <c r="A14" s="142"/>
      <c r="B14" s="145" t="s">
        <v>368</v>
      </c>
      <c r="C14" s="145" t="s">
        <v>371</v>
      </c>
      <c r="D14" s="146">
        <v>2014</v>
      </c>
      <c r="E14" s="146">
        <v>2015</v>
      </c>
      <c r="F14" s="146">
        <v>2016</v>
      </c>
    </row>
    <row r="15" spans="1:6" x14ac:dyDescent="0.25">
      <c r="A15" s="143">
        <v>1</v>
      </c>
      <c r="B15" s="143" t="s">
        <v>417</v>
      </c>
      <c r="C15" s="143" t="s">
        <v>405</v>
      </c>
      <c r="D15" s="102">
        <f>Tablasdinamicas!G51</f>
        <v>61126</v>
      </c>
      <c r="E15" s="102">
        <f>Tablasdinamicas!H51</f>
        <v>51900</v>
      </c>
      <c r="F15" s="102">
        <f>Tablasdinamicas!I51</f>
        <v>55060</v>
      </c>
    </row>
    <row r="16" spans="1:6" x14ac:dyDescent="0.25">
      <c r="A16" s="143">
        <v>2</v>
      </c>
      <c r="B16" s="143" t="s">
        <v>418</v>
      </c>
      <c r="C16" s="143" t="s">
        <v>419</v>
      </c>
      <c r="D16" s="102">
        <f>Tablasdinamicas!G52</f>
        <v>32126</v>
      </c>
      <c r="E16" s="102">
        <f>Tablasdinamicas!H52</f>
        <v>33600</v>
      </c>
      <c r="F16" s="102">
        <f>Tablasdinamicas!I52</f>
        <v>16502</v>
      </c>
    </row>
    <row r="17" spans="1:6" x14ac:dyDescent="0.25">
      <c r="A17" s="143">
        <v>3</v>
      </c>
      <c r="B17" s="143" t="s">
        <v>420</v>
      </c>
      <c r="C17" s="143" t="s">
        <v>386</v>
      </c>
      <c r="D17" s="102">
        <f>Tablasdinamicas!G53</f>
        <v>4326</v>
      </c>
      <c r="E17" s="102">
        <f>Tablasdinamicas!H53</f>
        <v>15200</v>
      </c>
      <c r="F17" s="102">
        <f>Tablasdinamicas!I53</f>
        <v>1380</v>
      </c>
    </row>
    <row r="18" spans="1:6" x14ac:dyDescent="0.25">
      <c r="A18" s="143">
        <v>4</v>
      </c>
      <c r="B18" s="143" t="s">
        <v>421</v>
      </c>
      <c r="C18" s="143" t="s">
        <v>422</v>
      </c>
      <c r="D18" s="102">
        <f>Tablasdinamicas!G54</f>
        <v>11500</v>
      </c>
      <c r="E18" s="102">
        <f>Tablasdinamicas!H54</f>
        <v>18500</v>
      </c>
      <c r="F18" s="102">
        <f>Tablasdinamicas!I54</f>
        <v>27815</v>
      </c>
    </row>
    <row r="19" spans="1:6" x14ac:dyDescent="0.25">
      <c r="A19" s="143">
        <v>5</v>
      </c>
      <c r="B19" s="143" t="s">
        <v>423</v>
      </c>
      <c r="C19" s="143" t="s">
        <v>424</v>
      </c>
      <c r="D19" s="102">
        <f>Tablasdinamicas!G55</f>
        <v>16920</v>
      </c>
      <c r="E19" s="102">
        <f>Tablasdinamicas!H55</f>
        <v>15600</v>
      </c>
      <c r="F19" s="102">
        <f>Tablasdinamicas!I55</f>
        <v>-1446</v>
      </c>
    </row>
    <row r="20" spans="1:6" x14ac:dyDescent="0.25">
      <c r="A20" s="143">
        <v>6</v>
      </c>
      <c r="B20" s="143" t="s">
        <v>425</v>
      </c>
      <c r="C20" s="143" t="s">
        <v>426</v>
      </c>
      <c r="D20" s="102">
        <f>Tablasdinamicas!G56</f>
        <v>21323</v>
      </c>
      <c r="E20" s="102">
        <f>Tablasdinamicas!H56</f>
        <v>10200</v>
      </c>
      <c r="F20" s="102">
        <f>Tablasdinamicas!I56</f>
        <v>26906</v>
      </c>
    </row>
    <row r="21" spans="1:6" x14ac:dyDescent="0.25">
      <c r="A21" s="143">
        <v>7</v>
      </c>
      <c r="B21" s="143" t="s">
        <v>427</v>
      </c>
      <c r="C21" s="143" t="s">
        <v>386</v>
      </c>
      <c r="D21" s="102">
        <f>Tablasdinamicas!G57</f>
        <v>-3316</v>
      </c>
      <c r="E21" s="102">
        <f>Tablasdinamicas!H57</f>
        <v>13300</v>
      </c>
      <c r="F21" s="102">
        <f>Tablasdinamicas!I57</f>
        <v>19794</v>
      </c>
    </row>
    <row r="22" spans="1:6" x14ac:dyDescent="0.25">
      <c r="A22" s="143">
        <v>8</v>
      </c>
      <c r="B22" s="143" t="s">
        <v>428</v>
      </c>
      <c r="C22" s="143" t="s">
        <v>429</v>
      </c>
      <c r="D22" s="102">
        <f>Tablasdinamicas!G58</f>
        <v>-5349</v>
      </c>
      <c r="E22" s="102">
        <f>Tablasdinamicas!H58</f>
        <v>13500</v>
      </c>
      <c r="F22" s="102">
        <f>Tablasdinamicas!I58</f>
        <v>9561</v>
      </c>
    </row>
    <row r="23" spans="1:6" x14ac:dyDescent="0.25">
      <c r="A23" s="143">
        <v>9</v>
      </c>
      <c r="B23" s="143" t="s">
        <v>430</v>
      </c>
      <c r="C23" s="143" t="s">
        <v>431</v>
      </c>
      <c r="D23" s="102">
        <f>Tablasdinamicas!G59</f>
        <v>20766</v>
      </c>
      <c r="E23" s="102">
        <f>Tablasdinamicas!H59</f>
        <v>9400</v>
      </c>
      <c r="F23" s="102">
        <f>Tablasdinamicas!I59</f>
        <v>22628</v>
      </c>
    </row>
    <row r="24" spans="1:6" x14ac:dyDescent="0.25">
      <c r="A24" s="143">
        <v>10</v>
      </c>
      <c r="B24" s="143" t="s">
        <v>432</v>
      </c>
      <c r="C24" s="143" t="s">
        <v>433</v>
      </c>
      <c r="D24" s="102">
        <f>Tablasdinamicas!G60</f>
        <v>33045</v>
      </c>
      <c r="E24" s="102">
        <f>Tablasdinamicas!H60</f>
        <v>15900</v>
      </c>
      <c r="F24" s="102">
        <f>Tablasdinamicas!I60</f>
        <v>9882</v>
      </c>
    </row>
    <row r="25" spans="1:6" x14ac:dyDescent="0.25">
      <c r="A25" s="143">
        <v>11</v>
      </c>
      <c r="B25" s="143" t="s">
        <v>434</v>
      </c>
      <c r="C25" s="143" t="s">
        <v>419</v>
      </c>
      <c r="D25" s="102">
        <f>Tablasdinamicas!G61</f>
        <v>12059</v>
      </c>
      <c r="E25" s="102">
        <f>Tablasdinamicas!H61</f>
        <v>11300</v>
      </c>
      <c r="F25" s="102">
        <f>Tablasdinamicas!I61</f>
        <v>15480</v>
      </c>
    </row>
    <row r="26" spans="1:6" x14ac:dyDescent="0.25">
      <c r="A26" s="143">
        <v>12</v>
      </c>
      <c r="B26" s="143" t="s">
        <v>435</v>
      </c>
      <c r="C26" s="143" t="s">
        <v>431</v>
      </c>
      <c r="D26" s="102">
        <f>Tablasdinamicas!G62</f>
        <v>-5507</v>
      </c>
      <c r="E26" s="102">
        <f>Tablasdinamicas!H62</f>
        <v>10500</v>
      </c>
      <c r="F26" s="102">
        <f>Tablasdinamicas!I62</f>
        <v>19732</v>
      </c>
    </row>
    <row r="27" spans="1:6" x14ac:dyDescent="0.25">
      <c r="A27" s="143">
        <v>13</v>
      </c>
      <c r="B27" s="143" t="s">
        <v>436</v>
      </c>
      <c r="C27" s="143" t="s">
        <v>407</v>
      </c>
      <c r="D27" s="102">
        <f>Tablasdinamicas!G63</f>
        <v>-1537</v>
      </c>
      <c r="E27" s="102">
        <f>Tablasdinamicas!H63</f>
        <v>237</v>
      </c>
      <c r="F27" s="102">
        <f>Tablasdinamicas!I63</f>
        <v>99</v>
      </c>
    </row>
    <row r="28" spans="1:6" x14ac:dyDescent="0.25">
      <c r="A28" s="143">
        <v>14</v>
      </c>
      <c r="B28" s="143" t="s">
        <v>437</v>
      </c>
      <c r="C28" s="143" t="s">
        <v>438</v>
      </c>
      <c r="D28" s="102">
        <f>Tablasdinamicas!G64</f>
        <v>-2107</v>
      </c>
      <c r="E28" s="102">
        <f>Tablasdinamicas!H64</f>
        <v>177</v>
      </c>
      <c r="F28" s="102">
        <f>Tablasdinamicas!I64</f>
        <v>-2263</v>
      </c>
    </row>
    <row r="29" spans="1:6" ht="15.75" thickBot="1" x14ac:dyDescent="0.3">
      <c r="A29" s="144">
        <v>15</v>
      </c>
      <c r="B29" s="144" t="s">
        <v>439</v>
      </c>
      <c r="C29" s="144" t="s">
        <v>440</v>
      </c>
      <c r="D29" s="149">
        <f>Tablasdinamicas!G65</f>
        <v>-4705</v>
      </c>
      <c r="E29" s="149">
        <f>Tablasdinamicas!H65</f>
        <v>7400</v>
      </c>
      <c r="F29" s="149">
        <f>Tablasdinamicas!I65</f>
        <v>-3257</v>
      </c>
    </row>
    <row r="30" spans="1:6" ht="15.75" thickTop="1" x14ac:dyDescent="0.25">
      <c r="D30" s="148">
        <f>SUM(D14:D29)</f>
        <v>192684</v>
      </c>
      <c r="E30" s="148">
        <f t="shared" ref="E30:F30" si="0">SUM(E14:E29)</f>
        <v>228729</v>
      </c>
      <c r="F30" s="148">
        <f t="shared" si="0"/>
        <v>219889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xSplit="2" ySplit="6" topLeftCell="C33" activePane="bottomRight" state="frozen"/>
      <selection pane="topRight" activeCell="C1" sqref="C1"/>
      <selection pane="bottomLeft" activeCell="A7" sqref="A7"/>
      <selection pane="bottomRight" activeCell="D36" sqref="D36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52" t="s">
        <v>212</v>
      </c>
      <c r="B1" s="152"/>
      <c r="C1" s="152"/>
      <c r="D1" s="152"/>
      <c r="E1" s="152"/>
      <c r="F1" s="152"/>
    </row>
    <row r="2" spans="1:10" ht="31.5" x14ac:dyDescent="0.5">
      <c r="A2" s="6" t="s">
        <v>217</v>
      </c>
      <c r="B2" s="5"/>
      <c r="C2" s="5"/>
      <c r="D2" s="5"/>
      <c r="E2" s="5"/>
      <c r="F2" s="5"/>
    </row>
    <row r="3" spans="1:10" ht="18.75" x14ac:dyDescent="0.3">
      <c r="A3" s="6" t="s">
        <v>216</v>
      </c>
    </row>
    <row r="4" spans="1:10" ht="18.75" x14ac:dyDescent="0.3">
      <c r="A4" s="6" t="s">
        <v>218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3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3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3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3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3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3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3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3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3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3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3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3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3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3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3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3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3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3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3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3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3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3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3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3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3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3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3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3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3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>
        <f>SUBTOTAL(103,Tabla1[ID])</f>
        <v>29</v>
      </c>
      <c r="C36">
        <f>SUBTOTAL(103,Tabla1[Primer nombre])</f>
        <v>29</v>
      </c>
      <c r="D36">
        <f>SUBTOTAL(103,Tabla1[Apellido])</f>
        <v>29</v>
      </c>
      <c r="E36">
        <f>SUBTOTAL(103,Tabla1[Teléfono])</f>
        <v>29</v>
      </c>
      <c r="F36">
        <f>SUBTOTAL(103,Tabla1[Puesto])</f>
        <v>29</v>
      </c>
      <c r="G36" s="106">
        <f>SUBTOTAL(109,Tabla1[Compras realizadas])</f>
        <v>259</v>
      </c>
      <c r="H36">
        <f>SUBTOTAL(103,Tabla1[Dirección])</f>
        <v>29</v>
      </c>
      <c r="I36">
        <f>SUBTOTAL(103,Tabla1[Estado/Provincia])</f>
        <v>29</v>
      </c>
      <c r="J36">
        <f>SUBTOTAL(103,Tabla1[Ciudad])</f>
        <v>29</v>
      </c>
    </row>
    <row r="40" spans="1:10" ht="15.75" thickBot="1" x14ac:dyDescent="0.3">
      <c r="C40" s="153" t="s">
        <v>176</v>
      </c>
      <c r="D40" s="153"/>
    </row>
    <row r="41" spans="1:10" x14ac:dyDescent="0.25">
      <c r="C41" s="154" t="s">
        <v>177</v>
      </c>
      <c r="D41" s="155">
        <f>AVERAGE(Tabla1[Compras realizadas])</f>
        <v>8.931034482758621</v>
      </c>
    </row>
    <row r="42" spans="1:10" ht="15.75" thickBot="1" x14ac:dyDescent="0.3">
      <c r="C42" s="154"/>
      <c r="D42" s="156"/>
    </row>
  </sheetData>
  <mergeCells count="4">
    <mergeCell ref="C40:D40"/>
    <mergeCell ref="C41:C42"/>
    <mergeCell ref="D41:D42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K13" sqref="K13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23.42578125" style="1" bestFit="1" customWidth="1"/>
    <col min="6" max="16384" width="9" style="1"/>
  </cols>
  <sheetData>
    <row r="1" spans="1:6" ht="31.5" x14ac:dyDescent="0.5">
      <c r="A1" s="152" t="s">
        <v>212</v>
      </c>
      <c r="B1" s="152"/>
      <c r="C1" s="152"/>
      <c r="D1" s="152"/>
      <c r="E1" s="152"/>
      <c r="F1" s="152"/>
    </row>
    <row r="2" spans="1:6" ht="31.5" x14ac:dyDescent="0.5">
      <c r="A2" s="6" t="s">
        <v>219</v>
      </c>
      <c r="B2" s="5"/>
      <c r="C2" s="5"/>
      <c r="D2" s="5"/>
      <c r="E2" s="5"/>
      <c r="F2" s="5"/>
    </row>
    <row r="3" spans="1:6" ht="31.5" x14ac:dyDescent="0.5">
      <c r="A3" s="6"/>
      <c r="B3" s="5"/>
      <c r="C3" s="5"/>
      <c r="D3" s="5"/>
      <c r="E3" s="5"/>
      <c r="F3" s="5"/>
    </row>
    <row r="4" spans="1:6" x14ac:dyDescent="0.25">
      <c r="A4" s="107" t="s">
        <v>4</v>
      </c>
      <c r="B4" s="107" t="s">
        <v>178</v>
      </c>
      <c r="C4" s="107" t="s">
        <v>37</v>
      </c>
      <c r="D4" s="107" t="s">
        <v>38</v>
      </c>
      <c r="E4" s="107" t="s">
        <v>40</v>
      </c>
    </row>
    <row r="5" spans="1:6" x14ac:dyDescent="0.25">
      <c r="A5" t="s">
        <v>179</v>
      </c>
      <c r="B5" s="107">
        <v>4</v>
      </c>
      <c r="C5" t="s">
        <v>180</v>
      </c>
      <c r="D5" t="s">
        <v>181</v>
      </c>
      <c r="E5" t="s">
        <v>182</v>
      </c>
    </row>
    <row r="6" spans="1:6" x14ac:dyDescent="0.25">
      <c r="A6" t="s">
        <v>183</v>
      </c>
      <c r="B6" s="107">
        <v>10</v>
      </c>
      <c r="C6" t="s">
        <v>184</v>
      </c>
      <c r="D6" t="s">
        <v>185</v>
      </c>
      <c r="E6" t="s">
        <v>186</v>
      </c>
    </row>
    <row r="7" spans="1:6" x14ac:dyDescent="0.25">
      <c r="A7" t="s">
        <v>187</v>
      </c>
      <c r="B7" s="107">
        <v>2</v>
      </c>
      <c r="C7" t="s">
        <v>188</v>
      </c>
      <c r="D7" t="s">
        <v>189</v>
      </c>
      <c r="E7" t="s">
        <v>186</v>
      </c>
    </row>
    <row r="8" spans="1:6" x14ac:dyDescent="0.25">
      <c r="A8" t="s">
        <v>190</v>
      </c>
      <c r="B8" s="107">
        <v>1</v>
      </c>
      <c r="C8" t="s">
        <v>191</v>
      </c>
      <c r="D8" t="s">
        <v>101</v>
      </c>
      <c r="E8" t="s">
        <v>186</v>
      </c>
    </row>
    <row r="9" spans="1:6" x14ac:dyDescent="0.25">
      <c r="A9" t="s">
        <v>192</v>
      </c>
      <c r="B9" s="107">
        <v>6</v>
      </c>
      <c r="C9" t="s">
        <v>193</v>
      </c>
      <c r="D9" t="s">
        <v>194</v>
      </c>
      <c r="E9" t="s">
        <v>195</v>
      </c>
    </row>
    <row r="10" spans="1:6" x14ac:dyDescent="0.25">
      <c r="A10" t="s">
        <v>196</v>
      </c>
      <c r="B10" s="107">
        <v>3</v>
      </c>
      <c r="C10" t="s">
        <v>197</v>
      </c>
      <c r="D10" t="s">
        <v>198</v>
      </c>
      <c r="E10" t="s">
        <v>199</v>
      </c>
    </row>
    <row r="11" spans="1:6" x14ac:dyDescent="0.25">
      <c r="A11" t="s">
        <v>200</v>
      </c>
      <c r="B11" s="107">
        <v>5</v>
      </c>
      <c r="C11" t="s">
        <v>201</v>
      </c>
      <c r="D11" t="s">
        <v>202</v>
      </c>
      <c r="E11" t="s">
        <v>186</v>
      </c>
    </row>
    <row r="12" spans="1:6" x14ac:dyDescent="0.25">
      <c r="A12" t="s">
        <v>203</v>
      </c>
      <c r="B12" s="107">
        <v>7</v>
      </c>
      <c r="C12" t="s">
        <v>204</v>
      </c>
      <c r="D12" t="s">
        <v>205</v>
      </c>
      <c r="E12" t="s">
        <v>182</v>
      </c>
    </row>
    <row r="13" spans="1:6" x14ac:dyDescent="0.25">
      <c r="A13" t="s">
        <v>206</v>
      </c>
      <c r="B13" s="107">
        <v>8</v>
      </c>
      <c r="C13" t="s">
        <v>207</v>
      </c>
      <c r="D13" t="s">
        <v>208</v>
      </c>
      <c r="E13" t="s">
        <v>199</v>
      </c>
    </row>
    <row r="14" spans="1:6" x14ac:dyDescent="0.25">
      <c r="A14" t="s">
        <v>209</v>
      </c>
      <c r="B14" s="107">
        <v>9</v>
      </c>
      <c r="C14" t="s">
        <v>210</v>
      </c>
      <c r="D14" t="s">
        <v>211</v>
      </c>
      <c r="E14" t="s">
        <v>186</v>
      </c>
    </row>
    <row r="16" spans="1:6" x14ac:dyDescent="0.25">
      <c r="A16" s="108" t="s">
        <v>444</v>
      </c>
      <c r="B16" s="109">
        <f>AVERAGE(Tabla7[Pedidos])</f>
        <v>5.5</v>
      </c>
    </row>
  </sheetData>
  <mergeCells count="1">
    <mergeCell ref="A1:F1"/>
  </mergeCells>
  <phoneticPr fontId="2" type="noConversion"/>
  <conditionalFormatting sqref="B5:B14">
    <cfRule type="cellIs" dxfId="87" priority="1" operator="greaterThan">
      <formula>5.5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zoomScale="73" zoomScaleNormal="73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N12" sqref="N12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5703125" style="7" bestFit="1" customWidth="1"/>
    <col min="15" max="16384" width="12.5703125" style="7"/>
  </cols>
  <sheetData>
    <row r="1" spans="2:14" ht="31.5" x14ac:dyDescent="0.5">
      <c r="B1" s="152" t="s">
        <v>212</v>
      </c>
      <c r="C1" s="152"/>
      <c r="D1" s="152"/>
      <c r="E1" s="152"/>
      <c r="F1" s="152"/>
      <c r="G1" s="152"/>
    </row>
    <row r="2" spans="2:14" ht="31.5" x14ac:dyDescent="0.5">
      <c r="B2" s="6" t="s">
        <v>254</v>
      </c>
      <c r="C2" s="5"/>
      <c r="D2" s="5"/>
      <c r="E2" s="5"/>
      <c r="F2" s="5"/>
      <c r="G2" s="5"/>
    </row>
    <row r="3" spans="2:14" ht="43.5" customHeight="1" x14ac:dyDescent="0.5">
      <c r="B3" s="6" t="s">
        <v>255</v>
      </c>
      <c r="C3" s="5"/>
      <c r="D3" s="5"/>
      <c r="E3" s="5"/>
      <c r="F3" s="5"/>
      <c r="G3" s="5"/>
    </row>
    <row r="4" spans="2:14" ht="43.5" customHeight="1" x14ac:dyDescent="0.5">
      <c r="B4" s="6" t="s">
        <v>256</v>
      </c>
      <c r="C4" s="5"/>
      <c r="D4" s="5"/>
      <c r="E4" s="5"/>
      <c r="F4" s="5"/>
      <c r="G4" s="5"/>
    </row>
    <row r="5" spans="2:14" ht="17.25" thickBot="1" x14ac:dyDescent="0.35"/>
    <row r="6" spans="2:14" ht="31.5" customHeight="1" thickTop="1" thickBot="1" x14ac:dyDescent="0.35">
      <c r="C6" s="157"/>
      <c r="D6" s="157"/>
      <c r="E6" s="157"/>
      <c r="F6" s="157"/>
      <c r="G6" s="157"/>
      <c r="H6" s="157"/>
      <c r="I6" s="157"/>
      <c r="J6" s="157"/>
      <c r="K6" s="157"/>
    </row>
    <row r="7" spans="2:14" ht="31.5" customHeight="1" thickTop="1" x14ac:dyDescent="0.3">
      <c r="C7" s="158"/>
      <c r="D7" s="158"/>
      <c r="E7" s="158"/>
      <c r="F7" s="158"/>
      <c r="G7" s="158"/>
      <c r="H7" s="158"/>
      <c r="I7" s="158"/>
      <c r="J7" s="158"/>
      <c r="K7" s="158"/>
    </row>
    <row r="8" spans="2:14" ht="17.25" thickBot="1" x14ac:dyDescent="0.35">
      <c r="C8" s="110" t="s">
        <v>220</v>
      </c>
      <c r="D8" s="110" t="s">
        <v>221</v>
      </c>
      <c r="E8" s="110" t="s">
        <v>222</v>
      </c>
      <c r="F8" s="110" t="s">
        <v>223</v>
      </c>
      <c r="G8" s="110" t="s">
        <v>224</v>
      </c>
      <c r="H8" s="110" t="s">
        <v>225</v>
      </c>
      <c r="I8" s="110" t="s">
        <v>226</v>
      </c>
      <c r="J8" s="110" t="s">
        <v>227</v>
      </c>
      <c r="K8" s="110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16"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17">
        <v>15586616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11"/>
      <c r="D38" s="112">
        <v>37998</v>
      </c>
      <c r="E38" s="111" t="s">
        <v>233</v>
      </c>
      <c r="F38" s="111" t="s">
        <v>230</v>
      </c>
      <c r="G38" s="111" t="s">
        <v>240</v>
      </c>
      <c r="H38" s="111">
        <v>201</v>
      </c>
      <c r="I38" s="113">
        <v>939072</v>
      </c>
      <c r="J38" s="112">
        <v>38203</v>
      </c>
      <c r="K38" s="111" t="s">
        <v>232</v>
      </c>
    </row>
    <row r="39" spans="3:11" x14ac:dyDescent="0.3">
      <c r="C39" t="s">
        <v>9</v>
      </c>
      <c r="D39" s="114"/>
      <c r="E39"/>
      <c r="F39"/>
      <c r="G39"/>
      <c r="H39"/>
      <c r="I39" s="115">
        <f>SUBTOTAL(109,Tabla8[Monto])</f>
        <v>35345796</v>
      </c>
      <c r="J39" s="114"/>
      <c r="K39">
        <f>SUBTOTAL(103,Tabla8[Vendedor])</f>
        <v>30</v>
      </c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D7" workbookViewId="0">
      <selection activeCell="J7" sqref="J7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8" width="12.5703125" style="7"/>
    <col min="9" max="9" width="17.5703125" style="7" bestFit="1" customWidth="1"/>
    <col min="10" max="10" width="15.140625" style="7" bestFit="1" customWidth="1"/>
    <col min="11" max="16384" width="12.5703125" style="7"/>
  </cols>
  <sheetData>
    <row r="1" spans="1:11" ht="31.5" x14ac:dyDescent="0.5">
      <c r="A1" s="152" t="s">
        <v>212</v>
      </c>
      <c r="B1" s="152"/>
      <c r="C1" s="152"/>
      <c r="D1" s="152"/>
      <c r="E1" s="152"/>
      <c r="F1" s="152"/>
    </row>
    <row r="2" spans="1:11" ht="31.5" x14ac:dyDescent="0.5">
      <c r="A2" s="6" t="s">
        <v>257</v>
      </c>
      <c r="B2" s="5"/>
      <c r="C2" s="5"/>
      <c r="D2" s="5"/>
      <c r="E2" s="5"/>
      <c r="F2" s="5"/>
    </row>
    <row r="3" spans="1:11" ht="31.5" x14ac:dyDescent="0.5">
      <c r="A3" s="6" t="s">
        <v>258</v>
      </c>
      <c r="B3" s="5"/>
      <c r="C3" s="5"/>
      <c r="D3" s="5"/>
      <c r="E3" s="5"/>
      <c r="F3" s="5"/>
    </row>
    <row r="4" spans="1:11" ht="31.5" x14ac:dyDescent="0.5">
      <c r="A4" s="6" t="s">
        <v>259</v>
      </c>
      <c r="B4" s="5"/>
      <c r="C4" s="5"/>
      <c r="D4" s="5"/>
      <c r="E4" s="5"/>
      <c r="F4" s="5"/>
    </row>
    <row r="5" spans="1:11" ht="31.5" x14ac:dyDescent="0.5">
      <c r="A5" s="6"/>
      <c r="B5" s="5"/>
      <c r="C5" s="5"/>
      <c r="D5" s="5"/>
      <c r="E5" s="5"/>
      <c r="F5" s="5"/>
    </row>
    <row r="6" spans="1:11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I6" s="119" t="s">
        <v>446</v>
      </c>
      <c r="J6" t="s">
        <v>445</v>
      </c>
      <c r="K6"/>
    </row>
    <row r="7" spans="1:11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18">
        <v>2133903</v>
      </c>
      <c r="I7" s="120" t="s">
        <v>230</v>
      </c>
      <c r="J7" s="121">
        <v>19759180</v>
      </c>
      <c r="K7"/>
    </row>
    <row r="8" spans="1:11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18">
        <v>1945424</v>
      </c>
      <c r="I8" s="120" t="s">
        <v>234</v>
      </c>
      <c r="J8" s="121">
        <v>15586616</v>
      </c>
      <c r="K8"/>
    </row>
    <row r="9" spans="1:11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18">
        <v>712416</v>
      </c>
      <c r="I9" s="120" t="s">
        <v>447</v>
      </c>
      <c r="J9" s="121">
        <v>35345796</v>
      </c>
      <c r="K9"/>
    </row>
    <row r="10" spans="1:11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18">
        <v>1815450</v>
      </c>
      <c r="I10"/>
      <c r="J10"/>
      <c r="K10"/>
    </row>
    <row r="11" spans="1:11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18">
        <v>1138024</v>
      </c>
      <c r="I11"/>
      <c r="J11"/>
      <c r="K11"/>
    </row>
    <row r="12" spans="1:11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18">
        <v>953156</v>
      </c>
      <c r="I12"/>
      <c r="J12"/>
      <c r="K12"/>
    </row>
    <row r="13" spans="1:11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18">
        <v>406686</v>
      </c>
      <c r="I13"/>
      <c r="J13"/>
      <c r="K13"/>
    </row>
    <row r="14" spans="1:11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18">
        <v>2158475</v>
      </c>
      <c r="I14"/>
      <c r="J14"/>
      <c r="K14"/>
    </row>
    <row r="15" spans="1:11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18">
        <v>1024380</v>
      </c>
      <c r="I15"/>
      <c r="J15"/>
      <c r="K15"/>
    </row>
    <row r="16" spans="1:11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18">
        <v>2042768</v>
      </c>
      <c r="I16"/>
      <c r="J16"/>
      <c r="K16"/>
    </row>
    <row r="17" spans="3:11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18">
        <v>627068</v>
      </c>
      <c r="I17"/>
      <c r="J17"/>
      <c r="K17"/>
    </row>
    <row r="18" spans="3:11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18">
        <v>999328</v>
      </c>
      <c r="I18"/>
      <c r="J18"/>
      <c r="K18"/>
    </row>
    <row r="19" spans="3:11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18">
        <v>2937300</v>
      </c>
      <c r="I19"/>
      <c r="J19"/>
      <c r="K19"/>
    </row>
    <row r="20" spans="3:11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18">
        <v>664700</v>
      </c>
      <c r="I20"/>
      <c r="J20"/>
      <c r="K20"/>
    </row>
    <row r="21" spans="3:11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18">
        <v>820336</v>
      </c>
      <c r="I21"/>
      <c r="J21"/>
      <c r="K21"/>
    </row>
    <row r="22" spans="3:11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18">
        <v>937960</v>
      </c>
      <c r="I22"/>
      <c r="J22"/>
      <c r="K22"/>
    </row>
    <row r="23" spans="3:11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18">
        <v>358846</v>
      </c>
      <c r="I23"/>
      <c r="J23"/>
      <c r="K23"/>
    </row>
    <row r="24" spans="3:11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18">
        <v>1679605</v>
      </c>
    </row>
    <row r="25" spans="3:11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18">
        <v>472615</v>
      </c>
    </row>
    <row r="26" spans="3:11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18">
        <v>1169496</v>
      </c>
    </row>
    <row r="27" spans="3:11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18">
        <v>2020992</v>
      </c>
    </row>
    <row r="28" spans="3:11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18">
        <v>727552</v>
      </c>
    </row>
    <row r="29" spans="3:11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18">
        <v>1438929</v>
      </c>
    </row>
    <row r="30" spans="3:11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18">
        <v>427390</v>
      </c>
    </row>
    <row r="31" spans="3:11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18">
        <v>1170684</v>
      </c>
    </row>
    <row r="32" spans="3:11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18">
        <v>549780</v>
      </c>
    </row>
    <row r="33" spans="3:7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18">
        <v>659330</v>
      </c>
    </row>
    <row r="34" spans="3:7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18">
        <v>1660560</v>
      </c>
    </row>
    <row r="35" spans="3:7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18">
        <v>753571</v>
      </c>
    </row>
    <row r="36" spans="3:7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18">
        <v>939072</v>
      </c>
    </row>
  </sheetData>
  <mergeCells count="1">
    <mergeCell ref="A1:F1"/>
  </mergeCells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D1" workbookViewId="0">
      <selection activeCell="E28" sqref="E28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9" ht="31.5" x14ac:dyDescent="0.5">
      <c r="D1" s="152" t="s">
        <v>212</v>
      </c>
      <c r="E1" s="152"/>
      <c r="F1" s="152"/>
      <c r="G1" s="152"/>
      <c r="H1" s="152"/>
      <c r="I1" s="152"/>
    </row>
    <row r="2" spans="3:9" ht="31.5" x14ac:dyDescent="0.5">
      <c r="D2" s="6" t="s">
        <v>264</v>
      </c>
      <c r="E2" s="5"/>
      <c r="F2" s="5"/>
      <c r="G2" s="5"/>
      <c r="H2" s="5"/>
      <c r="I2" s="5"/>
    </row>
    <row r="4" spans="3:9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9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9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9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9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9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9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9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9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9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9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9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9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zoomScaleNormal="100" workbookViewId="0">
      <selection activeCell="L7" sqref="L7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52" t="s">
        <v>212</v>
      </c>
      <c r="E1" s="152"/>
      <c r="F1" s="152"/>
      <c r="G1" s="152"/>
      <c r="H1" s="152"/>
      <c r="I1" s="152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</row>
    <row r="3" spans="3:12" ht="18.75" x14ac:dyDescent="0.3">
      <c r="D3" s="6" t="s">
        <v>360</v>
      </c>
    </row>
    <row r="4" spans="3:12" ht="15.75" customHeight="1" x14ac:dyDescent="0.25"/>
    <row r="5" spans="3:12" ht="28.5" customHeight="1" x14ac:dyDescent="0.25">
      <c r="J5" s="159" t="s">
        <v>265</v>
      </c>
      <c r="K5" s="160"/>
      <c r="L5" s="160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6" t="s">
        <v>272</v>
      </c>
      <c r="K6" s="56" t="s">
        <v>273</v>
      </c>
      <c r="L6" s="57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122">
        <f>E7+60</f>
        <v>42525</v>
      </c>
      <c r="K7" s="122">
        <f>E7+90</f>
        <v>42555</v>
      </c>
      <c r="L7" s="122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123">
        <f t="shared" ref="J8:J33" si="0">E8+60</f>
        <v>42525</v>
      </c>
      <c r="K8" s="123">
        <f t="shared" ref="K8:K33" si="1">E8+90</f>
        <v>42555</v>
      </c>
      <c r="L8" s="123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124">
        <f t="shared" si="0"/>
        <v>42525</v>
      </c>
      <c r="K9" s="124">
        <f t="shared" si="1"/>
        <v>42555</v>
      </c>
      <c r="L9" s="124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123">
        <f t="shared" si="0"/>
        <v>42525</v>
      </c>
      <c r="K10" s="123">
        <f t="shared" si="1"/>
        <v>42555</v>
      </c>
      <c r="L10" s="123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124">
        <f t="shared" si="0"/>
        <v>42586</v>
      </c>
      <c r="K11" s="124">
        <f t="shared" si="1"/>
        <v>42616</v>
      </c>
      <c r="L11" s="124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123">
        <f t="shared" si="0"/>
        <v>42586</v>
      </c>
      <c r="K12" s="123">
        <f t="shared" si="1"/>
        <v>42616</v>
      </c>
      <c r="L12" s="123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124">
        <f t="shared" si="0"/>
        <v>42586</v>
      </c>
      <c r="K13" s="124">
        <f t="shared" si="1"/>
        <v>42616</v>
      </c>
      <c r="L13" s="124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123">
        <f t="shared" si="0"/>
        <v>42588</v>
      </c>
      <c r="K14" s="123">
        <f>E14+90</f>
        <v>42618</v>
      </c>
      <c r="L14" s="123">
        <f>E14+120</f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124">
        <f t="shared" si="0"/>
        <v>42588</v>
      </c>
      <c r="K15" s="124">
        <f t="shared" si="1"/>
        <v>42618</v>
      </c>
      <c r="L15" s="124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123">
        <f t="shared" si="0"/>
        <v>42588</v>
      </c>
      <c r="K16" s="123">
        <f t="shared" si="1"/>
        <v>42618</v>
      </c>
      <c r="L16" s="123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124">
        <f t="shared" si="0"/>
        <v>42589</v>
      </c>
      <c r="K17" s="124">
        <f t="shared" si="1"/>
        <v>42619</v>
      </c>
      <c r="L17" s="124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123">
        <f t="shared" si="0"/>
        <v>42589</v>
      </c>
      <c r="K18" s="123">
        <f t="shared" si="1"/>
        <v>42619</v>
      </c>
      <c r="L18" s="123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124">
        <f t="shared" si="0"/>
        <v>42589</v>
      </c>
      <c r="K19" s="124">
        <f t="shared" si="1"/>
        <v>42619</v>
      </c>
      <c r="L19" s="124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123">
        <f t="shared" si="0"/>
        <v>42589</v>
      </c>
      <c r="K20" s="123">
        <f t="shared" si="1"/>
        <v>42619</v>
      </c>
      <c r="L20" s="123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124">
        <f t="shared" si="0"/>
        <v>42589</v>
      </c>
      <c r="K21" s="124">
        <f t="shared" si="1"/>
        <v>42619</v>
      </c>
      <c r="L21" s="124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123">
        <f t="shared" si="0"/>
        <v>42589</v>
      </c>
      <c r="K22" s="123">
        <f t="shared" si="1"/>
        <v>42619</v>
      </c>
      <c r="L22" s="123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124">
        <f t="shared" si="0"/>
        <v>42590</v>
      </c>
      <c r="K23" s="124">
        <f t="shared" si="1"/>
        <v>42620</v>
      </c>
      <c r="L23" s="124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123">
        <f t="shared" si="0"/>
        <v>42590</v>
      </c>
      <c r="K24" s="123">
        <f t="shared" si="1"/>
        <v>42620</v>
      </c>
      <c r="L24" s="123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124">
        <f t="shared" si="0"/>
        <v>42590</v>
      </c>
      <c r="K25" s="124">
        <f t="shared" si="1"/>
        <v>42620</v>
      </c>
      <c r="L25" s="124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123">
        <f t="shared" si="0"/>
        <v>42590</v>
      </c>
      <c r="K26" s="123">
        <f t="shared" si="1"/>
        <v>42620</v>
      </c>
      <c r="L26" s="123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124">
        <f t="shared" si="0"/>
        <v>42591</v>
      </c>
      <c r="K27" s="124">
        <f t="shared" si="1"/>
        <v>42621</v>
      </c>
      <c r="L27" s="124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123">
        <f t="shared" si="0"/>
        <v>42591</v>
      </c>
      <c r="K28" s="123">
        <f t="shared" si="1"/>
        <v>42621</v>
      </c>
      <c r="L28" s="123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124">
        <f t="shared" si="0"/>
        <v>42591</v>
      </c>
      <c r="K29" s="124">
        <f t="shared" si="1"/>
        <v>42621</v>
      </c>
      <c r="L29" s="124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123">
        <f t="shared" si="0"/>
        <v>42591</v>
      </c>
      <c r="K30" s="123">
        <f t="shared" si="1"/>
        <v>42621</v>
      </c>
      <c r="L30" s="123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124">
        <f t="shared" si="0"/>
        <v>42592</v>
      </c>
      <c r="K31" s="124">
        <f t="shared" si="1"/>
        <v>42622</v>
      </c>
      <c r="L31" s="124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123">
        <f t="shared" si="0"/>
        <v>42592</v>
      </c>
      <c r="K32" s="123">
        <f t="shared" si="1"/>
        <v>42622</v>
      </c>
      <c r="L32" s="123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124">
        <f t="shared" si="0"/>
        <v>42611</v>
      </c>
      <c r="K33" s="124">
        <f t="shared" si="1"/>
        <v>42641</v>
      </c>
      <c r="L33" s="124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mergeCells count="2">
    <mergeCell ref="J5:L5"/>
    <mergeCell ref="D1:I1"/>
  </mergeCells>
  <conditionalFormatting sqref="G6">
    <cfRule type="top10" dxfId="73" priority="2" rank="10"/>
    <cfRule type="top10" dxfId="72" priority="3" rank="5"/>
  </conditionalFormatting>
  <conditionalFormatting sqref="G7:G33">
    <cfRule type="top10" dxfId="71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opLeftCell="A4" zoomScaleNormal="100" workbookViewId="0">
      <selection activeCell="H13" sqref="H13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6" customWidth="1"/>
    <col min="5" max="5" width="14.285156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11" width="7.28515625" style="20"/>
    <col min="12" max="12" width="10.140625" style="20" bestFit="1" customWidth="1"/>
    <col min="13" max="16384" width="7.28515625" style="20"/>
  </cols>
  <sheetData>
    <row r="1" spans="1:12" ht="31.5" x14ac:dyDescent="0.5">
      <c r="A1" s="58" t="s">
        <v>212</v>
      </c>
      <c r="B1" s="58"/>
      <c r="C1" s="58"/>
      <c r="D1" s="58"/>
      <c r="E1" s="58"/>
      <c r="F1" s="58"/>
    </row>
    <row r="2" spans="1:12" ht="31.5" x14ac:dyDescent="0.5">
      <c r="A2" s="6" t="s">
        <v>361</v>
      </c>
      <c r="B2" s="5"/>
      <c r="C2" s="5"/>
      <c r="D2" s="5"/>
      <c r="E2" s="5"/>
      <c r="F2" s="5"/>
    </row>
    <row r="3" spans="1:12" ht="18.75" x14ac:dyDescent="0.3">
      <c r="A3" s="6" t="s">
        <v>363</v>
      </c>
      <c r="B3" s="22"/>
      <c r="C3" s="23"/>
      <c r="D3" s="24"/>
      <c r="E3" s="24"/>
      <c r="F3" s="24"/>
    </row>
    <row r="4" spans="1:12" ht="18.75" x14ac:dyDescent="0.3">
      <c r="A4" s="6" t="s">
        <v>362</v>
      </c>
    </row>
    <row r="8" spans="1:12" ht="25.5" x14ac:dyDescent="0.2">
      <c r="B8" s="25" t="s">
        <v>350</v>
      </c>
      <c r="C8" s="45">
        <v>42661</v>
      </c>
    </row>
    <row r="9" spans="1:12" s="48" customFormat="1" ht="32.25" customHeight="1" x14ac:dyDescent="0.2">
      <c r="A9" s="20"/>
      <c r="B9" s="21"/>
      <c r="C9" s="21"/>
      <c r="D9" s="46"/>
      <c r="E9" s="47"/>
      <c r="F9" s="20"/>
    </row>
    <row r="10" spans="1:12" x14ac:dyDescent="0.2">
      <c r="L10" s="53"/>
    </row>
    <row r="11" spans="1:12" x14ac:dyDescent="0.2">
      <c r="L11" s="53"/>
    </row>
    <row r="12" spans="1:12" x14ac:dyDescent="0.2">
      <c r="A12" s="48"/>
      <c r="B12" s="134" t="s">
        <v>266</v>
      </c>
      <c r="C12" s="135" t="s">
        <v>267</v>
      </c>
      <c r="D12" s="136" t="s">
        <v>268</v>
      </c>
      <c r="E12" s="137" t="s">
        <v>351</v>
      </c>
      <c r="F12" s="138" t="s">
        <v>226</v>
      </c>
      <c r="G12" s="139" t="s">
        <v>228</v>
      </c>
      <c r="H12" s="140" t="s">
        <v>352</v>
      </c>
      <c r="L12" s="53"/>
    </row>
    <row r="13" spans="1:12" x14ac:dyDescent="0.2">
      <c r="B13" s="125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353</v>
      </c>
      <c r="H13" s="126">
        <f>IF($C$8&gt;Tabla9[[#This Row],[Fecha Vencim.]],$C$8-Tabla9[[#This Row],[Fecha Vencim.]],IF($C$8&lt;=Tabla9[[#This Row],[Fecha Vencim.]],"No vencida"))</f>
        <v>166</v>
      </c>
      <c r="L13" s="53"/>
    </row>
    <row r="14" spans="1:12" x14ac:dyDescent="0.2">
      <c r="B14" s="125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354</v>
      </c>
      <c r="H14" s="126">
        <f>IF($C$8&gt;Tabla9[[#This Row],[Fecha Vencim.]],$C$8-Tabla9[[#This Row],[Fecha Vencim.]],IF($C$8&lt;=Tabla9[[#This Row],[Fecha Vencim.]],"No vencida"))</f>
        <v>166</v>
      </c>
      <c r="L14" s="53"/>
    </row>
    <row r="15" spans="1:12" x14ac:dyDescent="0.2">
      <c r="B15" s="125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355</v>
      </c>
      <c r="H15" s="126" t="str">
        <f>IF($C$8&gt;Tabla9[[#This Row],[Fecha Vencim.]],$C$8-Tabla9[[#This Row],[Fecha Vencim.]],IF($C$8&lt;=Tabla9[[#This Row],[Fecha Vencim.]],"No vencida"))</f>
        <v>No vencida</v>
      </c>
    </row>
    <row r="16" spans="1:12" x14ac:dyDescent="0.2">
      <c r="B16" s="125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357</v>
      </c>
      <c r="H16" s="126" t="str">
        <f>IF($C$8&gt;Tabla9[[#This Row],[Fecha Vencim.]],$C$8-Tabla9[[#This Row],[Fecha Vencim.]],IF($C$8&lt;=Tabla9[[#This Row],[Fecha Vencim.]],"No vencida"))</f>
        <v>No vencida</v>
      </c>
    </row>
    <row r="17" spans="2:8" x14ac:dyDescent="0.2">
      <c r="B17" s="125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356</v>
      </c>
      <c r="H17" s="126">
        <f>IF($C$8&gt;Tabla9[[#This Row],[Fecha Vencim.]],$C$8-Tabla9[[#This Row],[Fecha Vencim.]],IF($C$8&lt;=Tabla9[[#This Row],[Fecha Vencim.]],"No vencida"))</f>
        <v>105</v>
      </c>
    </row>
    <row r="18" spans="2:8" x14ac:dyDescent="0.2">
      <c r="B18" s="125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356</v>
      </c>
      <c r="H18" s="126">
        <f>IF($C$8&gt;Tabla9[[#This Row],[Fecha Vencim.]],$C$8-Tabla9[[#This Row],[Fecha Vencim.]],IF($C$8&lt;=Tabla9[[#This Row],[Fecha Vencim.]],"No vencida"))</f>
        <v>105</v>
      </c>
    </row>
    <row r="19" spans="2:8" x14ac:dyDescent="0.2">
      <c r="B19" s="125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353</v>
      </c>
      <c r="H19" s="126" t="str">
        <f>IF($C$8&gt;Tabla9[[#This Row],[Fecha Vencim.]],$C$8-Tabla9[[#This Row],[Fecha Vencim.]],IF($C$8&lt;=Tabla9[[#This Row],[Fecha Vencim.]],"No vencida"))</f>
        <v>No vencida</v>
      </c>
    </row>
    <row r="20" spans="2:8" x14ac:dyDescent="0.2">
      <c r="B20" s="125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354</v>
      </c>
      <c r="H20" s="126" t="str">
        <f>IF($C$8&gt;Tabla9[[#This Row],[Fecha Vencim.]],$C$8-Tabla9[[#This Row],[Fecha Vencim.]],IF($C$8&lt;=Tabla9[[#This Row],[Fecha Vencim.]],"No vencida"))</f>
        <v>No vencida</v>
      </c>
    </row>
    <row r="21" spans="2:8" x14ac:dyDescent="0.2">
      <c r="B21" s="125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355</v>
      </c>
      <c r="H21" s="126">
        <f>IF($C$8&gt;Tabla9[[#This Row],[Fecha Vencim.]],$C$8-Tabla9[[#This Row],[Fecha Vencim.]],IF($C$8&lt;=Tabla9[[#This Row],[Fecha Vencim.]],"No vencida"))</f>
        <v>103</v>
      </c>
    </row>
    <row r="22" spans="2:8" x14ac:dyDescent="0.2">
      <c r="B22" s="125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355</v>
      </c>
      <c r="H22" s="126">
        <f>IF($C$8&gt;Tabla9[[#This Row],[Fecha Vencim.]],$C$8-Tabla9[[#This Row],[Fecha Vencim.]],IF($C$8&lt;=Tabla9[[#This Row],[Fecha Vencim.]],"No vencida"))</f>
        <v>103</v>
      </c>
    </row>
    <row r="23" spans="2:8" x14ac:dyDescent="0.2">
      <c r="B23" s="125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355</v>
      </c>
      <c r="H23" s="126">
        <f>IF($C$8&gt;Tabla9[[#This Row],[Fecha Vencim.]],$C$8-Tabla9[[#This Row],[Fecha Vencim.]],IF($C$8&lt;=Tabla9[[#This Row],[Fecha Vencim.]],"No vencida"))</f>
        <v>103</v>
      </c>
    </row>
    <row r="24" spans="2:8" x14ac:dyDescent="0.2">
      <c r="B24" s="125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356</v>
      </c>
      <c r="H24" s="126">
        <f>IF($C$8&gt;Tabla9[[#This Row],[Fecha Vencim.]],$C$8-Tabla9[[#This Row],[Fecha Vencim.]],IF($C$8&lt;=Tabla9[[#This Row],[Fecha Vencim.]],"No vencida"))</f>
        <v>103</v>
      </c>
    </row>
    <row r="25" spans="2:8" x14ac:dyDescent="0.2">
      <c r="B25" s="125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356</v>
      </c>
      <c r="H25" s="126">
        <f>IF($C$8&gt;Tabla9[[#This Row],[Fecha Vencim.]],$C$8-Tabla9[[#This Row],[Fecha Vencim.]],IF($C$8&lt;=Tabla9[[#This Row],[Fecha Vencim.]],"No vencida"))</f>
        <v>103</v>
      </c>
    </row>
    <row r="26" spans="2:8" x14ac:dyDescent="0.2">
      <c r="B26" s="125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358</v>
      </c>
      <c r="H26" s="126" t="str">
        <f>IF($C$8&gt;Tabla9[[#This Row],[Fecha Vencim.]],$C$8-Tabla9[[#This Row],[Fecha Vencim.]],IF($C$8&lt;=Tabla9[[#This Row],[Fecha Vencim.]],"No vencida"))</f>
        <v>No vencida</v>
      </c>
    </row>
    <row r="27" spans="2:8" x14ac:dyDescent="0.2">
      <c r="B27" s="125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358</v>
      </c>
      <c r="H27" s="126">
        <f>IF($C$8&gt;Tabla9[[#This Row],[Fecha Vencim.]],$C$8-Tabla9[[#This Row],[Fecha Vencim.]],IF($C$8&lt;=Tabla9[[#This Row],[Fecha Vencim.]],"No vencida"))</f>
        <v>102</v>
      </c>
    </row>
    <row r="28" spans="2:8" x14ac:dyDescent="0.2">
      <c r="B28" s="125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357</v>
      </c>
      <c r="H28" s="126" t="str">
        <f>IF($C$8&gt;Tabla9[[#This Row],[Fecha Vencim.]],$C$8-Tabla9[[#This Row],[Fecha Vencim.]],IF($C$8&lt;=Tabla9[[#This Row],[Fecha Vencim.]],"No vencida"))</f>
        <v>No vencida</v>
      </c>
    </row>
    <row r="29" spans="2:8" x14ac:dyDescent="0.2">
      <c r="B29" s="125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356</v>
      </c>
      <c r="H29" s="126">
        <f>IF($C$8&gt;Tabla9[[#This Row],[Fecha Vencim.]],$C$8-Tabla9[[#This Row],[Fecha Vencim.]],IF($C$8&lt;=Tabla9[[#This Row],[Fecha Vencim.]],"No vencida"))</f>
        <v>102</v>
      </c>
    </row>
    <row r="30" spans="2:8" x14ac:dyDescent="0.2">
      <c r="B30" s="125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355</v>
      </c>
      <c r="H30" s="126" t="str">
        <f>IF($C$8&gt;Tabla9[[#This Row],[Fecha Vencim.]],$C$8-Tabla9[[#This Row],[Fecha Vencim.]],IF($C$8&lt;=Tabla9[[#This Row],[Fecha Vencim.]],"No vencida"))</f>
        <v>No vencida</v>
      </c>
    </row>
    <row r="31" spans="2:8" x14ac:dyDescent="0.2">
      <c r="B31" s="125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353</v>
      </c>
      <c r="H31" s="126">
        <f>IF($C$8&gt;Tabla9[[#This Row],[Fecha Vencim.]],$C$8-Tabla9[[#This Row],[Fecha Vencim.]],IF($C$8&lt;=Tabla9[[#This Row],[Fecha Vencim.]],"No vencida"))</f>
        <v>102</v>
      </c>
    </row>
    <row r="32" spans="2:8" x14ac:dyDescent="0.2">
      <c r="B32" s="125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354</v>
      </c>
      <c r="H32" s="126">
        <f>IF($C$8&gt;Tabla9[[#This Row],[Fecha Vencim.]],$C$8-Tabla9[[#This Row],[Fecha Vencim.]],IF($C$8&lt;=Tabla9[[#This Row],[Fecha Vencim.]],"No vencida"))</f>
        <v>102</v>
      </c>
    </row>
    <row r="33" spans="2:8" x14ac:dyDescent="0.2">
      <c r="B33" s="125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357</v>
      </c>
      <c r="H33" s="126">
        <f>IF($C$8&gt;Tabla9[[#This Row],[Fecha Vencim.]],$C$8-Tabla9[[#This Row],[Fecha Vencim.]],IF($C$8&lt;=Tabla9[[#This Row],[Fecha Vencim.]],"No vencida"))</f>
        <v>101</v>
      </c>
    </row>
    <row r="34" spans="2:8" x14ac:dyDescent="0.2">
      <c r="B34" s="125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354</v>
      </c>
      <c r="H34" s="126" t="str">
        <f>IF($C$8&gt;Tabla9[[#This Row],[Fecha Vencim.]],$C$8-Tabla9[[#This Row],[Fecha Vencim.]],IF($C$8&lt;=Tabla9[[#This Row],[Fecha Vencim.]],"No vencida"))</f>
        <v>No vencida</v>
      </c>
    </row>
    <row r="35" spans="2:8" x14ac:dyDescent="0.2">
      <c r="B35" s="125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355</v>
      </c>
      <c r="H35" s="126">
        <f>IF($C$8&gt;Tabla9[[#This Row],[Fecha Vencim.]],$C$8-Tabla9[[#This Row],[Fecha Vencim.]],IF($C$8&lt;=Tabla9[[#This Row],[Fecha Vencim.]],"No vencida"))</f>
        <v>101</v>
      </c>
    </row>
    <row r="36" spans="2:8" x14ac:dyDescent="0.2">
      <c r="B36" s="125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357</v>
      </c>
      <c r="H36" s="126">
        <f>IF($C$8&gt;Tabla9[[#This Row],[Fecha Vencim.]],$C$8-Tabla9[[#This Row],[Fecha Vencim.]],IF($C$8&lt;=Tabla9[[#This Row],[Fecha Vencim.]],"No vencida"))</f>
        <v>101</v>
      </c>
    </row>
    <row r="37" spans="2:8" x14ac:dyDescent="0.2">
      <c r="B37" s="125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353</v>
      </c>
      <c r="H37" s="126">
        <f>IF($C$8&gt;Tabla9[[#This Row],[Fecha Vencim.]],$C$8-Tabla9[[#This Row],[Fecha Vencim.]],IF($C$8&lt;=Tabla9[[#This Row],[Fecha Vencim.]],"No vencida"))</f>
        <v>101</v>
      </c>
    </row>
    <row r="38" spans="2:8" x14ac:dyDescent="0.2">
      <c r="B38" s="125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354</v>
      </c>
      <c r="H38" s="126">
        <f>IF($C$8&gt;Tabla9[[#This Row],[Fecha Vencim.]],$C$8-Tabla9[[#This Row],[Fecha Vencim.]],IF($C$8&lt;=Tabla9[[#This Row],[Fecha Vencim.]],"No vencida"))</f>
        <v>101</v>
      </c>
    </row>
    <row r="39" spans="2:8" x14ac:dyDescent="0.2">
      <c r="B39" s="127">
        <v>10028</v>
      </c>
      <c r="C39" s="128">
        <v>42551</v>
      </c>
      <c r="D39" s="129">
        <v>42530</v>
      </c>
      <c r="E39" s="130">
        <v>42560</v>
      </c>
      <c r="F39" s="131">
        <v>1150.95</v>
      </c>
      <c r="G39" s="132" t="s">
        <v>357</v>
      </c>
      <c r="H39" s="133">
        <f>IF($C$8&gt;Tabla9[[#This Row],[Fecha Vencim.]],$C$8-Tabla9[[#This Row],[Fecha Vencim.]],IF($C$8&lt;=Tabla9[[#This Row],[Fecha Vencim.]],"No vencida"))</f>
        <v>101</v>
      </c>
    </row>
    <row r="40" spans="2:8" x14ac:dyDescent="0.2">
      <c r="D40" s="49"/>
      <c r="E40" s="50"/>
      <c r="F40" s="51"/>
      <c r="G40" s="54"/>
      <c r="H40" s="52"/>
    </row>
    <row r="41" spans="2:8" x14ac:dyDescent="0.2">
      <c r="D41" s="49"/>
      <c r="E41" s="50"/>
      <c r="F41" s="51"/>
      <c r="G41" s="54"/>
      <c r="H41" s="52"/>
    </row>
    <row r="42" spans="2:8" x14ac:dyDescent="0.2">
      <c r="D42" s="49"/>
      <c r="E42" s="50"/>
      <c r="F42" s="51"/>
      <c r="G42" s="54"/>
      <c r="H42" s="52"/>
    </row>
    <row r="43" spans="2:8" x14ac:dyDescent="0.2">
      <c r="D43" s="49"/>
      <c r="E43" s="50"/>
      <c r="F43" s="51"/>
      <c r="G43" s="54"/>
      <c r="H43" s="52"/>
    </row>
    <row r="44" spans="2:8" x14ac:dyDescent="0.2">
      <c r="D44" s="49"/>
      <c r="E44" s="50"/>
      <c r="F44" s="51"/>
      <c r="G44" s="54"/>
      <c r="H44" s="52"/>
    </row>
    <row r="45" spans="2:8" x14ac:dyDescent="0.2">
      <c r="D45" s="49"/>
      <c r="E45" s="50"/>
      <c r="F45" s="51"/>
      <c r="G45" s="54"/>
      <c r="H45" s="52"/>
    </row>
    <row r="46" spans="2:8" x14ac:dyDescent="0.2">
      <c r="D46" s="49"/>
      <c r="E46" s="50"/>
      <c r="F46" s="51"/>
      <c r="G46" s="54"/>
      <c r="H46" s="52"/>
    </row>
    <row r="47" spans="2:8" x14ac:dyDescent="0.2">
      <c r="D47" s="49"/>
      <c r="E47" s="50"/>
      <c r="F47" s="51"/>
      <c r="G47" s="54"/>
      <c r="H47" s="52"/>
    </row>
    <row r="48" spans="2:8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2 b 1 7 c 6 0 - 6 c 2 b - 4 0 9 0 - 9 c 9 1 - c e 0 c a 1 c 7 d a 5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 3 8 . 0 4 4 8 7 8 3 7 7 1 2 8 2 2 8 < / L a t i t u d e > < L o n g i t u d e > 1 0 5 . 0 6 8 5 2 0 3 8 9 6 7 1 7 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E i m S U R B V H h e 5 X 1 X c F x L e t 4 / E W E Q B p l I B A g S J C 9 z j p e X N 2 2 U V r u S k x 7 s 0 o v L Z Z f L V X r 0 o 9 7 1 o g e X X 1 y q c p W r X H Z J 2 p W 0 q 9 W G m 5 h z j i A A A k w A k X O a B P / f 3 6 d n e g 7 O D G a A m Q H u 9 U c 2 T p y Z c 7 r 7 6 z / 0 3 9 2 u f 7 h w f Z n + P 8 D J I y d o + n 0 / t b X U 0 f x S j P y e G C 0 v L 0 s K h 0 L k 9 f l 4 P 0 Y u l 1 v O A T H e u F 0 U v 8 / t d t P 9 d z 4 6 2 B S S 6 0 + H f D Q 4 7 a E T W 0 N U X h S T c 3 Y s L S 5 S U X G x d U Q U i r r 4 t 9 X 3 z 4 V c F P B n n v 0 z 0 1 N U X l F p H W W G x Y i L i r 1 r K 2 K X i 1 / e Q I R f M R a L k t / r k W P z u t 5 H H n o 8 X p q f m 6 O b Q w 3 k 9 X q p q I h o 6 t 0 N u f 5 d x 3 e e U C B I f c t x K v O F q K V s j p Z j Y f L 7 / X G S R M J h 8 n C h A 5 p I Q D j K x 9 G Q 3 L u 0 x K Q o K q Z Q h M h n k S F T h J a W y I 8 a t Q r C T L R 0 3 7 2 4 s E D F J S X W U X a Y D 7 u o 1 L f 2 Y k 6 Q Z Z l i 0 S i F I x H J D 8 0 n 8 / r k o p d q A s t y D u m r n l I m m I d 8 P j e F J h 9 T e G l O 7 v 2 u w v W P F 2 9 8 Z w k V C L b Q 0 b Y A l R Z 5 m R R L k o p Z W m j i L L L 0 8 L F k g u T R 5 2 Z Z a p T Z p A a u j c 6 5 q a a U W c b Q F S g T L C 4 y E Y r X R o S V w H N l / t s m l l h S F a 1 R U m n M z 8 9 R I F B m H a 3 8 T u Q L i D 8 e L q f m y q g c j 8 5 7 6 N F g s Z D K y 5 L N 7 5 1 h T e G Z 9 Y n v H t z W 9 j u H M 0 e O 0 Y e d F V T M L W O E W 1 S Q B m S K x W I U 5 V Y W J C l i y Y F C 1 2 T C x i Q T z i O F Y y 6 q D U A d V K 1 u V l h f H U 7 C H K t R a w U q f s + I k s R r h Z d V O Z 1 X g F Z d N S D V r w 8 E q S 4 Q o e v 9 S g v o G v J S w B e R M g i H I 7 Q Y K q P K 5 h P W J 7 5 7 + E 4 S 6 p N D O 6 n C u 0 A L 8 / P U O x S O E 8 O e o O d r T M y 7 a J 6 l E 6 C v a / j c i X 0 Q M s x q Y q Y A a X M B / K 4 p H d a C H X W s s z L w n s b r Z Q y o r u F w K J 4 / 9 r b F y / n E n K F v e o p o Z k k 1 V F 5 3 j K Y X X f G G D M S a n 4 9 R e e N 3 k 1 R M K O T K d y O 5 2 V 7 a V R e g 4 i K / F O B 0 u I i C 3 i n Z h 7 o H d Q S F r A u 2 p L S U P 6 d Q U R y l Q N E y h U L K 4 a A B F d A E J B 3 U R C A m 3 6 U q K R D l 7 z Q x P z d L L r 4 / F 8 D v w s E R C v F 7 8 D Z T L L L 9 F G L V z E Q p S 2 F N B v s 1 J y D P 8 C 7 Y o j F B 3 u E 5 c G x H R b F y z u D a F y + K 6 U B j i E t G O Y B Q D p p Y C w u c 3 w 0 g l S q 7 7 0 p y / f L S z T W 0 V Z s P f p + X v n 9 8 r x Q 2 E g o u E g l z R f R Y B Y 9 W V d 2 L a 6 i g G i h g 8 3 g 9 m J u Z o U B 5 u X W U W 4 D s c J I A e K e B a S 9 N z b t p T 2 N Y b L w S V u v Q K A C r O T l M g F T + N d h X a E z g 0 Q N M V R h E 0 v h o + x J 5 O G s v 9 P A 5 S 2 V G Q n 7 D r v L 7 P R S d f U a h h V n r E 9 9 u 5 K Y W b T C C Z a X 0 / R P 7 p P V E m p 2 d i b e I 2 C p C J Q o c h T m 5 o I 5 x T Z N p Y W F e t k 6 A A T 6 1 4 K Y x r s D p A D K p 3 8 s 9 4 G H T m J m e F r u u v k K d w z 7 I p N V W / X 6 Z Y D U y p X q f 5 Z i S 9 s A 8 C / Y R J j V u P d I S Y h K p z 1 z s L S K P a 5 l 2 1 U N N V m W B p C X V 0 h L b t 4 E P q L i 8 V u 7 / t o M l 1 K 3 8 l H 6 B U F 0 R o N P 7 t t M C 2 0 N Q 6 7 S K h f 4 P e K X 8 / i I h j O 5 r Q u s 4 B o 8 d V 0 D Y U K b a l y k W W I 1 y R R f 5 u 7 3 8 3 a p P x o 7 J i X E K V l V b R 7 k B 3 i 9 T m 8 z s 7 0 o H 9 F N N c C P R a B E z F d D Y l J Q 4 5 9 W r 0 R j 1 T Z Z K P 5 X 0 2 x m N F / D 5 T q W i I u 8 h v b S U 0 p I K y c c a B i 3 2 0 t L c h N z 7 b Y X r V 5 e / v Y Q q Y o J 8 f K h T + n r Q 4 i m b J i o 2 z o v B C H V u 8 Y j d o f u B 0 H p y G V r 7 K 1 8 b n Z b o t 8 J 3 Q R 0 B R k e G q b a u X v Y 1 c N / E g k 9 I q T E + P k b V 1 T U i O c o r K q y z + Q W e I x W h V w P U P B 9 L p s z l m M o z k E D D V O 3 s M O / D 7 m e d C V L d e F 1 E s 0 t u 2 T d J h Q Y K 6 l / k W 9 x X 9 a 1 V + c p K i u j s v m 1 i L 7 m 5 8 i P B x g C Z T F U P Z M I x W k 8 U L O 5 3 I p O C K m B N J i A Y r L L 2 V I V C S 4 1 K b J I J A J k A R A r k G p C 0 T p g c H 7 f 2 E o B 3 b X J m S a S o i Z H Z 5 K K G m p d 8 R 2 o s W M 4 c k y S r Q e e / 2 u c k e + r 8 k W b L o W H d I 4 0 h p 1 C I b b I y V v / K V F 5 + G / G t J J S H W 7 P D H Y 0 0 N j o q E g g 2 E x I M d o T n T L C t U 1 z M R O I y m 5 m Z k d Y v v D g v h W a S R Q M e K w D 3 a e h K D D V x g f d F n e Q K Z a o 9 s K f w G y Y q K o O y 1 b Z F L l B a G q C p q U n r K I H q 2 j p r T 2 F k 1 k O x h Q k K l h d R i W + Z Z m b n J b w J q C v L n u i z s 8 p R U F J S k h W Z T G h S f W l I M 7 j X z 2 x j r c I i F B o h l E 2 p F 9 5 D b v C K t l F R 6 f q 6 C D Y K k L u q 6 f 6 W J N h I P z x 1 g N 6 / H + K C V j 3 w y 1 w Y C I V B O 7 j o C l K w O E q t w Q i T b Y H K L Y 8 b w n Y m W S 1 D A r S k g h M D d p Y d q M S 6 M r h Y I j n Z L j W l M X o 9 4 a x y 4 b k Q J Z E r l J e n V y N H p 0 L E b 0 i V Q U V o o L y s V G I F x 0 Z G r D P Z Q X c P r B c 6 H 0 0 V s c S r C K 4 I p b b T r B W C W G i M X K W 7 k f F J Z f 9 t S L A h R f R / W 9 K P T x 8 U m 6 m 2 p p p i 0 R i F I 2 E q 4 c o / P z 9 P Y 1 N L V O q e 4 f d y c a F E p G U F o A q C Q F U 1 t R R k 1 Q y F B 6 c F 4 F R p c C + g W 2 X 0 w a R C e 3 V U P I B 2 o A N 0 r S F H d 1 7 7 6 W q f c o 9 P s 8 R F J T O l p w Z i D A G o s z U V P i o r c 3 b X V 9 e u z Y O W z g E S i a 5 8 5 3 T Q p L r Q m / j O X X W q g 1 y R K q H + h c N R L r M o l d Q e c a w D m z l 9 q 1 S + j w / u E G 9 d b 2 9 v P F D U 5 1 P B q z B y l 7 2 l o p K h Y H T / C A o I 7 m Z d I U E W T R R s Z 2 a m Z V 8 D 9 2 u y a S D C G 5 + b d l C 7 A E Q C 2 O H 1 + m j O U p k 0 u I 7 Q 0 I x H 7 B n t 3 o b K y O 2 C b H E O H s i D T f O i E g 3 z f R X 8 2 0 5 k w r 3 D 8 w H Z 9 0 p D v v I Z A K j E u J a u S y A d N B H s 0 G 7 x b I D v Q v + Y l l Q t r E U 0 V a j G S x M K S U u p U C h G g Y a j c v 3 b A h Q F b z Z / O r 2 n g 4 q 5 x Y y y R G p r 2 y o Z X 8 w q X 9 + Y h 9 z e Y m q o L q F g k Y p y 0 B U f 9 0 h F w 3 / e w l a y k 8 X L h A R B h X i c 7 J U X 4 U u Q Y v g c 7 C M t v U z 4 H L Q + 2 H S B s m Q 7 w M / 3 N Z R H x Z 5 B t A I A F W F p Y Z a l 7 g I V e V i K l k T k t 6 L L L i q 3 O m n t g J s b n 2 + t W t 1 O 4 y o q W z Q 0 e K Z s k c o W R A T 7 W o A y A T S p U D z 6 H L Y 6 a V I t L i 5 T R R N I h d / b / M n 1 T 1 f v O J f a J k J n a y P t a K w W 1 Q 2 V v 7 W 1 V Q g y N O O i e q 6 c K A D Y Q l p 9 Q 0 G Y x L h 3 7 4 H c j 8 I D Y N 8 E A g G x w S o q K s S Z 8 f j x U z p 0 6 I C 6 w Y I T w T T w e 6 j 4 s W V 3 v L U e G R q k 0 k C 5 j H + y E z c V 4 K k L V i f 3 V 8 G 6 m F l w i d S C L 6 6 a b T W N g S k P N V W u T i S E J 0 X 5 G U u Z 1 H g P s T W t i o u 8 Q M O g H T T S 6 K Q A n D O w J + 2 4 x W r p 1 K J z 3 m Q C / Z v o o / q y G y M A E u d U W S W i K Z C X 5 e U R m n j 7 U K 5 v Z m x 6 G 8 r N G d t e X 0 W L o T A N D Q 1 T U 2 O j Z P b g t J s C r h n q 7 u 6 h y c l J 6 n 7 R z X c r 6 I I B 4 J 1 D j B 3 I c v C g S v v 2 7 a V t 2 9 p p y 5 Y t X F n U e J 1 S J p c J V L h U Z A J A 3 v G x U f 5 u F S w K 1 D U 0 i l R C B c A 4 q 0 x g J x O A c K L K k m U K l i 7 T 6 3 F V 6 e E O h / d S k w m / i X e z A 4 0 J y I 7 I e h 9 L d O S F S R w t Y f G M O E Z C Q w X S a R U V x + j 0 h h 1 o k g n f q 6 H J 1 F G 9 U m L v l q i I 9 N B 5 B k n 1 8 X Z l C + p z 2 C J p K Y V n n p v z k t d f 4 l h H N l P i X H E 6 v X l S U d U h z u E o d X d 1 U W 1 t j b i x M U z A N T 8 g m b 5 j x 3 Y K B o N s I 6 h C g Y o G R w W u T U 1 N S W U 6 e u y I X E u F s b F x m u H K N D g w G K 9 w i H S Y n p 6 m m 9 w S p 0 J N b Z 2 o a i a B A V R E P K c G 7 A Y n w L Z D p b E D w y w g A d 5 N s j Q K q u t Q / 6 p K k u / 1 I E j O B r y v l t R m q J K G v o Z A Y f 2 u k N B o P L S K i m N / S R n f m 3 h 3 E E x / F o B k Q X r L E h M 4 2 h K i z 6 y I i K 4 R H 1 U Z U j U V N I G + R p y f A 0 x i w V H h q / i A z y b X j 8 2 W 3 A 7 n N k 1 q a f 6 A f K 4 Y / f J e S I j z f t o l T o n x k S G q r 6 8 X t U 0 D l e P 5 8 y 6 a Z 2 L 5 u S I M D g 6 K O q d b 4 n Q A U Y 8 c O U x 9 f f 3 i j r 9 / / 6 G M S k X F w v B 2 O 6 7 0 J T x V b s v 5 Y S L G u t o s k 1 H 2 u c 7 c f 5 u o i C Y W W c I 4 S c G j / J u N b G v B e a F H 2 s 6 y h D I B l W 4 x 6 q e Z N G o X H D d O h A V w z U n C A f j F J 4 N e u t i b I F S q i A w E v y I I d y H C 0 o 6 P I Z 3 a q i J C s E w G N G p S o W 8 K 0 M f m V k u q U G i Z A v W H H e v K Z k m u f 7 5 2 d / W 3 3 g B U B E q o t W k H P X 4 b o 3 P b Z i n C G Y o O 3 a 6 u F 7 R r 1 8 5 4 h m u g g s H N 2 / e y j 1 p a m 1 l F m K c y S / 3 K F C A l W n g Q c J 5 b c K h A N T U 1 N D U 5 I d 6 2 C H n J j 6 / j 3 8 b v Q 4 q h U 7 K m N h G a B M N f u 6 + f v A 3 T 3 h Z n M m W C f l b 3 2 q q j U l Y g p u j n B r 7 p L q L z n U t y P R 1 S h U P h f V P l z 8 C 0 R + a i 0 P Y b K j T y B Q 2 A r u R a l T S B L g Q v E w z e z K a K a F L f U z q U M H c x 1 E R D N 4 L Y 6 o T f 8 / t 9 x M o 2 L U 6 9 k u u b D a m b t w 3 G o n 8 3 D Q w O 0 S e d i 0 o 1 i k Z o Z H y G O j t 3 r C A T o P t M 6 u r r q L / / d d r K k g q m N C v l F r y v 7 5 V U o K r q G p l 3 o o i / D s + C e 3 C + u q Z W y G R 6 z 8 y + I J D J S d 3 D s 2 F o S T q I Q 2 I 5 M R A Q x y Y Q i y f h V N a x E 1 S r H k o Z W 6 g J g f y 0 5 y n I Y D p D c C / e W R M L x 3 g P O y C V 8 K z 1 Z V E J v P 1 4 h 7 M U t M M k E 6 C f R z 8 b k l L 9 I h R 1 5 z b o O J f Y l J E S 5 Q 0 H O e N i 3 D q r c U 1 R T o h m q A j 4 + T L f Y 4 N Z G S C V Q L r a N X Z m m k A E h h 1 O r T L 6 n D T m D H K h c 9 l p T B K I i 4 q R D p B G Z U W x u F S C E w C v q b / t U m 9 6 y Y c O Y e Q V 1 N Z U w J D 6 x 8 9 6 6 d a d B z Q + N k a X r 9 6 h r y 5 c p Z G R U e u O l d D v 7 9 Q F o Q F y e P i 5 L 7 8 s k l m h P t 6 h b K t 0 Q B l q t U / D L N d k U n F 9 q I b q p + r L Z k q b T k L 5 u J D m E Y v n C c f D f 2 A M h 7 k 5 H h 4 a t u 5 K w M z 0 X A N q Z i Y I s b q p U W z E + t k f D a 0 7 Y g 0 h N R D F A a 8 Z z q U C O m x 1 F A b C n K T M e P / x I K s 9 s W k 6 1 J x a y k F S O t l n G n D Y I M 6 x s b 6 C T h w 7 x J K 2 l j 4 8 c 5 Q + P X + G 1 d t y u n f / s X W n M 0 y H h R 1 4 Z j w r C N I 1 7 J X 3 O N a 6 0 h a 1 A 8 4 m J + g y 1 q R C n k E 4 e o s 3 3 x i q T e c 2 3 9 q 6 T 1 S J 3 c F h a Q 1 h x 6 A v Z G g q T M 8 X d t B X 3 Z n p 5 E 6 4 + 9 Y v 4 4 Q y h Z N K Y w d a 6 o p g U I J X k X Q L P j z 0 P q k F R 8 u K C o 6 o C y 0 1 0 F D g f r j f Q S 6 7 G g h P m d 2 w h 6 N i b H J O Y h R r 0 w S 8 r q Z S I o L 8 9 a v X b J d 6 4 l M D a E B 9 3 r V z O / X 0 D 1 p n k o H o E i d N A Y A k x W B H Q K t 7 z 4 Z 8 F C x R G s d q s D e Q d j I h H 0 V r Y V I t + 5 o d 6 9 B G J m 4 7 n E 5 v T D r U u Y 3 6 R 1 V 8 n r a J 4 I K + 8 q a a n o 2 u t A P s m b 8 a M J I 0 k 0 F 3 G n i q 6 9 d v 0 L j D M A l d q D q w F q p m p R V p D n d 7 X X 2 D 7 A P w p o F M q S o h I j B A L q i O u k / I C V 9 0 + e n x u y g d 7 S i i w y 3 O h M E z g Z x O A b 8 m 0 A d X X V 0 t E h U e v 1 l b C B Y 6 v W s q i 2 l o 2 E H 9 S 5 O F g 5 Y b X Q N E e m e d m 2 b N w + 5 Y y Q R m O Z v E i k Z j 5 C 3 f w 2 c T d W i j 0 6 Z y m z d U l X J l i N L e e j V f H i T T z a E t f D G R q Z 9 a A 9 W y J d N a 0 N L a Q n v 2 f E C P H j 2 h 1 6 9 f 0 8 W L l + n d 2 7 f y 2 y C I a U + h c H V h w 1 0 P 8 u h n T B d k + v T p U + r p 6 a F X r 1 4 J 8 X S f k F 0 6 3 n 7 t o Z Z g j D 7 Z 5 W L b a u W 7 o 4 J N T S o J a f Y X p Y I i X k Q 6 g A E 9 I y 3 s P j w 3 n h 9 S 8 H H f p H h Q T Z Q a 3 R V 2 N F c m P z f c 5 8 D 9 d 3 5 q h 0 2 c Q b H p f L N D n 8 c W 7 4 v h H + E o l 4 F D X d q o t G l s q E 8 O 7 6 W R a S X O / d E J N p h n + e m U a h T w x a Q T E R K m k O j o 2 C b k O H f u L D U 3 N 9 O H H 5 6 h v v 7 X j p I G R M C z m 9 d S S S S N g Y E B + d 7 d u 3 d T Q 0 M D X X 4 + R 1 e u X G P y v h F 1 E V L j 4 Y C P b j 8 f p Y 7 a G O 1 u S K 6 s o i a K H a b O m 0 M 3 V g N U 1 X K 2 l e x A U L F + b g Q d f 3 Z y B 9 2 6 / S C J 4 C A t R g s 7 Q U 8 S o 6 G z A J P I I J Y x U 9 h J Z Z J J J + Q 3 t q 7 A X r m 2 G c A S e O P / Q U x i r v G B i W V q L h o Q t Q c q y + V + 1 R K e b F O 6 O N y 4 Z k b y f 9 H P 8 w 0 t j V D R 0 L L D o H c C b B E 8 G z q H v / r y G 7 p 7 / x E 9 f P i Q h o e H p f L b 8 e x Z F 6 u J S j J g P F d 7 c z 2 d P X t a o j 0 w H K W s v I L 2 N 4 b o 2 O 5 a f v f k C o b n E D V R 7 D D M b Z F d 2 z g x M c k q X 2 I 0 s h N 0 Z + 7 p U 0 f p 7 d s B U X 2 X l l S j h m s Y R o O 8 S N V B r K d V g 0 M F u P H a 7 x h I v B b o e g A p F Y l w Q 7 Z J / n n + 3 X / 4 T 3 / B 2 y S x V e j 0 / R M H u K V d o u q S M L k i 8 z Q y M k L T 7 k a a Z J 2 b s 4 4 6 a h K t I z p 2 X 7 1 6 Q 9 f u v q C p S D E d b C + N t 4 L 5 B I Z V l D B 3 E e a E l n t i f I I r t J e T k q I o 4 F c s W Y a H R 6 i l p Y V 2 7 O i g p 9 N b K e p v o P Z a l 6 i M s F l M q Y V O S q i D k E Z o w d X 0 x d z K B 0 r l f k S I Q / I h V h E u b q h e k B T 4 D A h k l 4 h 2 T E x M i P M B w P O Z K i o a L X w X Y h l T A R 3 a U O / w W x g B j Q Z s a H y W b t 6 + T 7 X V F T L B D b y V e H 4 8 y 8 D g I I 0 t l V F V Q D 0 T z u E 3 n o 8 k H E k n t i 7 R + x k E F V s n b I C N Z V 6 y v 5 9 5 j H 1 1 y H 9 8 N e S O j s n u R i b X b 2 8 + S P F q h Q E y 5 X t H d k k B o x W / c O G i V M j e 8 G 6 p B J j c Q + f h s 2 f P W T 3 a R f d Y H 0 f p N n r f i H F d C L y Z 8 H C F V B 2 e k B 5 o l W F b d X S 0 S w e w l y 8 e P n I o b p P Y g c B e d A D P z 2 N G 2 w U m Z i U t M E E O H N i f V E k 0 F h c W q e v F C 7 l / 9 + 5 O m T U W U R l T k 1 P 0 n r + r h V X F 6 h r n D k 7 k 2 / X r N 2 n X r k 4 h D G I V M X o Y E f V b W L V E h m I I T E N D v e N v a 8 z O z L C U X K k W A i D 4 6 N g k t W 1 t l u O r D w d o R 1 M x j Y + O S B k B e A 6 8 8 7 P h I p q O K k m M X z v c H K L u U Z 8 E / K 4 G p + d T R D K T + l 5 / 5 I W 6 Y Q P h + t 3 N h x t K q D O H 9 l H R s g r U R O u O y g p i 9 Y R 2 S Y H A b o K q h 3 N a 7 c I D 9 w 9 M U 3 t j u R w X A h g E q G N R 0 e p f u n S F j h 8 / y i o P P 0 d 7 m 7 p g A y Q s + m L s T g S 0 3 K E Q I s L T e + J S A Y 3 P / f s P x G G i p R X y A c 8 1 N j Z G L 1 7 0 S F R 9 X V 2 i n w a q G m I d D x z Y x 9 p A h H w s H V c D P K z p + p u e 9 7 y m h p p y 6 u n t o 0 Z u 2 F p a m u j C N x f p o / P n 5 H m g A s O D + I j t w K H Z h H Q 8 3 h q i W 2 9 W f i / i F w d n V u q E 9 j L W x 9 g i u U W s s Q T m 8 v G F e + T a R m H D v X w B r 4 q G A H m w b W p u I m + w Q 4 6 J W 2 R / T E U e 9 L 3 s j 2 c k L n m j q f t C V o N 8 t b W f C W 5 z 4 T 8 c U B X g 8 e M n E i f 4 y S f n R d 2 B C m o a 7 C b g M n b y y G k V a q 2 A G n j s 2 F F u / W e p v / + V E O X B g 0 d C K H T Q f v 7 5 p 0 l k A q C m b t n S I H m W C Z k G 3 7 0 T 4 q b D 7 h 1 b + f v c d O j g f i G T g L 9 / d J S l 8 c w U N 4 5 q o p u K k u Q 8 c C I T g E U Z n C B 1 w c D K Y 1 W e 8 L Q 6 1 b F C p g 3 1 8 l U 3 f i B D t J f C M W 5 V u 2 k p p A I 9 n w + r A t 9 f N S A V G M Z w 5 8 5 E D B 8 a p F R e p t U A r x k 6 e D H q F c M G k o t m J T A s B L 3 8 c P l q 4 i A 6 H Q 4 B q H d H j x 4 W V X T K i i 7 X e P A u v 8 4 S k B L q L s K s 9 u 7 d Q 4 c P H 5 R w q 0 A K m + g V E 6 + i I j G C W K v Y T k D D 1 s g q Z S a L E 0 B 1 N d 3 0 L d w g B o P V r C p W S q w j g F H K d p z d t t K R A T s y G 6 A + m O S C X R Z y b 7 O O N g Y b S q j W 4 l l p Z T 2 u m I T B Q G e f W U o 8 U k N 9 L a s 0 y h 0 N V / K V K 1 e t K + g 8 n a H r 1 2 5 I J 2 q q i m E H I p + 3 1 U T p K B M E a u Q n O x Z p j v V 4 e A r N y U M 0 E P k A Q v f 2 9 F J s Y U R U 0 q a m R u u q A i o x K n V 3 V z e / g x q g 9 2 z I S 5 3 W S h e b B V B N I V m h k k G q P r j / U N R G O I D s L b 6 5 K k m 2 a G A p q M e m a T g t o 3 O t v 0 i 6 Q o L W 4 g J o J I F M l Q 7 z m R W x 1 H 4 E U m o D 4 f r 9 r U f J u V k g u D 1 + O r + v l b 7 h A m 5 s 2 k J l g Y B U y B e L n Z J B H 3 U s y W S M c D / 7 S o N 0 9 O A u G f 4 O u w G t s 0 Z f X 5 + 4 n u F B W w 3 X + v 1 0 u n 3 1 v q x 7 b 3 2 0 b 8 s i P X z w g C X Q E W n N h 4 e G J O o c H j g n w B O H + z B O a z M C j R K 8 f l V V V d J 4 a X c 9 z k F l P H 3 6 l B w D e A / 0 g W k J k w 2 0 w w a / o 4 F w M S e v 3 s f b l 2 S o h 8 Z q Q z 3 s K r 4 + x h Z p G V o L m w n F 7 g n y U v b z Z + Q C G 2 Z D 7 W i s l 4 L b s 2 c 3 + Y P b p I B B J g 0 9 g f 1 H H 5 + j s y c P S C g M b B a T T E B b W z u F M p R Q J 9 s y 6 x h G 5 + T j p 1 0 y V B 6 A z d L S 2 p q S T A A G O / a w J N u s Q L 5 h b B e 2 6 K x G x U f / 2 M v e P n F 7 m 9 E Q e F 8 9 q 1 Q 2 A D n f v n 0 n 3 2 c i l Y t 8 c C a 5 L J 3 s z e y g H F a L M W 4 s H O p c I d K G q X y t d S V S i L O z c z J R / f S 8 I g W k E 8 b S a G B Q o W 6 J Z l m C 2 d U T 2 F K Z z t + g 1 Q o n w A 0 M l a 6 3 9 y V V x t 5 R Z H F O P G i Z A s + V i Z T c a E B 6 v H 3 7 l t 6 9 e y c N 1 P 4 D + 4 R o d n c / O o 6 B T N V p S O j x s X H q X t y e t m 9 L A 0 X 6 w r K V A X h E 7 a O S 7 b C X v T 7 G N r G P O p F 8 X y H B h M J L F D Y 1 N r S J d E K B o t I i M x 6 P J I J f P 2 h w L s T W 1 h a x m U z 0 9 / V L + M 5 6 g N 9 / + b J P O l p b W 5 t F P e r Y 3 m F d z Q x w n N g 9 a 5 s R c K l D G 9 i 2 b Z v E 6 k E a I c T K B M p G z 1 Q L h 8 P w + 0 E a G x m W h R O Q d O U 1 g T y r 5 f f / 8 f 7 k G M d U w F e c b s d 0 z E z e X N R / f C G q l + w u 0 2 w E X s e V d S / f C Z M K S W t R y O S Z 7 p d C w 4 t j 7 A 3 A p + M F p c N T 7 A V X V l 6 2 o v U b G R 3 l 7 8 S n E 0 D r e u P 6 T X F c A F B D z I h x z C l n T q Y v O j j / U 1 O K F V F j Y 6 O 0 2 p k C l e n h g 0 c S R b F Z g W e E F B k d G R E i 2 d U y E y C Z i f o t n B 9 1 9 b I K C R J C o w A t x Q B I Z 3 Q m 2 4 p C p j 1 L C b 7 3 a 7 a v k O 6 8 T d 3 f Z c J e J / S x + q t + H P t w o e v 6 V s h U c J X P x 6 0 X P G U j C 0 r l Q w u I T N H j l L A w F / R 7 J 0 A t M y s C h l h D J d Q D A R E 9 / Z J V t r / 9 m 5 / T g Y M H x D t 3 4 8 Z N i V l 7 + P C R S D f 0 1 f i I p a M 1 + Y n G 0 N D Q C v s s U + B z + / b v p c e P H t H l S 1 e o v 7 8 / Z b x f I S D 9 M R Z Q 3 9 6 8 e U 3 3 7 t 2 X + L 0 P z 5 3 l g l d 5 n Q 4 m W e x A O B L G q a H c c B 9 I C i f G s e N H a W R 8 K m l q 6 u d D q Y k L 7 1 9 i C V H Z r A t x s v F m o 7 Q + 1 x d 3 n h T 0 p w + 2 1 l C w s l z 6 d M b H M f m J W v E P K 9 0 t h m N U t 3 B L 7 s O K 4 3 v 3 Y a x L A s + f d d G u 3 T u T K s S 1 r l n y z v R S d V U Z E 2 5 B R s Q e P H R Q x i d B l 0 b n I v Y h E d + 8 e S t b S K v m p m a q q 6 8 V Z w J a 7 0 s X L 9 P 5 j z + y v n X t Q A W D n Q I b B V K v r b 0 t q Z 8 m 3 4 B N e f P m b R o b H Z e 8 8 n r c M o V A R 0 d H R k T S Q J 7 g P X Q k R i r g 9 5 D P + G 5 8 5 t m L l z R e d E D m f H 8 5 6 k l U 7 D S / D d X v e j + r / t Z x J j D f x d y H p w / z j y B M y 0 0 x C p a k H s 6 f D 3 j + 7 D / + 5 7 / A 8 x Q q d T a r J V g w d K H G i E X b W h W R 6 Y f 3 d N S x y r W F + l + 9 Y t v I 6 n 2 3 4 H K 7 p H K a O r r b 6 6 f e Z / d o O 9 s 8 I C d I A 0 m G T k 9 U B K 2 + 4 D O B i m p 6 P N V C k U A 7 R b j 0 p o d e i u c O q s r h Q w d S x u F l A / w m n h E q I 5 7 3 2 r U b 8 p 6 5 + O 5 M g K 4 H r F B y / P g R K i 4 q p k B Z Q F z 5 2 Z A J w P 1 4 D x A m H a E Q K Y H r m J 3 3 y Z O n 5 K 7 Z R 0 u x E h q f d y c T J M 3 v l 3 J 7 g / u z g f 1 9 9 N E y / j G Z V M K a w 5 g 3 U f 1 8 I V L B V T 5 0 + q E l w z Y u o i 3 s r E t M 5 I 8 w G b u H C b o / P H 0 m G i t i E r e G i j Q w M E i n z 5 y S m Y + c V C 4 M J 0 d n 7 m c 7 l + h E J y Z z 6 Z T W H E G t 2 Y w l y h T o i z n D z 4 M x T p A S h Q A q 9 5 v X b 0 X t A 5 k g g b M l k w k M D Y E K D o 0 i V Y i V K s 8 F a t 1 9 n I a m s p E z R M W s e q M x 1 Z N k r h X 4 V f s v o 3 5 F Y p n Z Z r k C E w q Z X Z h 0 Y v d 2 q e h 4 0 a 1 b W / m c e m k n N D U 1 i X p m A t I G D g a N l y 9 f S i Q D O i p B J o Q v I S K g v / 8 N E + X W i u 9 G w S O A E m 5 2 3 H / / / n 1 q a K i j c l Y J 8 w U 4 U e B F W 0 / 0 Q T b A k B I 4 C H J h w 2 H g I m w j v E M q J w Y i X W C 3 b t 3 a Q g O L D V T G W o A j U p Q z Z k j S X r 4 D j Z n 1 E 6 a E 8 R v Y Q 5 q W F U q c 6 2 M + U k E l V F m J L 2 4 z m X A 6 R q t q H 3 o N I N 4 P x A B A C l T W 0 t I S U e k O s e 2 E z s p D h w / Q D 3 7 w f S E k o q / h E k c L + p t / / q 0 4 D b 7 8 8 m t p u Y 8 f P 0 b 7 9 u 1 L q 9 L k A p C 2 o y O j K 9 4 z 1 0 B + f f X l B X H 9 r 3 c a N R A F g w g x y F E D p N L O C t h X s E W h R c D O w g I O j v 1 8 W h d K I y U R f A z U l 2 c u x R 3 z 0 v w N v o x 7 I g X S D D Q K 6 j a n m J r e G A B h 0 l U w V H J 4 5 u z A r L F a S m E I B B w O b W 1 t B A M c h d v S 0 i x h T C D S s + d d 3 G a 4 p H L A l v n + D 7 5 H J 0 4 e Z 7 J 9 j y o r K 8 R G K A T g j u / h V v z i x U s i O S F Z M T 4 K b m x I V 5 A d 7 6 I b i m w B V Q w S 6 f q 1 m 3 T q 9 M m M 3 f c g h / m b m C 8 D w P Q D y F c n V V G X G z r B 8 f w v X / b T H K u E O N 8 S V G T z u F k 1 x G c d P u + E d N N J Z w 1 b l V o W h 0 n i c f K e v r r 3 N L / N p o V y r u R H t q l w I 4 S o w B 7 S h L I T S x + j b + f A w f 2 y D 2 A U K 9 S P w c H 3 E t M H I x g D 9 A B U K p D w 7 t 1 7 3 F I v y f x + J 0 + d k G s A P F E y b m a D g B l n Y U e B 9 N o e C S 2 F p D J i 0 C D G H k U i U X G / 6 0 l e n A A C w P 2 P Q F f s 4 3 O o 1 G h I W l t a x G 7 K B H g O 3 a D A B Y 6 F A r A o G / L e a f k a E 5 C E d 2 7 f F T e 5 G U 3 y d M i X v t 8 p D R A o C 2 Q 6 d T P g l E f w 8 q G h i H v 7 u B E v L 4 1 S W X H u l m d N B y b U s 4 I Q 6 s j u b R R w q 6 V J o K r V 1 9 c 5 E s r c f / / + v X j r c G 5 0 d F T W X c J o 1 2 l u j d 8 N D N C 5 c x + K q g c P E y Q S x g E B G E q B w W 2 Y + G S j g Y q L F l + v J m 9 W Z B N 4 R x j / s A P x L h 9 8 s F u G m G M k s H J d e 5 h I U 9 z I P K S 6 + n q J G l H A Q t r F K z p j 7 d C S S B E 6 z C p v w m 6 E d E P 0 x O C 7 t 9 T Y r L 8 3 G V F u k D x W g 4 R 5 3 6 H a m J 5 L 9 A l i p t i 1 Q o / M z o Z Q g E k q 5 C G 8 e 2 p V k w S h P K 5 l a q h a 2 w q O 2 a J g w b G V x T 5 p O S C h z J g 3 k 0 A m s B I G 0 r t 3 A / T V V 9 9 w R Y h Q B U s 1 D N s O V l e x E b x V J N 2 D B w 9 o 2 7 Y 2 / h 7 r g w w 4 H R C o m u K r C w J U Y E Q U w O 7 Q Z A L 0 D E V 2 o G L A r o M d + N F H 5 0 R K R D i v 3 r M 0 x h p Y X 3 / 9 j U i S 0 2 d O S 9 A u C K C S W j B u N a C B w W + A n P Z x T v g e V E K T T I i r u / 4 q Q R B N J t h O U Z a k 9 m 6 A 6 / 3 r 8 6 b p / q p y q 6 M 3 W 0 g 9 S i p w 7 K t h H e J h t d X H f C X J p k I k b i q k k m G E 6 d h C + s x H o b k 9 b t r S s I U r g J 8 + / f T j p H F I N U w o S D g Q d O f O n a I i l V u q D j I W f U C Y b w G t 1 E Y A z 4 A K A g l j V 0 v g h k 7 V i A C 4 H w S p q g p S P U v Y 7 T u 2 i 0 c U U 5 h t Z V t x r f 1 Z f s 7 H u V C C z J B 2 i M / T c L M k 1 N E P A M g E U t n X b r r / 8 C m r 6 8 m E v P f W z 8 Z / 8 n t m C z 2 9 w I 7 a t Z V Z P J / l + T l Z G / z B O + l 6 m O / E r + F 0 O r c J n X / Q a W H j j L p 3 S B x d u k p 1 + / Y d a m M J t K 2 j X b x V 9 k o p 3 i f W + a H S I c A W N s X O X Z 0 0 9 H 6 I 7 t 6 5 J + r h 6 M g Y V 9 6 C O j H j w P M i Q s E J U P c g Q Z U j Y T I + 1 V Y q Q K V F g 5 F J B H c 6 T L I 0 L y t S q i b y H s v z I D 5 P e + 0 A 2 F G Y r w + 2 k M b Z 9 o S n F e r Y Z O C Y b D H i W a P S t h B c p t C z + O 6 o T e R B V c l a G 0 H + L q u a o G r h m y X x H y X 9 k u t k v l J B V L 7 y y q B I J x T k f M S b U q z j O t L O X T u t M 5 k B a h R m d e 1 9 + V I k E 6 Q g V B z 1 A I U D 1 m H K B D 6 W Q F A F M X U z l s n J F 5 C X W M A 7 F F q U 1 R a 1 u q l X C M G 8 e o B J q j u D l X H H A t Q X r I e F B l D b N h 5 r p Z F J w z O H a d 7 g V C i L v b f O Z I b Y s p o F F 9 M L a G T r N 8 I 7 q h 3 8 U e O h 1 I F 1 H l u + Z 3 y a n 9 u q j / l M B V H 5 2 m s S H j 2 s a W R f 2 t I E X N w 1 W Y w r Q k c u y P q H f / h j s T + g K j W 3 N H N h I X A z f e u f a 6 R a h y k V C v F 8 m D f d 7 y 8 W q T n D e Q X 4 i 4 o l z x A a B T J h i j G N + R B K T A E t O 8 Y p m b a U B p w Q G r C L u 7 t 7 6 c T O 7 N 4 f d e G U N Y m p B s i L y W 2 y h a p d I I / s W D x S N h T S 4 h I m w 3 S u n 7 l M B V H 5 q g J q z B O S x H 7 h N C P e u h h A / 0 w 2 H a 2 L S 9 w y l q n h C F C L 0 A e D K a 0 w e c r M d H K Y U j 4 B i e j U E Z 0 O q 9 l T a w V W V o Q 7 3 a 4 q l 1 e q Y e + w 0 Z D H m C I M + 8 v e C l n m 1 M n D h k 5 X p 2 k a 6 g J R S 5 U i m S e w s 3 O 7 f K d 2 f 2 c C 2 + M J M C O S m u A 0 e 6 i s t E g k Z x T 4 D I U R v O l Q N 3 O d 1 v b k W c I p 4 1 I B f S G Z A q 3 s 6 / 7 X S X 0 h G u K a z u J 3 s w V a d f y + B o a M w 2 G A Z W x g H 9 k B 4 i g 1 V I 6 s L f I m + S F h w + C 7 M W u r E + D a 1 t N z 2 T E y / F 6 8 d S W l A S G L C f y + 9 O L b g P M Y / m K O D 9 N w x 1 L 3 3 V x + O E T / d H u a f n F t m O q 2 q D A y j Y z j 8 s x a z 8 D s v F i Z c U 0 Q F r F Z o Q 7 i S R o s / M e 2 A C i M 2 9 y K / E 3 3 U q 8 n P H K 9 u H j 1 u Q y g p i C i H H 0 y i J B w k m g w 5 u / c v S 8 V N B 9 w W 1 H W d t Q 3 b H G M e 8 N 0 a Y l 5 G p A p z s A A R + R B p e F q 1 4 B q B d e 2 n Y Q A Z o y q q 9 8 i 3 j q M E b M D 8 / I h C t 0 O f F e w 1 O W 4 0 m L M n b o s y m p a q a S y n s p r t s p K + e a n U 7 9 d A p h G T E 8 l p o e + P 3 7 v k 8 X Z 1 g L 8 v j y D R S B F I p z A r l X 3 8 D N 5 T q x 9 5 f 8 f O t s 0 F L G s A w M v R n x S u O b I 2 l R A P N + d O / d o l k k F D 5 g G V C 6 4 3 A F 4 A Y 8 c O U S X L l 2 T N Z 5 Q G f / P / / 0 7 u Z Y L Y J L + T A E V z G n S E + T F + 4 F E s O + q s D I O c 5 6 b g E T T U y Z D Q j k 9 2 / y c s + T H / R P j Y 3 R + + 5 K o a 5 2 1 K s I f B M M x V n n H l A Q f O s y j p w F i o D 6 Z c H I u 4 N T O u r B 8 L w Z 4 I t I c u P l a q Z t Y j x h 2 1 X o g 5 L H + 6 S P 5 z 3 l n 1 s l 8 / V t j e 5 A l h E T L N G c Z v O p l E 8 D R s V a 1 k k O q a Y 0 1 o O 7 c v / e A D h 7 c T 2 f P n r H O K k D l G h u b o L 5 + t U L 4 4 0 e P 6 c y Z k z J / A m y F P / 0 3 / 4 J + + a t f y 7 X 1 A t I p 0 3 6 u Y J W z k w U N y J a m Z s k b 2 D w m 0 A D Y M T e X m B r L X K F w j q W T B i S U E 6 p r a g y V U w F R E 7 g f 0 6 N p a G 8 / C A b A t Y 1 F D N L N + / C N r a 8 K w D A Z O / Y 2 h m l r l c q z S y 8 T N p u e 4 W q t Q P 7 F g V 0 c S 5 1 T x 0 I r 8 5 4 8 I u 8 q H / q C 9 M v o C Q + j t k 5 A H F U W q 2 V g U o U L a X v l z p 3 7 d P j w I e n d N 1 U f S K e x 8 Q l q a t p C 7 W 1 b 5 R x C k 9 B P h e g K j V M n j 4 o d A l U Q b u 5 U 9 g i e G U M u h g Y H 5 D 7 T X g J A p t U W n s 4 U e A / Y P K b d h A Z A D / m Q Z + H n r K p O R J D r 3 8 Z k / O h P y g Q I 3 T L h F A K F A F f T s f B + x i M V H x N T p g M W U z A x b U x Y q r H F m k H 2 5 i u / L B u q + 6 F s W b t G g D m K O P h W 9 c 3 W n v x n G z b E O 1 a 9 z F f K u 4 Q K l p W q l + S E F h H A Q s Z O w K L U u M 8 E w o s w u v f i h U s S 2 4 f V L k A S O 6 D + I Y I C M I k G / M M / / k q 2 T 5 8 8 p W q u l L B D U J n g 5 k a I z 5 t X f W J j o H J C U u A 5 Q S D M n d D Q 2 C T 3 Q S I t c K X W z w d v p Z M z Z D 2 A 3 W Q S V 6 8 U C G K Z A a s q k F b l J T y c J r T K 6 w Q z X x A p s R r g x c M C 2 Z m g k a U Y g A l w s F r h L b a r T O x n 6 Q R X O 6 Q Z y A Y 1 E v 1 Q u D e b d Y 9 T A q S R o r F 2 O K m N q n s 4 X Q j k 3 Y b y F C c K v H i + S 7 Z Y a t / J R b s d a y o 9 f Z b U 0 f j q l Y o w P 3 P 2 l M w n l 0 q C Y b 6 J V G 5 r q I Z / 8 7 e / o D 1 7 9 4 i z A g A h N F r b t j E 5 i q V y Q l K A b P o + E / C e w f g H F u f z E 2 w J 4 t o d K Y h g M N f A x T N i m i + n Q Y t O U g f A E B E T e p q w d M h m g X A s p o 1 6 i 7 n 2 9 B z l H o s n 4 D G G u G N e e W 2 b Y S k b 2 E v Z z m f u D M g f M M Y i k b X F H 9 n K 8 T I N v A 8 Z N T M / / / K u 8 r V U F c v L A O 9 l 9 K S F 8 M o K C S J h G A I G A W I u 8 0 l W g T D J C f q W 4 P 3 C i h N O H j R g 7 9 4 P U j o 0 / v n X v 6 V / 9 S / / 2 D p a H 7 T U K L G 2 + Y C T l P F b 0 l D n J Y B n s a u i q b y a W q r D Q Q Q J r F X e V I D H L R s M T n v p S y a g S R B t d 2 H 5 G s y E h H F P b W x D T f P 2 h k N n 8 V q B L I l L I h B L f l d o p b b W N Z k A 0 6 G O 5 j L l X e U z i 6 U o o m w E G K E h h 2 X / B w e H x D b C I L n y i j J W S 2 a o K m m w H J 7 a G c i 6 q 1 d v r O g D Q k Z C T d T q 5 n q A 7 3 C S X L m G X Y 0 D d O W H 2 q Y q j g I k m n m 8 W r c D J D O k W C w S T R v Z 8 Z 6 1 i G y Q a p I V h B Z h q r B D z S H 6 a P s i P W d 1 f 3 o x d T m u D f z + + G 8 R R y f + Y + 3 j M r Y 5 M d b S I u 8 q n 4 m 6 o J 9 K m E x H 6 i f I 4 1 v Z w u t Z j m C b V L E 9 g S E a m Q C S D T b W J 5 9 8 l C T B V E h M j 0 g v p z 6 j b C E V M T c W d E o s 8 / c v G a F A G o j F 0 5 4 / u 4 0 o l S c F V I V a K c V M C e v 0 e a 2 u r R c + 9 3 I 8 Y l 3 F f C e W K 8 o V 1 P O b 7 6 C O 5 b y + J v m Q f 9 d 5 3 i W U C V T I s x 1 L 1 N / f J + 7 a d 7 b R n Z h s c i 2 Y n J y S l f n s s 7 2 i 8 m M g Y l d X d 0 4 k C 4 i b C 2 K m A 9 S 9 Y l s / k w Y 8 f 4 j / 0 6 T W M X j m M 5 m E h 5 M F 5 D P t R Q D q M / q e A I z Z w j 2 T f I w o e O 1 a / 6 R z U Q b 9 Z Q r 0 O + 3 d s l I L m F h w U 7 U V Q b 7 e P i Z H C G m w U Y R J S v q f c S 7 f y L s N N W G 4 g j H K F C p Z m T V 2 y V z B H f M T m M 6 I T I H R u Z h 0 x W n q Z P R L d W 7 f T i d P H r f O r A / 5 V v e Q N 6 u t e q F X f A + z t H J S 7 y D F t L P C S X X U 0 H 1 P 2 p V e G i i T D m H z 9 y E I O 4 2 h F e k A 8 + R J C r t r Z E 7 l W 6 l t t t 7 1 Q V i E v 5 o 2 c i z n N H l k i 4 1 1 r j A 2 l M P Z H K Z Y O G E k Q 0 J h H g h T l U N Q J m y T y Y l J m c E o G 8 C l / v W X 3 9 C P f / w D s b 2 c U B m s z K G a h i X 8 1 9 7 3 l K r B g J R A H k B d R e T C a r + B y o E h I E 5 A I 6 I d J 6 t h a Y m l E W o c A 0 6 P 8 b H R F X n V Z g y t W A + G Z 9 3 S / 5 R L y J M r x k i S f / I + O F a n E 9 d 5 H 1 X S V j 9 z n S R C J J / J F 0 i u 6 B j + j h Z 2 d 7 0 q K A R l P u 1 X 3 r x s J u h H V M X V a z f o R 0 w m h B m l w t / 9 3 d 9 b w + G R o + u F S y o 9 V K 1 s i Q W X P i S c k 3 N E z 4 g L Y F 6 J V J 5 M D b s N Z Q c C d D P C M l c A Q + p i g T U n L y H C j 9 a L J + / 9 j p 2 9 a 4 f K g 7 j 0 E d 4 k S C V 2 o 7 V V 5 9 X W r J v 5 S H l X + Q L F R R I C p K G H T 7 d a I S j A m / l a u v Y K q 9 z h Q 8 7 A d F u Y g R U V G S N y M T L 3 w 7 O n V u 1 c / b M / + 7 d S A W F L 5 Q p Q t V D p p y b H p Z A y A Z b K A T R x T O D 7 8 D 3 o K 4 o Z D g R I K x O o H D P c k K w G B O i u B g x 3 t 0 d O A E V s X 6 E D e 2 I 8 M S c 4 I h q 2 r V N S Y Q h I m T 8 X j Z q C y n e h j + z L s b V V u 3 I l a S s X b P U z 1 y n v K h 8 i n z t 3 d s Z b d E w B Z g e M c A x s + 6 q 7 i I Y c l t V H 6 / 7 F F 1 / T l o Z 6 + s U v / o G u X L 4 m q 0 h g x O t q A J l a W p v p 1 s 3 b Y q c h S j 1 X q A x W x 6 U F Z m I C U k k u s 2 9 J D y w 0 4 / F g E y E C A k P T N S A 9 k i W G K z 6 m y Q m 6 8 x d q W 3 g p / S y s q W w 1 R K R 7 f f 6 k M C c A o 3 I P N 6 9 v Z t d Z Y / B i L h A n C R M G W / y T Y 2 t f k U s l O Y / r t v q Z 6 5 R L G e y I m Y U l 0 e u v X r 0 u l R k j a j V E 3 7 T h 0 a C P r t t 0 b X z u 4 4 / P y Y Q l G J n 7 g x 9 + z 7 G l T w X M f 4 c M x Z p R W O g 6 F 9 M U 2 1 F h V X R I L i f S m n N H w L G g t / N z s 0 I s 2 D A m m T T 0 0 j 6 w v 8 b H R m R f R Y S g c i S j p C Q g c Y p Q q X 1 F f l p c U H P 3 A S C 6 K f G 0 g 8 W p A Z A K a A P a j Z d j C V X U 6 1 5 5 T 0 F g E s T a l 2 S p d C o l 1 D 1 s 1 T 6 G B u X X q Q T k f e b Y U W v U 7 P a O D h p 4 N 5 g 0 R X A g h Q o w y 7 q 2 u c Y Q J t 1 / + F C p j e j x B 0 E z B T L y 2 b M u + v T z T + l 7 3 / 9 c F h O 4 e e O 2 D L X P F z A d m A Z + f 2 p q I m l K Y w 1 I N / G u W f M 0 O E F P Q Q Y C 1 N S q I F i 8 P y b z 1 K 5 v j Y W F u a S p w C D 5 t U s d R H e K R E c Z 2 Q H 3 v B 2 D A 2 / p + N a E h F r v L E d r g Z B F 7 U D + q O P V k t y n y F Z R 7 o / X y 3 y l v E u o y X l M Y O j i F r x c Z i b S B n e Y G w / E c y V g 7 i e 3 h s B a Z z B C 0 K y e q R a V C 3 G B J 0 + f k P F U u f P + O Q N 2 C C R Q Z W V i s K B T / N 1 a A F L B 9 a 3 f A Y 6 S V J 4 / O 1 D B c D 9 G R 2 t p m Q 4 g b s O W J r r 8 L H f q 8 t q h S C L / b e T h P 5 L M Y / N 6 K d b N y T P y b k P p x b j M P p w Z l k A X b G N o w G 4 T Q z N Y K E z t g w i Y p l g y K U s E m E B Y O m d 8 L N G a Y 8 L M t r a t s p Y U Z k H N F 2 C H B G x 9 Q T o m L 1 f Q N h w c G w j w t U s t J 6 C j F / d j o G I 4 R e w f o J f + r A z W 0 J V + j C I O S q l u F M z f 1 l K H / 9 i I Z K p + n L j B U f f F r K n d V L 3 M V 8 q 7 2 x w J z k r T F Y z I 5 N U A l e L x g I f G J y b l G A 6 J t Q B k h M 1 1 4 8 Y t 8 R R q I A g X q 3 b o m Y A K h V x 3 D t t t I H O w Y C a Y n F L 5 a w e c J J i o E 4 D W e K 5 j S Y Z g t F Y 5 O 1 3 S w c l W X h P k e / i P 8 I f / Q F a Z 5 D F I p v Y 1 u d T W 7 / f E 6 2 S + U k H m l P i 6 x 0 9 P R s r E N o J 0 s o c c p c L Q j I s u X 7 k h a 9 b C K 2 U f g p A p I K X O n T t L v / 3 t F z Q x q S o Q C I 4 o 9 r t 3 7 4 u k y r f 6 p 6 E l S q 6 g n T M Y V q K d F t m g r k 4 N h 5 n i f D H 7 y O b m V 9 q Y G K I e 8 G G y F + t E h s j Z G w t X T K I k y J K c n M 9 5 M W G F V S f z l f L / C 5 z Q w k 0 u + u j G 6 y K Z P y A U X V 1 C A W X F H v q D H 3 0 u r l w M P l x P Z c T c E 5 9 9 9 j F 9 + c X X M h k / g M r 4 8 S c f 0 a N H j 2 T o B z J + M w M q m C a + 2 Q B g X W H M K V F d o 5 Z b z Q Y I V Q K R M P U 1 8 m N 4 a F B i A I P B l c P 2 M Z b p 2 T A W G b d O Z I h 0 w + c z h k W M F b Z T X E o l k 4 j / S K g R z k P d w 7 F T 3 c x 1 y q x m r x N r 1 X I w + h M q E q Z l P n 7 i m O N I 3 W w A b y F I d f v W H S b R E 5 q Y G J f v / P z z z 2 Q g Y 0 9 P j z g w d F S 3 W W m d I h z s k I L M I z D T q / b a 6 S 2 A f i M N O B t 0 0 K w G 3 g P O k Q l u N L S K C H c 8 z s O j B y L p A Y f 1 D Y 2 y G E A q Y F n V / L 6 l H Q m S y D + L O P w n c T 6 J T N Y + v 1 t i H 0 9 c m K f 2 / P v / 8 u d 5 X 7 S 6 M l B G M w t q 3 A 6 S R i Y S 5 + 2 k h 0 J s T 9 U E c p M h I B C G i S B y A e 5 0 R F o g D r C 2 t k b I 2 9 f 3 S u Z W h 7 3 V 2 / u S f H w f + p A e P X w s o 4 V T 2 U B P n z 6 P L 9 H z o r u b a m t q q J s J 6 j Q L L s i Z r S 0 1 N j p C V S l C s 0 A I S C l 8 J y L J 7 W 5 4 5 D M 8 g H h 3 R E H o C S 5 T 5 X + q b g l M X T A + n 9 1 z Q 6 q l i 4 B Z D a g u S s r g v 6 o / k m S f C W N J I b W v t 1 g f C o t T q G V t c I w l b V q a g / E 6 m b d 0 r e t V 3 q n b 0 V B N 9 9 4 G p C K h V U T S x D I J B t i P 0 f e B T s R S v x 5 N k z t g g k d 0 9 G K 8 l N m / h a i G S x e v 0 M F D + 4 V 0 c F 7 s 3 b u X y d Y n L X z H 9 g 5 Z J R F A 9 E W q F Q P x L v Z K i 4 l Y 1 B w V 2 Y t t e P B M p w O + H 9 E R 5 Q 4 d w u m A 9 8 t 2 P g w 0 8 t k M i c 8 V F F k s E i G h 7 m i y 8 D V 0 V q s 6 x c T h / W h M d W B j b S h E p E Q j Y b 4 / Q o E S L x 0 8 4 L z 2 V S 5 R E J X v 5 d A 4 + b w Y l 6 M q V y a S S Q N x Z O g A z j W Z A C x m d v z 4 U V H 3 L l y 4 F B 9 C g o I b Z T s L z w l H C F Z J x K J m W D U R + 7 / 9 z e 9 p n F X D f / 7 N b x 3 J 1 N v b J x P K o P P 4 8 e O n I u m e P + / i B i U k c 4 0 v L W Y e b G q q m v J Z J o N U H n 5 G P B / I B H U u G 5 g e V z u w O B y + G 0 D j A b s t E n V J N 0 a h I c + h 2 1 d s Q S h J N p L J M Z M K W 0 g s q 8 G O b z n t 3 a M G r + Y b B f H y I Z V z g 2 g S K V N S X T W m r 0 I r m e t B a m i p D x 4 8 Q K d O n a T X T K w v v / h K H B R Y l w r P i M K A + i e L d l n 4 4 Q + / R 0 8 e P 6 E f / f A H 1 h k F 9 G l h 0 e z a m i q q q a m W K P g S l m 4 v u l 7 I 0 B Q s b I D v 1 H F 0 u p 8 n F W A z m f 1 E G M m L 5 4 V 0 M / M P 0 R a Y T N O M D U w F z O 6 U S t 1 E S B M W Y 9 P f D e K p V R S X J V p 8 w w B e W c R I I p O o e / Z 9 d V 1 p Q Y n k 9 X G D g N f K c 3 L r o b v 5 / t d c t U y V J S t V o N X A e R M n E Q J o 3 0 y u 3 r O f L f B M W A n w A B P r z N n T h A W k 2 9 v a 6 O 9 / 8 U v a v X u n z B f Y 3 9 c v 0 e 4 3 b 9 6 W K a A x S v j O X R V t g Y 5 j b E u Z K P X 1 9 d I B i o 5 o x A w + e / q M f v i j H 4 j N c u 3 q D Z E w i T w A W Z 3 j C r E M D T q B M d M S i A f C g D h 2 h 4 M G J t O 0 9 0 k 5 I d 1 6 V L D D 7 I B g e J L h V G I 5 B Q o e G / w D K S R W D 8 k k D m w r f T 5 x X S S V t Q 8 p h X v M u p j X f 9 d f v F Z P n m f s 3 d p K l 7 v V j D u J F s T K N G u r Y T 8 G D r e E 6 N G A n z 5 o C F F D e Y 7 F l A 1 Q 8 y 5 f v k r H j h 2 m N 2 8 G W S X s p 5 / 8 5 A + s q + m B s U i h c E Q k C d T B f / r V r + m n P / s j I R H e C y 5 7 M 5 4 R w H m z o R k d Y S l X V 8 / n Y 0 J u f B c 6 W t O F F i E / T c 9 f O t h / D w D R U q 1 V 5 T T l W 7 6 B Z z R J E Z c 4 1 r 5 y N s R Y c 4 C 9 p J w P a g u 7 C d M E s D 3 F E j s W D b M a F q U P z + 6 y v j m / K J j K 1 z c 8 K o V o L 8 h M o Z a d J J F y + Q Y c F J i j 4 u H D J 9 T e 3 k q B i m o p W I w h A j C 9 m V 6 0 T G P o / a B s H / B n Q J i 6 u j r x v v 3 s j 3 8 a f 2 d s z Y h v D a h h J r T j w Z x M c 7 U 4 P c T l Y U 6 I T O A 0 c j i X u Q q P 2 n q Q R C b H p M i l b C a L a D o Z x M O W / 1 B 9 X U V S X c x n K k j o E d L C 0 g K 3 o A l C r Z V c 6 y 2 s T A D C f H P h i n j y 0 B q O T y / K k A x t + y A C 3 J y Q H 1 K p Y U t i D e B U b m d 8 l 8 f 4 n A b i 6 n B N A 6 5 t A H 1 F W L U j E 8 D 2 m Z p 2 D i O y A 5 5 G 8 / c A + 7 z n G t / 0 F M n M R R q Y 8 X W 1 y V u i 6 3 C T g w C K H M n k Y Y b I V q l z + p q R Q C C k + D l 9 H K P O z i 2 O d T I f q T C W m p V g C z s R K R t i + b L 3 N m e N a D R G + / f v Y Z t q P 5 V X B O n I 8 d P i p I A X E G O q f v 7 z v x e 7 S X U A L 8 v Q D M z H 0 N / X J y t + p A I + j z A o J 4 B E 2 g b S Q z 0 Q G Z 9 N M C 2 m m c Z C 1 H q N L X N Q o w m v T 0 3 0 Y k K v 3 m E C Q 2 g Q U x k 2 h m p g 4 Y A p Y z n Q X A P U T S a F 3 u c E r 5 R 5 3 i K M S S Q 0 F O h 3 k i 2 u c V L v m q i H + U z 5 y x k H 4 L 3 w c q s R a C 2 S K 5 f A v B c B l k Z w f Q N u n 1 r A D H N e n D x 1 g v 7 k T 3 4 m r n M 4 G r A Y N C o + 5 m M Y e D + U c l 6 M 0 d E x m p 1 l K Z d C e i E q 3 c m d P T 6 a W X w e 7 C 5 U I i w c o J e 7 s X v z 4 F 6 X d X V Z g s D G 0 B g d d p 6 + 7 Q H b r C Y + 6 l A E x S D Q / E C R g v / E U 5 w o F j k U Y X A O x 3 q L c 1 p 6 Y W u d 5 3 N 6 1 d 1 C o W A 2 F F K p 6 y 3 r m E p C r Z U 0 T s t T 5 h p 4 N k R I g P x j 8 5 6 k V c 7 h Q r 9 4 4 b K 4 z u F g 0 U v V Q F r p V T / s Q G y c j 6 X C 1 q 3 J K / 1 l g m C K 6 H G o a J B A s I e Q 4 M S w E 0 i v 5 r G 4 O M / P h 5 U R F 0 X i w Q s 5 O 6 P 6 m z B 0 v 8 y a Q d a c 3 A W O C P s M r 3 r Z m Z x M 7 u + A h A T C R h F J E 0 O d V y m h 9 u G a c U 7 I p h P 6 6 m L U 0 V G / o h 7 m M x X M b R 7 / Z 9 l R Z s o G N k 0 l b 8 C o 2 8 e P n 1 B N a V h s A h A Z B E K C K g g b C k 4 H z M M + N z d P N 2 / e o q Y m 5 8 5 D j B B O N c 3 Z a t A k w X I 2 q D h Y 9 h O A P Q e H B a 6 n 6 l f C b L M y 8 N C L U K M i k a I a R c V F k v c Y u g 8 b D s D k L o g o 7 7 a W H T L R W Z d w t / N j 5 B x C D p F Q 2 H I S w i Q S x t X J N U 7 8 J 0 E c P l Z S y 9 x X H k A c b 2 2 t M 2 t f 3 v 8 V V O U D 4 A V x I t J q x x q L 4 c I 8 M l z I I B W 8 c l j L 6 N W E V y o u J B H 6 p B B d A Y B Y I P n + / X v l 2 A k f 7 N k t D g Y E 3 p p j s j K B q k w x V i s D k i d Y 9 j M b g C x O 7 n A M R n T C r e 4 p e V c 7 + D E E G G m d O y S T R k s b l R I k i S c t j f i 8 l l J C I O u 6 3 t f X + Q M p 6 1 G + U F C V D 8 n v V U P i g b W 8 7 E z m U T t r B o x x P x N l c l J F N g A T 8 2 p N 3 e n p a d q 6 f Z e K n m C y o f B g s 6 S b g Q n 3 4 b O Q a M p A z h z 4 f f n d q U l x r z u 5 3 d M B 6 m a m w A r s 8 2 7 n g Z w 9 o 1 6 u p L R i p P W 6 Y J E 0 i U T Y J h F L J 4 s 4 D g T C O d n X y T p X F m A b 0 K p 3 h U p c u g 5 n 8 5 i K 3 e P 8 d 1 k q C S q L T k 5 w O r 8 U y Z + E g l o 3 M O W R 5 S p v v Q 3 Q Y u V B + v J F k a x M j m E L s C v e u g 5 Q Z X k x S 1 q 3 e O 0 y m e a 5 p a V F n B E I R c K k m 2 s B Y v Y g V d I t Q e O E d N M x a 2 C 8 E h Y + m 1 p I n 7 e 5 D o 4 F n + J k E S I Y x N F J E 4 S v a a e D n T h x M v G x 7 v D l P 3 T q 9 B 7 + h e T 6 l + 9 U s H 6 o p I Q / n E F 2 p C K W i f H 5 1 e 9 Z K 7 B K x F N r v v W F i I e C D R 2 s L v m E Y F g a E 0 A r j U y r D F b Q 3 G x i R c N M 0 d 6 + l X 7 3 u y + s o 8 z w 5 M k T 6 n / 1 i k Z H R + I O h P U A T 9 z 9 b o 7 u v / V J I / G 1 b V 2 n / M M m e e I S S R O D 9 / m c 8 t a p f T m v t 3 x O k y g u p Q w y i Q e T j 6 W u F T g V X O V D K i t C K 6 v C X 8 y U C U Z m n Q 3 w 9 Y L L K O V c c / a z i 2 G X u M C D V c G 0 k d t O w N x 7 r Q 7 e P o Q 7 I b j 1 m 6 8 v S g z g v X v 3 q b / / F d 2 6 d V u k z L b 2 d h k E C K l 4 9 8 5 d 8 d i l g 6 5 o d q B f 6 Y u u I n o 1 W 0 2 j W Y 5 t y g X i B B G y K H I k t p p E F k m s d 4 h L J t k H m e D B S 0 g s v G u C Y I p M T U 1 V j n U v 3 6 n g K h + S 3 8 N 2 F O 9 p U p l Y 7 R j g f M s J Z p d c 1 D / u k Q W Z s f p e p n P N 3 X 4 + S h P j E z K s P l v M z c / T 0 P u h + D B 8 A J U C Y 6 1 u X L 9 F H 5 4 7 I + o w h o l g 0 O P x 4 8 d k h i Y A X j 3 0 c 8 3 P L 6 b s z 9 J A v p n L 2 E D C Y t F w R D 5 I n j r k a 6 G A B k o R x E 4 q a 1 + I Z J 2 L E 8 U 6 b 5 F J n 9 f n Q C R F N D 5 e j t K + / R 3 8 K 3 j H w q a N U f k 4 m b a 5 E 2 n S o X t 0 / R 2 L c y E X P X 3 v Y 2 P b J / v Z I F T c T D u P f c 8 6 y g 4 I Z / r 4 4 4 9 o e H h U + p E g c T C s Y 2 x s g s 5 + e I Y u X b o i F Q Y e x V S L I O z b v 4 d + / e v f y O d 1 N A T X K 8 F i W M l T n a e w C 6 H W Y f H p f g f v X S G B 9 + I / V q X H F s Q w j l e o d A k p h K T 2 1 b U Y k 0 Z L J i 2 d N L l 0 H d u Q d P v l g L O e U w A M T g Y 5 g + C i Q K a q D E c C 9 F b D f m w u / Z 8 N 4 M H D C n q Z T G W W D n B S F H H 9 P L F 1 b W 5 H v A / G X T 1 4 8 I h K W N o s h U J C t P n 5 B c J A x N X 6 r Z A d k z N z d K 0 n T P 6 y h C t 9 S z m 3 z o 1 h 6 h v 3 U u / o x h L I h C 7 b Z D J h 3 y I C H w t h r H O a J G q r y W N t Z d E 5 3 o + i U x s j d N X o X G y X o 2 E 6 f / 4 A B Q K 5 d a B k i g 2 x o X R y S 6 B r j v S 3 V R B i 1 f o F q z y X + 4 r W T S Y A x E Q k A c Z o r R X v 3 g 3 Q h y y V E M 6 E L Y C R w f f v P Z D + L g x M T D U P + 8 C 0 h + 4 O 1 S S R C Y D K 8 X r y W 0 Q m h 2 t x i S P n m E B W k n O i 1 l l S y r p H 3 Q + H B L o U l i l Q x m Q y 6 l k h 0 4 b Y U D o 1 B K c l c / i P S j i b Q v 2 z n 3 8 z u b p B D X W H t Q b 5 6 g f v / P S a V R 7 r Z 3 I G 2 F / Z A M 6 H X / 3 q 1 7 L q I h w a i A e E z a S d G 3 j P 8 y y p o M p h c Y S n T 5 + t 6 A y G i x u r P z q 9 C 4 j W W B E h d 2 x t E j x n 4 I f T B N H E i O / H y c L H S a T Q 1 9 T n 4 q S x V E F F L J w H e X A N U s r a y n 0 x O n 0 G H e z J 9 a y Q y X W n b z D H V S w 7 v B s r k 0 o P b u s H Q W a a W w 3 z G G s N n W p P r W 7 B E 4 f V E Z O / I f c o 9 i 3 L s 2 C V 8 1 R A x + 7 V K 9 e o p b W F B g b f 0 4 n j R 6 W T F x K q s b G R C Y X C c A Y + i 8 k 4 E c U u k R p R F 1 3 s d S Y x 1 N D a Q J R a g r A j X C t W M c k F T F U 7 3 c B D V V a K G J J A C p N U c g 5 b E M I 6 Z 5 F G k Q V b J g q u x 0 m j p J B 0 q I u K p 1 U + D C R k d S 8 W o Z / 8 R E n 6 j c K G q n x I 1 e U Y w a s y F g U A 4 J J s b V L J P F 5 t r S F 0 V u a b T A D q z d h 8 e h X y Z e 9 L W c 9 q 2 7 Z 2 O n v m l J A J g H p 3 + / Z t J s w 9 O b Y D i 3 h f u n i Z S b d F y I T f S k U m u P w / 7 F i i D x o i V F 4 E 7 2 n u 3 7 4 k 4 z V y c R 9 I Y i W L O G n J h H 1 s h U j 6 W N 9 n e e 9 4 P 0 4 0 2 V c E 0 + d a m m v i 9 W q j 0 o a q f E g l R S H + m 8 j o b G i Q z s 2 d q Q t 8 v Y A t h c c e Z F X L C b C B I J W c V F k M E z l x 4 n j c U 2 f H 0 N A w 7 T + w T + Z h l + M 0 f X A Y + K d / A c + T r S q a C a R 4 D J y 2 a w g g A J K o a D q p c n U i U + I c p / g 5 k 1 i a O I o 8 i a S v q Y R 9 k O 7 w 0 d 3 8 E K p e b V R a v 3 W e A 9 R X h b k w d C Z y s s 4 D 6 a Q U + l R S o c x f G G e H R i r n B P q L 0 i 3 G D f U F E 7 v Y g U q D v i h 4 + 7 q 7 e 2 h 4 e I Q W 0 0 j l + r L E + + Z r v B L U W x M m a V e Q x i L H C t I g 8 T 4 k k x D D O q + l k S K L J h E S C G N 9 z k o J I u n 9 C L W 3 Z R c 0 n C / k f c G 1 T F K x H z o / M h 4 t D W c a J w W c s z W L D J N U q U a P Y u U S 2 B S F w m S K O D h 0 x r 5 + / c Y 6 W g m 8 H 1 Q / R E V c v X p N h o e A Q B i Q i I l i o O p 1 d u 6 g 3 t 5 e a i i d o T 2 s 0 m l g z k I N d E z D p k E a z l M 0 i a n y w T 7 V k D I C I a z y 0 s 4 D X Z a m p J J r s q + v W f c K O R L 3 K K l j X b c I J E n s J + z j v L K j + C Y 6 e L h z R b 3 a i L T h K p 9 O b Y 0 2 K c X 7 6 a B J N Z h i J Q 9 4 + K C O F Q p H W 1 c 6 J d 5 a z 3 b 6 9 C l 6 3 v V C 9 u 0 Y H B y k d + 8 G a c u W B j p z 5 r R M W Q Z b C 9 M 6 w 5 V + 8 8 Y t q W T 4 D r j T G y v C 0 l g A + R r o 5 4 S z 2 5 Z o z 5 b E J D B Y v R + I k 8 l M V v m Z U k i 8 c 1 K + + j 5 V z g k y g U D Y t y S P f F 4 l d V 0 n R T T t l E A j f P b s A X 4 S V Y 8 2 O j k 3 q x s E + P n M l g m Z j 8 d M B 1 1 p 7 b j 3 L v c e r n T g R 0 0 C B u r 1 j 6 n + I H j x O p g k i I q w o 7 W 1 V W a v 1 a F E r a 0 t S f G B 6 K P 6 + q u v Z f / U 6 Z M y 7 / r p l t y v E b w a k J + 6 L E C m 6 h K L A J o o 8 T L D v i K J n N P X 4 9 f U V s h h 3 W e S y S S R I p c 6 h 2 m W E 1 K K y W T t u 5 h Q d f W J F S I 3 G h s W e u S U t j V D K u m M 5 c S Z h c J I B S 2 l I I 3 s K C u y 1 f A 8 4 2 J v M X U N K 9 v l Q m + R p E W W k I h Y 4 L o i / U 0 P H z x O 6 Y B I h 6 1 W L B / e F 7 F 9 1 6 9 f p 8 8 6 1 7 Z W 1 l o B G 3 G R B d T j Q S 8 V e 2 M 0 N u d i F T B K e x u W K F i s y W U R R p J F K p 3 0 e d 5 P E F C V 8 0 o y J f Z V 0 s f q f p F M v E X 6 o 5 + d d 6 x L G 5 U w K I n 3 N k 8 K l E C D U J l q F k g q o J I h + s G O o D E P R C G A O Q P R 2 Q w b B t L J x P S S U g Q w 2 x C I l S 0 w 2 a V e Y g c 4 d u y Y z L 5 0 t P 5 9 f O K U f A O V / t J L P + 2 s C 8 n + 1 m C Y 9 t Q v y a J 4 h 5 o w 3 z q X k x D D I B K O h T z q n J D C I p U + V t c U Y c z z c f I g a e m E r b G P l T 1 g Y 9 r r 0 E a m J J W v H M F p D E + a j s Z 8 o 7 G O n 8 t q w e K Z B 0 n F W z 5 p 3 Z U M V G D z 0 t C M R 4 J B N w s G p t w S 7 V B e r o a x Z w s s U j A w M C h D 6 I G y s g D t 2 7 9 X K h 8 m T v l k R 7 5 J Z W U u b + B Z / X 2 X n 3 z u G N 1 8 5 W N J R f T l C x 9 1 1 I S o k 9 P 5 7 f N C E h B H k i a I Q S Q p W 2 t r k i m Z S L x v d O g m k Y k T L U f o j / 7 4 U / V c m w j u L / / 2 f 9 N f / t c / F 4 L 9 j 7 / 6 S 7 r y 6 5 9 T O f P q 5 u 9 + R e O v u + k X f / 3 f r V s L h 8 5 2 j 5 X x l m j n j F Q Z z l s u B D v w 7 P B y g V R X W V p p t 3 F p x h 2 R + Q W W Q c V I 3 f 3 7 9 1 t n s g e c F J i p S A O R 6 G G W X K h 4 H j d I l Y 9 Q I 0 g Y S B A l a R B 3 + c n 2 B U 7 z r N 6 6 h S T h 8 D K d a V 9 k e 9 F N L / j c A g t S T R B N n s S + c l L o 6 3 o / k T R h n P Y R C c F b t p + I 9 8 + f P 6 I e c Z P B f e X S h f g 0 v y i k l 9 0 9 v M c F 9 I c / p V v X r l J F V Q E W q X J I J a z F J W e 6 z l x V G N J c x s E f Y I B U W P V Q A 5 4 3 P f V V P p H 4 R W d M L 7 r p 0 K G D s n D A W g G n h a g 3 D M Q D o n L C H a 8 l n v b 8 5 Q p C J E m K C E h R J t a j A Q 8 9 G P C S l y W U l A 9 f v 9 z r o 3 A E Y U 8 R u v u W W + P 4 Z 9 Q 9 6 j u s s r P O a Y m l y l O R R + 7 V x 9 K I K g I l J J M K L 8 K 7 1 j V U r 6 g z m y J 1 D 4 0 v z y E U 2 w F D P U 9 o d H i Y 9 p 7 5 x D p T W D z r W e S M t w b K c Z J 5 K G Q u C i u x a h o f R I c C V H u s j q j Z e X T c W b q Y s 0 K h p T J C u + r D 4 g a H 5 y 4 V U M G w Z G n 7 t j Y K L Y W p q N g v M 8 p i m M f 5 8 + f o D Z O o q b m J V c A B O b 9 n D + Z N U I A n b m y N Q 9 l B A B N y L H m q t s G S K E 3 M u b g 8 c J 8 i 2 O m 2 R f K 4 Y n S h 1 0 8 B X 4 x m W f O s L 4 v Q 4 B R U c J N Q y f u K W C A I n x e i g F g J L Q S d 3 T g f j 9 n D P U I s L J 4 W p X / 9 p 9 9 X D 7 k J 4 b r / Z i Q 5 J z c R 4 L 1 7 3 s O t M c u A Z C K Z W 0 U q t A 5 S 1 h Z g s J 7 f r m y L / n G v z N q T S x S z 5 I O c x A Q u m Q I E x / p R W E g A z 4 2 B j V h M T g O S B 4 G w Z 8 + e t s 4 k A 5 2 + s 3 N z V G U t 8 v b i R b d 0 + m o p 9 X L M K 2 k t E A L F t 4 o w y F B F B k 4 W s f R x m T 9 K R 5 q X a H T W R U + H v F z R l y n C y c 0 E i 0 T 5 n i Q i W a 7 z J K l k S q m V Z F L 7 l n S S L Y g V o R / 9 6 A x V V D o P v M w X v v n 9 b + i D f Q f o 1 c t e q g x W W a t Q V l J t f T 3 1 9 X T T i b P n 5 L 6 H d 2 5 t r n 4 o O y D a / T 6 0 d i q z d U s W L 5 C k / U T F B O C o 0 L Z U e 3 X q N Z H W A v h s t l Z F W c 3 J n E z A r d d q q A Y q G i Q J Q n f s H k p z f j 8 7 O R B U q 8 k E 4 L 1 N N F U 6 a x r p o Q j C f 1 S F t y q 5 5 K m c W 6 a 2 K k g G k A R J 3 e N l 4 n z d 4 6 f q 0 g j b q l E 6 1 L w o 1 y K s + n 3 Y D p V U 3 S d l J r a w 9 Z 3 W 5 x W Z F H F 0 u T q T y d r n c 1 U B d 8 H J h G f r e f 6 c + n t 7 Z M r q h 3 d v M 4 l e 0 M j Q e 1 Y 7 t 1 B P 1 3 P 6 m / / 1 P + m v / 9 t f 8 X u x h H r w d j S 5 J m 5 C P O 7 C C o K Q R E j K T e p y e 7 h i Q 0 p p C a W 2 c s 1 q s U F I b a x j S c t H g 7 n p 7 M X X I w w n 2 8 G F i L c 7 0 B S i r q 4 X t F S + j 4 a t g Y 5 Y A A G D L R E t f u 3 K N V n 0 D U A b c e N V 0 c o g V A s Y g N i 5 E y E 3 6 j l u M m F h r 6 0 G I Z B I H P m v y C Q H i k D q l N p H w p p c T 9 + j P 0 3 f A 1 I o l Q + 2 1 D d M L B z 7 e f / E V i w + t 0 y X 2 K 7 S H b e a W P I 5 v h Z v C K 3 z c m y R S d Q 8 O d a E Q g R N h H b W L N K h 7 / 1 U n m 3 z g u j / A e a z b B e 9 R 3 r 3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 G u i d = " 6 c e 4 e 4 2 f - 8 6 4 3 - 4 5 4 e - a 3 6 9 - 6 5 0 4 a e 6 1 4 6 0 4 "   R e v = " 1 "   R e v G u i d = " 2 5 c 8 b 5 d 8 - 4 9 a 4 - 4 3 7 7 - b 2 c 7 - 7 3 d b d c e f 9 1 5 0 " 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6 8 7 7 5 1 F 3 - 0 E E E - 4 6 5 A - B 3 3 3 - 7 3 0 0 6 8 0 3 A 4 8 0 } "   T o u r I d = " e 3 8 2 b 5 2 3 - b 2 3 3 - 4 b a b - 8 1 3 5 - 0 7 c d 6 2 1 b b c 9 1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y U A A A M l A W Z Z 9 g I A A E i m S U R B V H h e 5 X 1 X c F x L e t 4 / E W E Q B p l I B A g S J C 9 z j p e X N 2 2 U V r u S k x 7 s 0 o v L Z Z f L V X r 0 o 9 7 1 o g e X X 1 y q c p W r X H Z J 2 p W 0 q 9 W G m 5 h z j i A A A k w A k X O a B P / f 3 6 d n e g 7 O D G a A m Q H u 9 U c 2 T p y Z c 7 r 7 6 z / 0 3 9 2 u f 7 h w f Z n + P 8 D J I y d o + n 0 / t b X U 0 f x S j P y e G C 0 v L 0 s K h 0 L k 9 f l 4 P 0 Y u l 1 v O A T H e u F 0 U v 8 / t d t P 9 d z 4 6 2 B S S 6 0 + H f D Q 4 7 a E T W 0 N U X h S T c 3 Y s L S 5 S U X G x d U Q U i r r 4 t 9 X 3 z 4 V c F P B n n v 0 z 0 1 N U X l F p H W W G x Y i L i r 1 r K 2 K X i 1 / e Q I R f M R a L k t / r k W P z u t 5 H H n o 8 X p q f m 6 O b Q w 3 k 9 X q p q I h o 6 t 0 N u f 5 d x 3 e e U C B I f c t x K v O F q K V s j p Z j Y f L 7 / X G S R M J h 8 n C h A 5 p I Q D j K x 9 G Q 3 L u 0 x K Q o K q Z Q h M h n k S F T h J a W y I 8 a t Q r C T L R 0 3 7 2 4 s E D F J S X W U X a Y D 7 u o 1 L f 2 Y k 6 Q Z Z l i 0 S i F I x H J D 8 0 n 8 / r k o p d q A s t y D u m r n l I m m I d 8 P j e F J h 9 T e G l O 7 v 2 u w v W P F 2 9 8 Z w k V C L b Q 0 b Y A l R Z 5 m R R L k o p Z W m j i L L L 0 8 L F k g u T R 5 2 Z Z a p T Z p A a u j c 6 5 q a a U W c b Q F S g T L C 4 y E Y r X R o S V w H N l / t s m l l h S F a 1 R U m n M z 8 9 R I F B m H a 3 8 T u Q L i D 8 e L q f m y q g c j 8 5 7 6 N F g s Z D K y 5 L N 7 5 1 h T e G Z 9 Y n v H t z W 9 j u H M 0 e O 0 Y e d F V T M L W O E W 1 S Q B m S K x W I U 5 V Y W J C l i y Y F C 1 2 T C x i Q T z i O F Y y 6 q D U A d V K 1 u V l h f H U 7 C H K t R a w U q f s + I k s R r h Z d V O Z 1 X g F Z d N S D V r w 8 E q S 4 Q o e v 9 S g v o G v J S w B e R M g i H I 7 Q Y K q P K 5 h P W J 7 5 7 + E 4 S 6 p N D O 6 n C u 0 A L 8 / P U O x S O E 8 O e o O d r T M y 7 a J 6 l E 6 C v a / j c i X 0 Q M s x q Y q Y A a X M B / K 4 p H d a C H X W s s z L w n s b r Z Q y o r u F w K J 4 / 9 r b F y / n E n K F v e o p o Z k k 1 V F 5 3 j K Y X X f G G D M S a n 4 9 R e e N 3 k 1 R M K O T K d y O 5 2 V 7 a V R e g 4 i K / F O B 0 u I i C 3 i n Z h 7 o H d Q S F r A u 2 p L S U P 6 d Q U R y l Q N E y h U L K 4 a A B F d A E J B 3 U R C A m 3 6 U q K R D l 7 z Q x P z d L L r 4 / F 8 D v w s E R C v F 7 8 D Z T L L L 9 F G L V z E Q p S 2 F N B v s 1 J y D P 8 C 7 Y o j F B 3 u E 5 c G x H R b F y z u D a F y + K 6 U B j i E t G O Y B Q D p p Y C w u c 3 w 0 g l S q 7 7 0 p y / f L S z T W 0 V Z s P f p + X v n 9 8 r x Q 2 E g o u E g l z R f R Y B Y 9 W V d 2 L a 6 i g G i h g 8 3 g 9 m J u Z o U B 5 u X W U W 4 D s c J I A e K e B a S 9 N z b t p T 2 N Y b L w S V u v Q K A C r O T l M g F T + N d h X a E z g 0 Q N M V R h E 0 v h o + x J 5 O G s v 9 P A 5 S 2 V G Q n 7 D r v L 7 P R S d f U a h h V n r E 9 9 u 5 K Y W b T C C Z a X 0 / R P 7 p P V E m p 2 d i b e I 2 C p C J Q o c h T m 5 o I 5 x T Z N p Y W F e t k 6 A A T 6 1 4 K Y x r s D p A D K p 3 8 s 9 4 G H T m J m e F r u u v k K d w z 7 I p N V W / X 6 Z Y D U y p X q f 5 Z i S 9 s A 8 C / Y R J j V u P d I S Y h K p z 1 z s L S K P a 5 l 2 1 U N N V m W B p C X V 0 h L b t 4 E P q L i 8 V u 7 / t o M l 1 K 3 8 l H 6 B U F 0 R o N P 7 t t M C 2 0 N Q 6 7 S K h f 4 P e K X 8 / i I h j O 5 r Q u s 4 B o 8 d V 0 D Y U K b a l y k W W I 1 y R R f 5 u 7 3 8 3 a p P x o 7 J i X E K V l V b R 7 k B 3 i 9 T m 8 z s 7 0 o H 9 F N N c C P R a B E z F d D Y l J Q 4 5 9 W r 0 R j 1 T Z Z K P 5 X 0 2 x m N F / D 5 T q W i I u 8 h v b S U 0 p I K y c c a B i 3 2 0 t L c h N z 7 b Y X r V 5 e / v Y Q q Y o J 8 f K h T + n r Q 4 i m b J i o 2 z o v B C H V u 8 Y j d o f u B 0 H p y G V r 7 K 1 8 b n Z b o t 8 J 3 Q R 0 B R k e G q b a u X v Y 1 c N / E g k 9 I q T E + P k b V 1 T U i O c o r K q y z + Q W e I x W h V w P U P B 9 L p s z l m M o z k E D D V O 3 s M O / D 7 m e d C V L d e F 1 E s 0 t u 2 T d J h Q Y K 6 l / k W 9 x X 9 a 1 V + c p K i u j s v m 1 i L 7 m 5 8 i P B x g C Z T F U P Z M I x W k 8 U L O 5 3 I p O C K m B N J i A Y r L L 2 V I V C S 4 1 K b J I J A J k A R A r k G p C 0 T p g c H 7 f 2 E o B 3 b X J m S a S o i Z H Z 5 K K G m p d 8 R 2 o s W M 4 c k y S r Q e e / 2 u c k e + r 8 k W b L o W H d I 4 0 h p 1 C I b b I y V v / K V F 5 + G / G t J J S H W 7 P D H Y 0 0 N j o q E g g 2 E x I M d o T n T L C t U 1 z M R O I y m 5 m Z k d Y v v D g v h W a S R Q M e K w D 3 a e h K D D V x g f d F n e Q K Z a o 9 s K f w G y Y q K o O y 1 b Z F L l B a G q C p q U n r K I H q 2 j p r T 2 F k 1 k O x h Q k K l h d R i W + Z Z m b n J b w J q C v L n u i z s 8 p R U F J S k h W Z T G h S f W l I M 7 j X z 2 x j r c I i F B o h l E 2 p F 9 5 D b v C K t l F R 6 f q 6 C D Y K k L u q 6 f 6 W J N h I P z x 1 g N 6 / H + K C V j 3 w y 1 w Y C I V B O 7 j o C l K w O E q t w Q i T b Y H K L Y 8 b w n Y m W S 1 D A r S k g h M D d p Y d q M S 6 M r h Y I j n Z L j W l M X o 9 4 a x y 4 b k Q J Z E r l J e n V y N H p 0 L E b 0 i V Q U V o o L y s V G I F x 0 Z G r D P Z Q X c P r B c 6 H 0 0 V s c S r C K 4 I p b b T r B W C W G i M X K W 7 k f F J Z f 9 t S L A h R f R / W 9 K P T x 8 U m 6 m 2 p p p i 0 R i F I 2 E q 4 c o / P z 9 P Y 1 N L V O q e 4 f d y c a F E p G U F o A q C Q F U 1 t R R k 1 Q y F B 6 c F 4 F R p c C + g W 2 X 0 w a R C e 3 V U P I B 2 o A N 0 r S F H d 1 7 7 6 W q f c o 9 P s 8 R F J T O l p w Z i D A G o s z U V P i o r c 3 b X V 9 e u z Y O W z g E S i a 5 8 5 3 T Q p L r Q m / j O X X W q g 1 y R K q H + h c N R L r M o l d Q e c a w D m z l 9 q 1 S + j w / u E G 9 d b 2 9 v P F D U 5 1 P B q z B y l 7 2 l o p K h Y H T / C A o I 7 m Z d I U E W T R R s Z 2 a m Z V 8 D 9 2 u y a S D C G 5 + b d l C 7 A E Q C 2 O H 1 + m j O U p k 0 u I 7 Q 0 I x H 7 B n t 3 o b K y O 2 C b H E O H s i D T f O i E g 3 z f R X 8 2 0 5 k w r 3 D 8 w H Z 9 0 p D v v I Z A K j E u J a u S y A d N B H s 0 G 7 x b I D v Q v + Y l l Q t r E U 0 V a j G S x M K S U u p U C h G g Y a j c v 3 b A h Q F b z Z / O r 2 n g 4 q 5 x Y y y R G p r 2 y o Z X 8 w q X 9 + Y h 9 z e Y m q o L q F g k Y p y 0 B U f 9 0 h F w 3 / e w l a y k 8 X L h A R B h X i c 7 J U X 4 U u Q Y v g c 7 C M t v U z 4 H L Q + 2 H S B s m Q 7 w M / 3 N Z R H x Z 5 B t A I A F W F p Y Z a l 7 g I V e V i K l k T k t 6 L L L i q 3 O m n t g J s b n 2 + t W t 1 O 4 y o q W z Q 0 e K Z s k c o W R A T 7 W o A y A T S p U D z 6 H L Y 6 a V I t L i 5 T R R N I h d / b / M n 1 T 1 f v O J f a J k J n a y P t a K w W 1 Q 2 V v 7 W 1 V Q g y N O O i e q 6 c K A D Y Q l p 9 Q 0 G Y x L h 3 7 4 H c j 8 I D Y N 8 E A g G x w S o q K s S Z 8 f j x U z p 0 6 I C 6 w Y I T w T T w e 6 j 4 s W V 3 v L U e G R q k 0 k C 5 j H + y E z c V 4 K k L V i f 3 V 8 G 6 m F l w i d S C L 6 6 a b T W N g S k P N V W u T i S E J 0 X 5 G U u Z 1 H g P s T W t i o u 8 Q M O g H T T S 6 K Q A n D O w J + 2 4 x W r p 1 K J z 3 m Q C / Z v o o / q y G y M A E u d U W S W i K Z C X 5 e U R m n j 7 U K 5 v Z m x 6 G 8 r N G d t e X 0 W L o T A N D Q 1 T U 2 O j Z P b g t J s C r h n q 7 u 6 h y c l J 6 n 7 R z X c r 6 I I B 4 J 1 D j B 3 I c v C g S v v 2 7 a V t 2 9 p p y 5 Y t X F n U e J 1 S J p c J V L h U Z A J A 3 v G x U f 5 u F S w K 1 D U 0 i l R C B c A 4 q 0 x g J x O A c K L K k m U K l i 7 T 6 3 F V 6 e E O h / d S k w m / i X e z A 4 0 J y I 7 I e h 9 L d O S F S R w t Y f G M O E Z C Q w X S a R U V x + j 0 h h 1 o k g n f q 6 H J 1 F G 9 U m L v l q i I 9 N B 5 B k n 1 8 X Z l C + p z 2 C J p K Y V n n p v z k t d f 4 l h H N l P i X H E 6 v X l S U d U h z u E o d X d 1 U W 1 t j b i x M U z A N T 8 g m b 5 j x 3 Y K B o N s I 6 h C g Y o G R w W u T U 1 N S W U 6 e u y I X E u F s b F x m u H K N D g w G K 9 w i H S Y n p 6 m m 9 w S p 0 J N b Z 2 o a i a B A V R E P K c G 7 A Y n w L Z D p b E D w y w g A d 5 N s j Q K q u t Q / 6 p K k u / 1 I E j O B r y v l t R m q J K G v o Z A Y f 2 u k N B o P L S K i m N / S R n f m 3 h 3 E E x / F o B k Q X r L E h M 4 2 h K i z 6 y I i K 4 R H 1 U Z U j U V N I G + R p y f A 0 x i w V H h q / i A z y b X j 8 2 W 3 A 7 n N k 1 q a f 6 A f K 4 Y / f J e S I j z f t o l T o n x k S G q r 6 8 X t U 0 D l e P 5 8 y 6 a Z 2 L 5 u S I M D g 6 K O q d b 4 n Q A U Y 8 c O U x 9 f f 3 i j r 9 / / 6 G M S k X F w v B 2 O 6 7 0 J T x V b s v 5 Y S L G u t o s k 1 H 2 u c 7 c f 5 u o i C Y W W c I 4 S c G j / J u N b G v B e a F H 2 s 6 y h D I B l W 4 x 6 q e Z N G o X H D d O h A V w z U n C A f j F J 4 N e u t i b I F S q i A w E v y I I d y H C 0 o 6 P I Z 3 a q i J C s E w G N G p S o W 8 K 0 M f m V k u q U G i Z A v W H H e v K Z k m u f 7 5 2 d / W 3 3 g B U B E q o t W k H P X 4 b o 3 P b Z i n C G Y o O 3 a 6 u F 7 R r 1 8 5 4 h m u g g s H N 2 / e y j 1 p a m 1 l F m K c y S / 3 K F C A l W n g Q c J 5 b c K h A N T U 1 N D U 5 I d 6 2 C H n J j 6 / j 3 8 b v Q 4 q h U 7 K m N h G a B M N f u 6 + f v A 3 T 3 h Z n M m W C f l b 3 2 q q j U l Y g p u j n B r 7 p L q L z n U t y P R 1 S h U P h f V P l z 8 C 0 R + a i 0 P Y b K j T y B Q 2 A r u R a l T S B L g Q v E w z e z K a K a F L f U z q U M H c x 1 E R D N 4 L Y 6 o T f 8 / t 9 x M o 2 L U 6 9 k u u b D a m b t w 3 G o n 8 3 D Q w O 0 S e d i 0 o 1 i k Z o Z H y G O j t 3 r C A T o P t M 6 u r r q L / / d d r K k g q m N C v l F r y v 7 5 V U o K r q G p l 3 o o i / D s + C e 3 C + u q Z W y G R 6 z 8 y + I J D J S d 3 D s 2 F o S T q I Q 2 I 5 M R A Q x y Y Q i y f h V N a x E 1 S r H k o Z W 6 g J g f y 0 5 y n I Y D p D c C / e W R M L x 3 g P O y C V 8 K z 1 Z V E J v P 1 4 h 7 M U t M M k E 6 C f R z 8 b k l L 9 I h R 1 5 z b o O J f Y l J E S 5 Q 0 H O e N i 3 D q r c U 1 R T o h m q A j 4 + T L f Y 4 N Z G S C V Q L r a N X Z m m k A E h h 1 O r T L 6 n D T m D H K h c 9 l p T B K I i 4 q R D p B G Z U W x u F S C E w C v q b / t U m 9 6 y Y c O Y e Q V 1 N Z U w J D 6 x 8 9 6 6 d a d B z Q + N k a X r 9 6 h r y 5 c p Z G R U e u O l d D v 7 9 Q F o Q F y e P i 5 L 7 8 s k l m h P t 6 h b K t 0 Q B l q t U / D L N d k U n F 9 q I b q p + r L Z k q b T k L 5 u J D m E Y v n C c f D f 2 A M h 7 k 5 H h 4 a t u 5 K w M z 0 X A N q Z i Y I s b q p U W z E + t k f D a 0 7 Y g 0 h N R D F A a 8 Z z q U C O m x 1 F A b C n K T M e P / x I K s 9 s W k 6 1 J x a y k F S O t l n G n D Y I M 6 x s b 6 C T h w 7 x J K 2 l j 4 8 c 5 Q + P X + G 1 d t y u n f / s X W n M 0 y H h R 1 4 Z j w r C N I 1 7 J X 3 O N a 6 0 h a 1 A 8 4 m J + g y 1 q R C n k E 4 e o s 3 3 x i q T e c 2 3 9 q 6 T 1 S J 3 c F h a Q 1 h x 6 A v Z G g q T M 8 X d t B X 3 Z n p 5 E 6 4 + 9 Y v 4 4 Q y h Z N K Y w d a 6 o p g U I J X k X Q L P j z 0 P q k F R 8 u K C o 6 o C y 0 1 0 F D g f r j f Q S 6 7 G g h P m d 2 w h 6 N i b H J O Y h R r 0 w S 8 r q Z S I o L 8 9 a v X b J d 6 4 l M D a E B 9 3 r V z O / X 0 D 1 p n k o H o E i d N A Y A k x W B H Q K t 7 z 4 Z 8 F C x R G s d q s D e Q d j I h H 0 V r Y V I t + 5 o d 6 9 B G J m 4 7 n E 5 v T D r U u Y 3 6 R 1 V 8 n r a J 4 I K + 8 q a a n o 2 u t A P s m b 8 a M J I 0 k 0 F 3 G n i q 6 9 d v 0 L j D M A l d q D q w F q p m p R V p D n d 7 X X 2 D 7 A P w p o F M q S o h I j B A L q i O u k / I C V 9 0 + e n x u y g d 7 S i i w y 3 O h M E z g Z x O A b 8 m 0 A d X X V 0 t E h U e v 1 l b C B Y 6 v W s q i 2 l o 2 E H 9 S 5 O F g 5 Y b X Q N E e m e d m 2 b N w + 5 Y y Q R m O Z v E i k Z j 5 C 3 f w 2 c T d W i j 0 6 Z y m z d U l X J l i N L e e j V f H i T T z a E t f D G R q Z 9 a A 9 W y J d N a 0 N L a Q n v 2 f E C P H j 2 h 1 6 9 f 0 8 W L l + n d 2 7 f y 2 y C I a U + h c H V h w 1 0 P 8 u h n T B d k + v T p U + r p 6 a F X r 1 4 J 8 X S f k F 0 6 3 n 7 t o Z Z g j D 7 Z 5 W L b a u W 7 o 4 J N T S o J a f Y X p Y I i X k Q 6 g A E 9 I y 3 s P j w 3 n h 9 S 8 H H f p H h Q T Z Q a 3 R V 2 N F c m P z f c 5 8 D 9 d 3 5 q h 0 2 c Q b H p f L N D n 8 c W 7 4 v h H + E o l 4 F D X d q o t G l s q E 8 O 7 6 W R a S X O / d E J N p h n + e m U a h T w x a Q T E R K m k O j o 2 C b k O H f u L D U 3 N 9 O H H 5 6 h v v 7 X j p I G R M C z m 9 d S S S S N g Y E B + d 7 d u 3 d T Q 0 M D X X 4 + R 1 e u X G P y v h F 1 E V L j 4 Y C P b j 8 f p Y 7 a G O 1 u S K 6 s o i a K H a b O m 0 M 3 V g N U 1 X K 2 l e x A U L F + b g Q d f 3 Z y B 9 2 6 / S C J 4 C A t R g s 7 Q U 8 S o 6 G z A J P I I J Y x U 9 h J Z Z J J J + Q 3 t q 7 A X r m 2 G c A S e O P / Q U x i r v G B i W V q L h o Q t Q c q y + V + 1 R K e b F O 6 O N y 4 Z k b y f 9 H P 8 w 0 t j V D R 0 L L D o H c C b B E 8 G z q H v / r y G 7 p 7 / x E 9 f P i Q h o e H p f L b 8 e x Z F 6 u J S j J g P F d 7 c z 2 d P X t a o j 0 w H K W s v I L 2 N 4 b o 2 O 5 a f v f k C o b n E D V R 7 D D M b Z F d 2 z g x M c k q X 2 I 0 s h N 0 Z + 7 p U 0 f p 7 d s B U X 2 X l l S j h m s Y R o O 8 S N V B r K d V g 0 M F u P H a 7 x h I v B b o e g A p F Y l w Q 7 Z J / n n + 3 X / 4 T 3 / B 2 y S x V e j 0 / R M H u K V d o u q S M L k i 8 z Q y M k L T 7 k a a Z J 2 b s 4 4 6 a h K t I z p 2 X 7 1 6 Q 9 f u v q C p S D E d b C + N t 4 L 5 B I Z V l D B 3 E e a E l n t i f I I r t J e T k q I o 4 F c s W Y a H R 6 i l p Y V 2 7 O i g p 9 N b K e p v o P Z a l 6 i M s F l M q Y V O S q i D k E Z o w d X 0 x d z K B 0 r l f k S I Q / I h V h E u b q h e k B T 4 D A h k l 4 h 2 T E x M i P M B w P O Z K i o a L X w X Y h l T A R 3 a U O / w W x g B j Q Z s a H y W b t 6 + T 7 X V F T L B D b y V e H 4 8 y 8 D g I I 0 t l V F V Q D 0 T z u E 3 n o 8 k H E k n t i 7 R + x k E F V s n b I C N Z V 6 y v 5 9 5 j H 1 1 y H 9 8 N e S O j s n u R i b X b 2 8 + S P F q h Q E y 5 X t H d k k B o x W / c O G i V M j e 8 G 6 p B J j c Q + f h s 2 f P W T 3 a R f d Y H 0 f p N n r f i H F d C L y Z 8 H C F V B 2 e k B 5 o l W F b d X S 0 S w e w l y 8 e P n I o b p P Y g c B e d A D P z 2 N G 2 w U m Z i U t M E E O H N i f V E k 0 F h c W q e v F C 7 l / 9 + 5 O m T U W U R l T k 1 P 0 n r + r h V X F 6 h r n D k 7 k 2 / X r N 2 n X r k 4 h D G I V M X o Y E f V b W L V E h m I I T E N D v e N v a 8 z O z L C U X K k W A i D 4 6 N g k t W 1 t l u O r D w d o R 1 M x j Y + O S B k B e A 6 8 8 7 P h I p q O K k m M X z v c H K L u U Z 8 E / K 4 G p + d T R D K T + l 5 / 5 I W 6 Y Q P h + t 3 N h x t K q D O H 9 l H R s g r U R O u O y g p i 9 Y R 2 S Y H A b o K q h 3 N a 7 c I D 9 w 9 M U 3 t j u R w X A h g E q G N R 0 e p f u n S F j h 8 / y i o P P 0 d 7 m 7 p g A y Q s + m L s T g S 0 3 K E Q I s L T e + J S A Y 3 P / f s P x G G i p R X y A c 8 1 N j Z G L 1 7 0 S F R 9 X V 2 i n w a q G m I d D x z Y x 9 p A h H w s H V c D P K z p + p u e 9 7 y m h p p y 6 u n t o 0 Z u 2 F p a m u j C N x f p o / P n 5 H m g A s O D + I j t w K H Z h H Q 8 3 h q i W 2 9 W f i / i F w d n V u q E 9 j L W x 9 g i u U W s s Q T m 8 v G F e + T a R m H D v X w B r 4 q G A H m w b W p u I m + w Q 4 6 J W 2 R / T E U e 9 L 3 s j 2 c k L n m j q f t C V o N 8 t b W f C W 5 z 4 T 8 c U B X g 8 e M n E i f 4 y S f n R d 2 B C m o a 7 C b g M n b y y G k V a q 2 A G n j s 2 F F u / W e p v / + V E O X B g 0 d C K H T Q f v 7 5 p 0 l k A q C m b t n S I H m W C Z k G 3 7 0 T 4 q b D 7 h 1 b + f v c d O j g f i G T g L 9 / d J S l 8 c w U N 4 5 q o p u K k u Q 8 c C I T g E U Z n C B 1 w c D K Y 1 W e 8 L Q 6 1 b F C p g 3 1 8 l U 3 f i B D t J f C M W 5 V u 2 k p p A I 9 n w + r A t 9 f N S A V G M Z w 5 8 5 E D B 8 a p F R e p t U A r x k 6 e D H q F c M G k o t m J T A s B L 3 8 c P l q 4 i A 6 H Q 4 B q H d H j x 4 W V X T K i i 7 X e P A u v 8 4 S k B L q L s K s 9 u 7 d Q 4 c P H 5 R w q 0 A K m + g V E 6 + i I j G C W K v Y T k D D 1 s g q Z S a L E 0 B 1 N d 3 0 L d w g B o P V r C p W S q w j g F H K d p z d t t K R A T s y G 6 A + m O S C X R Z y b 7 O O N g Y b S q j W 4 l l p Z T 2 u m I T B Q G e f W U o 8 U k N 9 L a s 0 y h 0 N V / K V K 1 e t K + g 8 n a H r 1 2 5 I J 2 q q i m E H I p + 3 1 U T p K B M E a u Q n O x Z p j v V 4 e A r N y U M 0 E P k A Q v f 2 9 F J s Y U R U 0 q a m R u u q A i o x K n V 3 V z e / g x q g 9 2 z I S 5 3 W S h e b B V B N I V m h k k G q P r j / U N R G O I D s L b 6 5 K k m 2 a G A p q M e m a T g t o 3 O t v 0 i 6 Q o L W 4 g J o J I F M l Q 7 z m R W x 1 H 4 E U m o D 4 f r 9 r U f J u V k g u D 1 + O r + v l b 7 h A m 5 s 2 k J l g Y B U y B e L n Z J B H 3 U s y W S M c D / 7 S o N 0 9 O A u G f 4 O u w G t s 0 Z f X 5 + 4 n u F B W w 3 X + v 1 0 u n 3 1 v q x 7 b 3 2 0 b 8 s i P X z w g C X Q E W n N h 4 e G J O o c H j g n w B O H + z B O a z M C j R K 8 f l V V V d J 4 a X c 9 z k F l P H 3 6 l B w D e A / 0 g W k J k w 2 0 w w a / o 4 F w M S e v 3 s f b l 2 S o h 8 Z q Q z 3 s K r 4 + x h Z p G V o L m w n F 7 g n y U v b z Z + Q C G 2 Z D 7 W i s l 4 L b s 2 c 3 + Y P b p I B B J g 0 9 g f 1 H H 5 + j s y c P S C g M b B a T T E B b W z u F M p R Q J 9 s y 6 x h G 5 + T j p 1 0 y V B 6 A z d L S 2 p q S T A A G O / a w J N u s Q L 5 h b B e 2 6 K x G x U f / 2 M v e P n F 7 m 9 E Q e F 8 9 q 1 Q 2 A D n f v n 0 n 3 2 c i l Y t 8 c C a 5 L J 3 s z e y g H F a L M W 4 s H O p c I d K G q X y t d S V S i L O z c z J R / f S 8 I g W k E 8 b S a G B Q o W 6 J Z l m C 2 d U T 2 F K Z z t + g 1 Q o n w A 0 M l a 6 3 9 y V V x t 5 R Z H F O P G i Z A s + V i Z T c a E B 6 v H 3 7 l t 6 9 e y c N 1 P 4 D + 4 R o d n c / O o 6 B T N V p S O j x s X H q X t y e t m 9 L A 0 X 6 w r K V A X h E 7 a O S 7 b C X v T 7 G N r G P O p F 8 X y H B h M J L F D Y 1 N r S J d E K B o t I i M x 6 P J I J f P 2 h w L s T W 1 h a x m U z 0 9 / V L + M 5 6 g N 9 / + b J P O l p b W 5 t F P e r Y 3 m F d z Q x w n N g 9 a 5 s R c K l D G 9 i 2 b Z v E 6 k E a I c T K B M p G z 1 Q L h 8 P w + 0 E a G x m W h R O Q d O U 1 g T y r 5 f f / 8 f 7 k G M d U w F e c b s d 0 z E z e X N R / f C G q l + w u 0 2 w E X s e V d S / f C Z M K S W t R y O S Z 7 p d C w 4 t j 7 A 3 A p + M F p c N T 7 A V X V l 6 2 o v U b G R 3 l 7 8 S n E 0 D r e u P 6 T X F c A F B D z I h x z C l n T q Y v O j j / U 1 O K F V F j Y 6 O 0 2 p k C l e n h g 0 c S R b F Z g W e E F B k d G R E i 2 d U y E y C Z i f o t n B 9 1 9 b I K C R J C o w A t x Q B I Z 3 Q m 2 4 p C p j 1 L C b 7 3 a 7 a v k O 6 8 T d 3 f Z c J e J / S x + q t + H P t w o e v 6 V s h U c J X P x 6 0 X P G U j C 0 r l Q w u I T N H j l L A w F / R 7 J 0 A t M y s C h l h D J d Q D A R E 9 / Z J V t r / 9 m 5 / T g Y M H x D t 3 4 8 Z N i V l 7 + P C R S D f 0 1 f i I p a M 1 + Y n G 0 N D Q C v s s U + B z + / b v p c e P H t H l S 1 e o v 7 8 / Z b x f I S D 9 M R Z Q 3 9 6 8 e U 3 3 7 t 2 X + L 0 P z 5 3 l g l d 5 n Q 4 m W e x A O B L G q a H c c B 9 I C i f G s e N H a W R 8 K m l q 6 u d D q Y k L 7 1 9 i C V H Z r A t x s v F m o 7 Q + 1 x d 3 n h T 0 p w + 2 1 l C w s l z 6 d M b H M f m J W v E P K 9 0 t h m N U t 3 B L 7 s O K 4 3 v 3 Y a x L A s + f d d G u 3 T u T K s S 1 r l n y z v R S d V U Z E 2 5 B R s Q e P H R Q x i d B l 0 b n I v Y h E d + 8 e S t b S K v m p m a q q 6 8 V Z w J a 7 0 s X L 9 P 5 j z + y v n X t Q A W D n Q I b B V K v r b 0 t q Z 8 m 3 4 B N e f P m b R o b H Z e 8 8 n r c M o V A R 0 d H R k T S Q J 7 g P X Q k R i r g 9 5 D P + G 5 8 5 t m L l z R e d E D m f H 8 5 6 k l U 7 D S / D d X v e j + r / t Z x J j D f x d y H p w / z j y B M y 0 0 x C p a k H s 6 f D 3 j + 7 D / + 5 7 / A 8 x Q q d T a r J V g w d K H G i E X b W h W R 6 Y f 3 d N S x y r W F + l + 9 Y t v I 6 n 2 3 4 H K 7 p H K a O r r b 6 6 f e Z / d o O 9 s 8 I C d I A 0 m G T k 9 U B K 2 + 4 D O B i m p 6 P N V C k U A 7 R b j 0 p o d e i u c O q s r h Q w d S x u F l A / w m n h E q I 5 7 3 2 r U b 8 p 6 5 + O 5 M g K 4 H r F B y / P g R K i 4 q p k B Z Q F z 5 2 Z A J w P 1 4 D x A m H a E Q K Y H r m J 3 3 y Z O n 5 K 7 Z R 0 u x E h q f d y c T J M 3 v l 3 J 7 g / u z g f 1 9 9 N E y / j G Z V M K a w 5 g 3 U f 1 8 I V L B V T 5 0 + q E l w z Y u o i 3 s r E t M 5 I 8 w G b u H C b o / P H 0 m G i t i E r e G i j Q w M E i n z 5 y S m Y + c V C 4 M J 0 d n 7 m c 7 l + h E J y Z z 6 Z T W H E G t 2 Y w l y h T o i z n D z 4 M x T p A S h Q A q 9 5 v X b 0 X t A 5 k g g b M l k w k M D Y E K D o 0 i V Y i V K s 8 F a t 1 9 n I a m s p E z R M W s e q M x 1 Z N k r h X 4 V f s v o 3 5 F Y p n Z Z r k C E w q Z X Z h 0 Y v d 2 q e h 4 0 a 1 b W / m c e m k n N D U 1 i X p m A t I G D g a N l y 9 f S i Q D O i p B J o Q v I S K g v / 8 N E + X W i u 9 G w S O A E m 5 2 3 H / / / n 1 q a K i j c l Y J 8 w U 4 U e B F W 0 / 0 Q T b A k B I 4 C H J h w 2 H g I m w j v E M q J w Y i X W C 3 b t 3 a Q g O L D V T G W o A j U p Q z Z k j S X r 4 D j Z n 1 E 6 a E 8 R v Y Q 5 q W F U q c 6 2 M + U k E l V F m J L 2 4 z m X A 6 R q t q H 3 o N I N 4 P x A B A C l T W 0 t I S U e k O s e 2 E z s p D h w / Q D 3 7 w f S E k o q / h E k c L + p t / / q 0 4 D b 7 8 8 m t p u Y 8 f P 0 b 7 9 u 1 L q 9 L k A p C 2 o y O j K 9 4 z 1 0 B + f f X l B X H 9 r 3 c a N R A F g w g x y F E D p N L O C t h X s E W h R c D O w g I O j v 1 8 W h d K I y U R f A z U l 2 c u x R 3 z 0 v w N v o x 7 I g X S D D Q K 6 j a n m J r e G A B h 0 l U w V H J 4 5 u z A r L F a S m E I B B w O b W 1 t B A M c h d v S 0 i x h T C D S s + d d 3 G a 4 p H L A l v n + D 7 5 H J 0 4 e Z 7 J 9 j y o r K 8 R G K A T g j u / h V v z i x U s i O S F Z M T 4 K b m x I V 5 A d 7 6 I b i m w B V Q w S 6 f q 1 m 3 T q 9 M m M 3 f c g h / m b m C 8 D w P Q D y F c n V V G X G z r B 8 f w v X / b T H K u E O N 8 S V G T z u F k 1 x G c d P u + E d N N J Z w 1 b l V o W h 0 n i c f K e v r r 3 N L / N p o V y r u R H t q l w I 4 S o w B 7 S h L I T S x + j b + f A w f 2 y D 2 A U K 9 S P w c H 3 E t M H I x g D 9 A B U K p D w 7 t 1 7 3 F I v y f x + J 0 + d k G s A P F E y b m a D g B l n Y U e B 9 N o e C S 2 F p D J i 0 C D G H k U i U X G / 6 0 l e n A A C w P 2 P Q F f s 4 3 O o 1 G h I W l t a x G 7 K B H g O 3 a D A B Y 6 F A r A o G / L e a f k a E 5 C E d 2 7 f F T e 5 G U 3 y d M i X v t 8 p D R A o C 2 Q 6 d T P g l E f w 8 q G h i H v 7 u B E v L 4 1 S W X H u l m d N B y b U s 4 I Q 6 s j u b R R w q 6 V J o K r V 1 9 c 5 E s r c f / / + v X j r c G 5 0 d F T W X c J o 1 2 l u j d 8 N D N C 5 c x + K q g c P E y Q S x g E B G E q B w W 2 Y + G S j g Y q L F l + v J m 9 W Z B N 4 R x j / s A P x L h 9 8 s F u G m G M k s H J d e 5 h I U 9 z I P K S 6 + n q J G l H A Q t r F K z p j 7 d C S S B E 6 z C p v w m 6 E d E P 0 x O C 7 t 9 T Y r L 8 3 G V F u k D x W g 4 R 5 3 6 H a m J 5 L 9 A l i p t i 1 Q o / M z o Z Q g E k q 5 C G 8 e 2 p V k w S h P K 5 l a q h a 2 w q O 2 a J g w b G V x T 5 p O S C h z J g 3 k 0 A m s B I G 0 r t 3 A / T V V 9 9 w R Y h Q B U s 1 D N s O V l e x E b x V J N 2 D B w 9 o 2 7 Y 2 / h 7 r g w w 4 H R C o m u K r C w J U Y E Q U w O 7 Q Z A L 0 D E V 2 o G L A r o M d + N F H 5 0 R K R D i v 3 r M 0 x h p Y X 3 / 9 j U i S 0 2 d O S 9 A u C K C S W j B u N a C B w W + A n P Z x T v g e V E K T T I i r u / 4 q Q R B N J t h O U Z a k 9 m 6 A 6 / 3 r 8 6 b p / q p y q 6 M 3 W 0 g 9 S i p w 7 K t h H e J h t d X H f C X J p k I k b i q k k m G E 6 d h C + s x H o b k 9 b t r S s I U r g J 8 + / f T j p H F I N U w o S D g Q d O f O n a I i l V u q D j I W f U C Y b w G t 1 E Y A z 4 A K A g l j V 0 v g h k 7 V i A C 4 H w S p q g p S P U v Y 7 T u 2 i 0 c U U 5 h t Z V t x r f 1 Z f s 7 H u V C C z J B 2 i M / T c L M k 1 N E P A M g E U t n X b r r / 8 C m r 6 8 m E v P f W z 8 Z / 8 n t m C z 2 9 w I 7 a t Z V Z P J / l + T l Z G / z B O + l 6 m O / E r + F 0 O r c J n X / Q a W H j j L p 3 S B x d u k p 1 + / Y d a m M J t K 2 j X b x V 9 k o p 3 i f W + a H S I c A W N s X O X Z 0 0 9 H 6 I 7 t 6 5 J + r h 6 M g Y V 9 6 C O j H j w P M i Q s E J U P c g Q Z U j Y T I + 1 V Y q Q K V F g 5 F J B H c 6 T L I 0 L y t S q i b y H s v z I D 5 P e + 0 A 2 F G Y r w + 2 k M b Z 9 o S n F e r Y Z O C Y b D H i W a P S t h B c p t C z + O 6 o T e R B V c l a G 0 H + L q u a o G r h m y X x H y X 9 k u t k v l J B V L 7 y y q B I J x T k f M S b U q z j O t L O X T u t M 5 k B a h R m d e 1 9 + V I k E 6 Q g V B z 1 A I U D 1 m H K B D 6 W Q F A F M X U z l s n J F 5 C X W M A 7 F F q U 1 R a 1 u q l X C M G 8 e o B J q j u D l X H H A t Q X r I e F B l D b N h 5 r p Z F J w z O H a d 7 g V C i L v b f O Z I b Y s p o F F 9 M L a G T r N 8 I 7 q h 3 8 U e O h 1 I F 1 H l u + Z 3 y a n 9 u q j / l M B V H 5 2 m s S H j 2 s a W R f 2 t I E X N w 1 W Y w r Q k c u y P q H f / h j s T + g K j W 3 N H N h I X A z f e u f a 6 R a h y k V C v F 8 m D f d 7 y 8 W q T n D e Q X 4 i 4 o l z x A a B T J h i j G N + R B K T A E t O 8 Y p m b a U B p w Q G r C L u 7 t 7 6 c T O 7 N 4 f d e G U N Y m p B s i L y W 2 y h a p d I I / s W D x S N h T S 4 h I m w 3 S u n 7 l M B V H 5 q g J q z B O S x H 7 h N C P e u h h A / 0 w 2 H a 2 L S 9 w y l q n h C F C L 0 A e D K a 0 w e c r M d H K Y U j 4 B i e j U E Z 0 O q 9 l T a w V W V o Q 7 3 a 4 q l 1 e q Y e + w 0 Z D H m C I M + 8 v e C l n m 1 M n D h k 5 X p 2 k a 6 g J R S 5 U i m S e w s 3 O 7 f K d 2 f 2 c C 2 + M J M C O S m u A 0 e 6 i s t E g k Z x T 4 D I U R v O l Q N 3 O d 1 v b k W c I p 4 1 I B f S G Z A q 3 s 6 / 7 X S X 0 h G u K a z u J 3 s w V a d f y + B o a M w 2 G A Z W x g H 9 k B 4 i g 1 V I 6 s L f I m + S F h w + C 7 M W u r E + D a 1 t N z 2 T E y / F 6 8 d S W l A S G L C f y + 9 O L b g P M Y / m K O D 9 N w x 1 L 3 3 V x + O E T / d H u a f n F t m O q 2 q D A y j Y z j 8 s x a z 8 D s v F i Z c U 0 Q F r F Z o Q 7 i S R o s / M e 2 A C i M 2 9 y K / E 3 3 U q 8 n P H K 9 u H j 1 u Q y g p i C i H H 0 y i J B w k m g w 5 u / c v S 8 V N B 9 w W 1 H W d t Q 3 b H G M e 8 N 0 a Y l 5 G p A p z s A A R + R B p e F q 1 4 B q B d e 2 n Y Q A Z o y q q 9 8 i 3 j q M E b M D 8 / I h C t 0 O f F e w 1 O W 4 0 m L M n b o s y m p a q a S y n s p r t s p K + e a n U 7 9 d A p h G T E 8 l p o e + P 3 7 v k 8 X Z 1 g L 8 v j y D R S B F I p z A r l X 3 8 D N 5 T q x 9 5 f 8 f O t s 0 F L G s A w M v R n x S u O b I 2 l R A P N + d O / d o l k k F D 5 g G V C 6 4 3 A F 4 A Y 8 c O U S X L l 2 T N Z 5 Q G f / P / / 0 7 u Z Y L Y J L + T A E V z G n S E + T F + 4 F E s O + q s D I O c 5 6 b g E T T U y Z D Q j k 9 2 / y c s + T H / R P j Y 3 R + + 5 K o a 5 2 1 K s I f B M M x V n n H l A Q f O s y j p w F i o D 6 Z c H I u 4 N T O u r B 8 L w Z 4 I t I c u P l a q Z t Y j x h 2 1 X o g 5 L H + 6 S P 5 z 3 l n 1 s l 8 / V t j e 5 A l h E T L N G c Z v O p l E 8 D R s V a 1 k k O q a Y 0 1 o O 7 c v / e A D h 7 c T 2 f P n r H O K k D l G h u b o L 5 + t U L 4 4 0 e P 6 c y Z k z J / A m y F P / 0 3 / 4 J + + a t f y 7 X 1 A t I p 0 3 6 u Y J W z k w U N y J a m Z s k b 2 D w m 0 A D Y M T e X m B r L X K F w j q W T B i S U E 6 p r a g y V U w F R E 7 g f 0 6 N p a G 8 / C A b A t Y 1 F D N L N + / C N r a 8 K w D A Z O / Y 2 h m l r l c q z S y 8 T N p u e 4 W q t Q P 7 F g V 0 c S 5 1 T x 0 I r 8 5 4 8 I u 8 q H / q C 9 M v o C Q + j t k 5 A H F U W q 2 V g U o U L a X v l z p 3 7 d P j w I e n d N 1 U f S K e x 8 Q l q a t p C 7 W 1 b 5 R x C k 9 B P h e g K j V M n j 4 o d A l U Q b u 5 U 9 g i e G U M u h g Y H 5 D 7 T X g J A p t U W n s 4 U e A / Y P K b d h A Z A D / m Q Z + H n r K p O R J D r 3 8 Z k / O h P y g Q I 3 T L h F A K F A F f T s f B + x i M V H x N T p g M W U z A x b U x Y q r H F m k H 2 5 i u / L B u q + 6 F s W b t G g D m K O P h W 9 c 3 W n v x n G z b E O 1 a 9 z F f K u 4 Q K l p W q l + S E F h H A Q s Z O w K L U u M 8 E w o s w u v f i h U s S 2 4 f V L k A S O 6 D + I Y I C M I k G / M M / / k q 2 T 5 8 8 p W q u l L B D U J n g 5 k a I z 5 t X f W J j o H J C U u A 5 Q S D M n d D Q 2 C T 3 Q S I t c K X W z w d v p Z M z Z D 2 A 3 W Q S V 6 8 U C G K Z A a s q k F b l J T y c J r T K 6 w Q z X x A p s R r g x c M C 2 Z m g k a U Y g A l w s F r h L b a r T O x n 6 Q R X O 6 Q Z y A Y 1 E v 1 Q u D e b d Y 9 T A q S R o r F 2 O K m N q n s 4 X Q j k 3 Y b y F C c K v H i + S 7 Z Y a t / J R b s d a y o 9 f Z b U 0 f j q l Y o w P 3 P 2 l M w n l 0 q C Y b 6 J V G 5 r q I Z / 8 7 e / o D 1 7 9 4 i z A g A h N F r b t j E 5 i q V y Q l K A b P o + E / C e w f g H F u f z E 2 w J 4 t o d K Y h g M N f A x T N i m i + n Q Y t O U g f A E B E T e p q w d M h m g X A s p o 1 6 i 7 n 2 9 B z l H o s n 4 D G G u G N e e W 2 b Y S k b 2 E v Z z m f u D M g f M M Y i k b X F H 9 n K 8 T I N v A 8 Z N T M / / / K u 8 r V U F c v L A O 9 l 9 K S F 8 M o K C S J h G A I G A W I u 8 0 l W g T D J C f q W 4 P 3 C i h N O H j R g 7 9 4 P U j o 0 / v n X v 6 V / 9 S / / 2 D p a H 7 T U K L G 2 + Y C T l P F b 0 l D n J Y B n s a u i q b y a W q r D Q Q Q J r F X e V I D H L R s M T n v p S y a g S R B t d 2 H 5 G s y E h H F P b W x D T f P 2 h k N n 8 V q B L I l L I h B L f l d o p b b W N Z k A 0 6 G O 5 j L l X e U z i 6 U o o m w E G K E h h 2 X / B w e H x D b C I L n y i j J W S 2 a o K m m w H J 7 a G c i 6 q 1 d v r O g D Q k Z C T d T q 5 n q A 7 3 C S X L m G X Y 0 D d O W H 2 q Y q j g I k m n m 8 W r c D J D O k W C w S T R v Z 8 Z 6 1 i G y Q a p I V h B Z h q r B D z S H 6 a P s i P W d 1 f 3 o x d T m u D f z + + G 8 R R y f + Y + 3 j M r Y 5 M d b S I u 8 q n 4 m 6 o J 9 K m E x H 6 i f I 4 1 v Z w u t Z j m C b V L E 9 g S E a m Q C S D T b W J 5 9 8 l C T B V E h M j 0 g v p z 6 j b C E V M T c W d E o s 8 / c v G a F A G o j F 0 5 4 / u 4 0 o l S c F V I V a K c V M C e v 0 e a 2 u r R c + 9 3 I 8 Y l 3 F f C e W K 8 o V 1 P O b 7 6 C O 5 b y + J v m Q f 9 d 5 3 i W U C V T I s x 1 L 1 N / f J + 7 a d 7 b R n Z h s c i 2 Y n J y S l f n s s 7 2 i 8 m M g Y l d X d 0 4 k C 4 i b C 2 K m A 9 S 9 Y l s / k w Y 8 f 4 j / 0 6 T W M X j m M 5 m E h 5 M F 5 D P t R Q D q M / q e A I z Z w j 2 T f I w o e O 1 a / 6 R z U Q b 9 Z Q r 0 O + 3 d s l I L m F h w U 7 U V Q b 7 e P i Z H C G m w U Y R J S v q f c S 7 f y L s N N W G 4 g j H K F C p Z m T V 2 y V z B H f M T m M 6 I T I H R u Z h 0 x W n q Z P R L d W 7 f T i d P H r f O r A / 5 V v e Q N 6 u t e q F X f A + z t H J S 7 y D F t L P C S X X U 0 H 1 P 2 p V e G i i T D m H z 9 y E I O 4 2 h F e k A 8 + R J C r t r Z E 7 l W 6 l t t t 7 1 Q V i E v 5 o 2 c i z n N H l k i 4 1 1 r j A 2 l M P Z H K Z Y O G E k Q 0 J h H g h T l U N Q J m y T y Y l J m c E o G 8 C l / v W X 3 9 C P f / w D s b 2 c U B m s z K G a h i X 8 1 9 7 3 l K r B g J R A H k B d R e T C a r + B y o E h I E 5 A I 6 I d J 6 t h a Y m l E W o c A 0 6 P 8 b H R F X n V Z g y t W A + G Z 9 3 S / 5 R L y J M r x k i S f / I + O F a n E 9 d 5 H 1 X S V j 9 z n S R C J J / J F 0 i u 6 B j + j h Z 2 d 7 0 q K A R l P u 1 X 3 r x s J u h H V M X V a z f o R 0 w m h B m l w t / 9 3 d 9 b w + G R o + u F S y o 9 V K 1 s i Q W X P i S c k 3 N E z 4 g L Y F 6 J V J 5 M D b s N Z Q c C d D P C M l c A Q + p i g T U n L y H C j 9 a L J + / 9 j p 2 9 a 4 f K g 7 j 0 E d 4 k S C V 2 o 7 V V 5 9 X W r J v 5 S H l X + Q L F R R I C p K G H T 7 d a I S j A m / l a u v Y K q 9 z h Q 8 7 A d F u Y g R U V G S N y M T L 3 w 7 O n V u 1 c / b M / + 7 d S A W F L 5 Q p Q t V D p p y b H p Z A y A Z b K A T R x T O D 7 8 D 3 o K 4 o Z D g R I K x O o H D P c k K w G B O i u B g x 3 t 0 d O A E V s X 6 E D e 2 I 8 M S c 4 I h q 2 r V N S Y Q h I m T 8 X j Z q C y n e h j + z L s b V V u 3 I l a S s X b P U z 1 y n v K h 8 i n z t 3 d s Z b d E w B Z g e M c A x s + 6 q 7 i I Y c l t V H 6 / 7 F F 1 / T l o Z 6 + s U v / o G u X L 4 m q 0 h g x O t q A J l a W p v p 1 s 3 b Y q c h S j 1 X q A x W x 6 U F Z m I C U k k u s 2 9 J D y w 0 4 / F g E y E C A k P T N S A 9 k i W G K z 6 m y Q m 6 8 x d q W 3 g p / S y s q W w 1 R K R 7 f f 6 k M C c A o 3 I P N 6 9 v Z t d Z Y / B i L h A n C R M G W / y T Y 2 t f k U s l O Y / r t v q Z 6 5 R L G e y I m Y U l 0 e u v X r 0 u l R k j a j V E 3 7 T h 0 a C P r t t 0 b X z u 4 4 / P y Y Q l G J n 7 g x 9 + z 7 G l T w X M f 4 c M x Z p R W O g 6 F 9 M U 2 1 F h V X R I L i f S m n N H w L G g t / N z s 0 I s 2 D A m m T T 0 0 j 6 w v 8 b H R m R f R Y S g c i S j p C Q g c Y p Q q X 1 F f l p c U H P 3 A S C 6 K f G 0 g 8 W p A Z A K a A P a j Z d j C V X U 6 1 5 5 T 0 F g E s T a l 2 S p d C o l 1 D 1 s 1 T 6 G B u X X q Q T k f e b Y U W v U 7 P a O D h p 4 N 5 g 0 R X A g h Q o w y 7 q 2 u c Y Q J t 1 / + F C p j e j x B 0 E z B T L y 2 b M u + v T z T + l 7 3 / 9 c F h O 4 e e O 2 D L X P F z A d m A Z + f 2 p q I m l K Y w 1 I N / G u W f M 0 O E F P Q Q Y C 1 N S q I F i 8 P y b z 1 K 5 v j Y W F u a S p w C D 5 t U s d R H e K R E c Z 2 Q H 3 v B 2 D A 2 / p + N a E h F r v L E d r g Z B F 7 U D + q O P V k t y n y F Z R 7 o / X y 3 y l v E u o y X l M Y O j i F r x c Z i b S B n e Y G w / E c y V g 7 i e 3 h s B a Z z B C 0 K y e q R a V C 3 G B J 0 + f k P F U u f P + O Q N 2 C C R Q Z W V i s K B T / N 1 a A F L B 9 a 3 f A Y 6 S V J 4 / O 1 D B c D 9 G R 2 t p m Q 4 g b s O W J r r 8 L H f q 8 t q h S C L / b e T h P 5 L M Y / N 6 K d b N y T P y b k P p x b j M P p w Z l k A X b G N o w G 4 T Q z N Y K E z t g w i Y p l g y K U s E m E B Y O m d 8 L N G a Y 8 L M t r a t s p Y U Z k H N F 2 C H B G x 9 Q T o m L 1 f Q N h w c G w j w t U s t J 6 C j F / d j o G I 4 R e w f o J f + r A z W 0 J V + j C I O S q l u F M z f 1 l K H / 9 i I Z K p + n L j B U f f F r K n d V L 3 M V 8 q 7 2 x w J z k r T F Y z I 5 N U A l e L x g I f G J y b l G A 6 J t Q B k h M 1 1 4 8 Y t 8 R R q I A g X q 3 b o m Y A K h V x 3 D t t t I H O w Y C a Y n F L 5 a w e c J J i o E 4 D W e K 5 j S Y Z g t F Y 5 O 1 3 S w c l W X h P k e / i P 8 I f / Q F a Z 5 D F I p v Y 1 u d T W 7 / f E 6 2 S + U k H m l P i 6 x 0 9 P R s r E N o J 0 s o c c p c L Q j I s u X 7 k h a 9 b C K 2 U f g p A p I K X O n T t L v / 3 t F z Q x q S o Q C I 4 o 9 r t 3 7 4 u k y r f 6 p 6 E l S q 6 g n T M Y V q K d F t m g r k 4 N h 5 n i f D H 7 y O b m V 9 q Y G K I e 8 G G y F + t E h s j Z G w t X T K I k y J K c n M 9 5 M W G F V S f z l f L / C 5 z Q w k 0 u + u j G 6 y K Z P y A U X V 1 C A W X F H v q D H 3 0 u r l w M P l x P Z c T c E 5 9 9 9 j F 9 + c X X M h k / g M r 4 8 S c f 0 a N H j 2 T o B z J + M w M q m C a + 2 Q B g X W H M K V F d o 5 Z b z Q Y I V Q K R M P U 1 8 m N 4 a F B i A I P B l c P 2 M Z b p 2 T A W G b d O Z I h 0 w + c z h k W M F b Z T X E o l k 4 j / S K g R z k P d w 7 F T 3 c x 1 y q x m r x N r 1 X I w + h M q E q Z l P n 7 i m O N I 3 W w A b y F I d f v W H S b R E 5 q Y G J f v / P z z z 2 Q g Y 0 9 P j z g w d F S 3 W W m d I h z s k I L M I z D T q / b a 6 S 2 A f i M N O B t 0 0 K w G 3 g P O k Q l u N L S K C H c 8 z s O j B y L p A Y f 1 D Y 2 y G E A q Y F n V / L 6 l H Q m S y D + L O P w n c T 6 J T N Y + v 1 t i H 0 9 c m K f 2 / P v / 8 u d 5 X 7 S 6 M l B G M w t q 3 A 6 S R i Y S 5 + 2 k h 0 J s T 9 U E c p M h I B C G i S B y A e 5 0 R F o g D r C 2 t k b I 2 9 f 3 S u Z W h 7 3 V 2 / u S f H w f + p A e P X w s o 4 V T 2 U B P n z 6 P L 9 H z o r u b a m t q q J s J 6 j Q L L s i Z r S 0 1 N j p C V S l C s 0 A I S C l 8 J y L J 7 W 5 4 5 D M 8 g H h 3 R E H o C S 5 T 5 X + q b g l M X T A + n 9 1 z Q 6 q l i 4 B Z D a g u S s r g v 6 o / k m S f C W N J I b W v t 1 g f C o t T q G V t c I w l b V q a g / E 6 m b d 0 r e t V 3 q n b 0 V B N 9 9 4 G p C K h V U T S x D I J B t i P 0 f e B T s R S v x 5 N k z t g g k d 0 9 G K 8 l N m / h a i G S x e v 0 M F D + 4 V 0 c F 7 s 3 b u X y d Y n L X z H 9 g 5 Z J R F A 9 E W q F Q P x L v Z K i 4 l Y 1 B w V 2 Y t t e P B M p w O + H 9 E R 5 Q 4 d w u m A 9 8 t 2 P g w 0 8 t k M i c 8 V F F k s E i G h 7 m i y 8 D V 0 V q s 6 x c T h / W h M d W B j b S h E p E Q j Y b 4 / Q o E S L x 0 8 4 L z 2 V S 5 R E J X v 5 d A 4 + b w Y l 6 M q V y a S S Q N x Z O g A z j W Z A C x m d v z 4 U V H 3 L l y 4 F B 9 C g o I b Z T s L z w l H C F Z J x K J m W D U R + 7 / 9 z e 9 p n F X D f / 7 N b x 3 J 1 N v b J x P K o P P 4 8 e O n I u m e P + / i B i U k c 4 0 v L W Y e b G q q m v J Z J o N U H n 5 G P B / I B H U u G 5 g e V z u w O B y + G 0 D j A b s t E n V J N 0 a h I c + h 2 1 d s Q S h J N p L J M Z M K W 0 g s q 8 G O b z n t 3 a M G r + Y b B f H y I Z V z g 2 g S K V N S X T W m r 0 I r m e t B a m i p D x 4 8 Q K d O n a T X T K w v v / h K H B R Y l w r P i M K A + i e L d l n 4 4 Q + / R 0 8 e P 6 E f / f A H 1 h k F 9 G l h 0 e z a m i q q q a m W K P g S l m 4 v u l 7 I 0 B Q s b I D v 1 H F 0 u p 8 n F W A z m f 1 E G M m L 5 4 V 0 M / M P 0 R a Y T N O M D U w F z O 6 U S t 1 E S B M W Y 9 P f D e K p V R S X J V p 8 w w B e W c R I I p O o e / Z 9 d V 1 p Q Y n k 9 X G D g N f K c 3 L r o b v 5 / t d c t U y V J S t V o N X A e R M n E Q J o 3 0 y u 3 r O f L f B M W A n w A B P r z N n T h A W k 2 9 v a 6 O 9 / 8 U v a v X u n z B f Y 3 9 c v 0 e 4 3 b 9 6 W K a A x S v j O X R V t g Y 5 j b E u Z K P X 1 9 d I B i o 5 o x A w + e / q M f v i j H 4 j N c u 3 q D Z E w i T w A W Z 3 j C r E M D T q B M d M S i A f C g D h 2 h 4 M G J t O 0 9 0 k 5 I d 1 6 V L D D 7 I B g e J L h V G I 5 B Q o e G / w D K S R W D 8 k k D m w r f T 5 x X S S V t Q 8 p h X v M u p j X f 9 d f v F Z P n m f s 3 d p K l 7 v V j D u J F s T K N G u r Y T 8 G D r e E 6 N G A n z 5 o C F F D e Y 7 F l A 1 Q 8 y 5 f v k r H j h 2 m N 2 8 G W S X s p 5 / 8 5 A + s q + m B s U i h c E Q k C d T B f / r V r + m n P / s j I R H e C y 5 7 M 5 4 R w H m z o R k d Y S l X V 8 / n Y 0 J u f B c 6 W t O F F i E / T c 9 f O t h / D w D R U q 1 V 5 T T l W 7 6 B Z z R J E Z c 4 1 r 5 y N s R Y c 4 C 9 p J w P a g u 7 C d M E s D 3 F E j s W D b M a F q U P z + 6 y v j m / K J j K 1 z c 8 K o V o L 8 h M o Z a d J J F y + Q Y c F J i j 4 u H D J 9 T e 3 k q B i m o p W I w h A j C 9 m V 6 0 T G P o / a B s H / B n Q J i 6 u j r x v v 3 s j 3 8 a f 2 d s z Y h v D a h h J r T j w Z x M c 7 U 4 P c T l Y U 6 I T O A 0 c j i X u Q q P 2 n q Q R C b H p M i l b C a L a D o Z x M O W / 1 B 9 X U V S X c x n K k j o E d L C 0 g K 3 o A l C r Z V c 6 y 2 s T A D C f H P h i n j y 0 B q O T y / K k A x t + y A C 3 J y Q H 1 K p Y U t i D e B U b m d 8 l 8 f 4 n A b i 6 n B N A 6 5 t A H 1 F W L U j E 8 D 2 m Z p 2 D i O y A 5 5 G 8 / c A + 7 z n G t / 0 F M n M R R q Y 8 X W 1 y V u i 6 3 C T g w C K H M n k Y Y b I V q l z + p q R Q C C k + D l 9 H K P O z i 2 O d T I f q T C W m p V g C z s R K R t i + b L 3 N m e N a D R G + / f v Y Z t q P 5 V X B O n I 8 d P i p I A X E G O q f v 7 z v x e 7 S X U A L 8 v Q D M z H 0 N / X J y t + p A I + j z A o J 4 B E 2 g b S Q z 0 Q G Z 9 N M C 2 m m c Z C 1 H q N L X N Q o w m v T 0 3 0 Y k K v 3 m E C Q 2 g Q U x k 2 h m p g 4 Y A p Y z n Q X A P U T S a F 3 u c E r 5 R 5 3 i K M S S Q 0 F O h 3 k i 2 u c V L v m q i H + U z 5 y x k H 4 L 3 w c q s R a C 2 S K 5 f A v B c B l k Z w f Q N u n 1 r A D H N e n D x 1 g v 7 k T 3 4 m r n M 4 G r A Y N C o + 5 m M Y e D + U c l 6 M 0 d E x m p 1 l K Z d C e i E q 3 c m d P T 6 a W X w e 7 C 5 U I i w c o J e 7 s X v z 4 F 6 X d X V Z g s D G 0 B g d d p 6 + 7 Q H b r C Y + 6 l A E x S D Q / E C R g v / E U 5 w o F j k U Y X A O x 3 q L c 1 p 6 Y W u d 5 3 N 6 1 d 1 C o W A 2 F F K p 6 y 3 r m E p C r Z U 0 T s t T 5 h p 4 N k R I g P x j 8 5 6 k V c 7 h Q r 9 4 4 b K 4 z u F g 0 U v V Q F r p V T / s Q G y c j 6 X C 1 q 3 J K / 1 l g m C K 6 H G o a J B A s I e Q 4 M S w E 0 i v 5 r G 4 O M / P h 5 U R F 0 X i w Q s 5 O 6 P 6 m z B 0 v 8 y a Q d a c 3 A W O C P s M r 3 r Z m Z x M 7 u + A h A T C R h F J E 0 O d V y m h 9 u G a c U 7 I p h P 6 6 m L U 0 V G / o h 7 m M x X M b R 7 / Z 9 l R Z s o G N k 0 l b 8 C o 2 8 e P n 1 B N a V h s A h A Z B E K C K g g b C k 4 H z M M + N z d P N 2 / e o q Y m 5 8 5 D j B B O N c 3 Z a t A k w X I 2 q D h Y 9 h O A P Q e H B a 6 n 6 l f C b L M y 8 N C L U K M i k a I a R c V F k v c Y u g 8 b D s D k L o g o 7 7 a W H T L R W Z d w t / N j 5 B x C D p F Q 2 H I S w i Q S x t X J N U 7 8 J 0 E c P l Z S y 9 x X H k A c b 2 2 t M 2 t f 3 v 8 V V O U D 4 A V x I t J q x x q L 4 c I 8 M l z I I B W 8 c l j L 6 N W E V y o u J B H 6 p B B d A Y B Y I P n + / X v l 2 A k f 7 N k t D g Y E 3 p p j s j K B q k w x V i s D k i d Y 9 j M b g C x O 7 n A M R n T C r e 4 p e V c 7 + D E E G G m d O y S T R k s b l R I k i S c t j f i 8 l l J C I O u 6 3 t f X + Q M p 6 1 G + U F C V D 8 n v V U P i g b W 8 7 E z m U T t r B o x x P x N l c l J F N g A T 8 2 p N 3 e n p a d q 6 f Z e K n m C y o f B g s 6 S b g Q n 3 4 b O Q a M p A z h z 4 f f n d q U l x r z u 5 3 d M B 6 m a m w A r s 8 2 7 n g Z w 9 o 1 6 u p L R i p P W 6 Y J E 0 i U T Y J h F L J 4 s 4 D g T C O d n X y T p X F m A b 0 K p 3 h U p c u g 5 n 8 5 i K 3 e P 8 d 1 k q C S q L T k 5 w O r 8 U y Z + E g l o 3 M O W R 5 S p v v Q 3 Q Y u V B + v J F k a x M j m E L s C v e u g 5 Q Z X k x S 1 q 3 e O 0 y m e a 5 p a V F n B E I R c K k m 2 s B Y v Y g V d I t Q e O E d N M x a 2 C 8 E h Y + m 1 p I n 7 e 5 D o 4 F n + J k E S I Y x N F J E 4 S v a a e D n T h x M v G x 7 v D l P 3 T q 9 B 7 + h e T 6 l + 9 U s H 6 o p I Q / n E F 2 p C K W i f H 5 1 e 9 Z K 7 B K x F N r v v W F i I e C D R 2 s L v m E Y F g a E 0 A r j U y r D F b Q 3 G x i R c N M 0 d 6 + l X 7 3 u y + s o 8 z w 5 M k T 6 n / 1 i k Z H R + I O h P U A T 9 z 9 b o 7 u v / V J I / G 1 b V 2 n / M M m e e I S S R O D 9 / m c 8 t a p f T m v t 3 x O k y g u p Q w y i Q e T j 6 W u F T g V X O V D K i t C K 6 v C X 8 y U C U Z m n Q 3 w 9 Y L L K O V c c / a z i 2 G X u M C D V c G 0 k d t O w N x 7 r Q 7 e P o Q 7 I b j 1 m 6 8 v S g z g v X v 3 q b / / F d 2 6 d V u k z L b 2 d h k E C K l 4 9 8 5 d 8 d i l g 6 5 o d q B f 6 Y u u I n o 1 W 0 2 j W Y 5 t y g X i B B G y K H I k t p p E F k m s d 4 h L J t k H m e D B S 0 g s v G u C Y I p M T U 1 V j n U v 3 6 n g K h + S 3 8 N 2 F O 9 p U p l Y 7 R j g f M s J Z p d c 1 D / u k Q W Z s f p e p n P N 3 X 4 + S h P j E z K s P l v M z c / T 0 P u h + D B 8 A J U C Y 6 1 u X L 9 F H 5 4 7 I + o w h o l g 0 O P x 4 8 d k h i Y A X j 3 0 c 8 3 P L 6 b s z 9 J A v p n L 2 E D C Y t F w R D 5 I n j r k a 6 G A B k o R x E 4 q a 1 + I Z J 2 L E 8 U 6 b 5 F J n 9 f n Q C R F N D 5 e j t K + / R 3 8 K 3 j H w q a N U f k 4 m b a 5 E 2 n S o X t 0 / R 2 L c y E X P X 3 v Y 2 P b J / v Z I F T c T D u P f c 8 6 y g 4 I Z / r 4 4 4 9 o e H h U + p E g c T C s Y 2 x s g s 5 + e I Y u X b o i F Q Y e x V S L I O z b v 4 d + / e v f y O d 1 N A T X K 8 F i W M l T n a e w C 6 H W Y f H p f g f v X S G B 9 + I / V q X H F s Q w j l e o d A k p h K T 2 1 b U Y k 0 Z L J i 2 d N L l 0 H d u Q d P v l g L O e U w A M T g Y 5 g + C i Q K a q D E c C 9 F b D f m w u / Z 8 N 4 M H D C n q Z T G W W D n B S F H H 9 P L F 1 b W 5 H v A / G X T 1 4 8 I h K W N o s h U J C t P n 5 B c J A x N X 6 r Z A d k z N z d K 0 n T P 6 y h C t 9 S z m 3 z o 1 h 6 h v 3 U u / o x h L I h C 7 b Z D J h 3 y I C H w t h r H O a J G q r y W N t Z d E 5 3 o + i U x s j d N X o X G y X o 2 E 6 f / 4 A B Q K 5 d a B k i g 2 x o X R y S 6 B r j v S 3 V R B i 1 f o F q z y X + 4 r W T S Y A x E Q k A c Z o r R X v 3 g 3 Q h y y V E M 6 E L Y C R w f f v P Z D + L g x M T D U P + 8 C 0 h + 4 O 1 S S R C Y D K 8 X r y W 0 Q m h 2 t x i S P n m E B W k n O i 1 l l S y r p H 3 Q + H B L o U l i l Q x m Q y 6 l k h 0 4 b Y U D o 1 B K c l c / i P S j i b Q v 2 z n 3 8 z u b p B D X W H t Q b 5 6 g f v / P S a V R 7 r Z 3 I G 2 F / Z A M 6 H X / 3 q 1 7 L q I h w a i A e E z a S d G 3 j P 8 y y p o M p h c Y S n T 5 + t 6 A y G i x u r P z q 9 C 4 j W W B E h d 2 x t E j x n 4 I f T B N H E i O / H y c L H S a T Q 1 9 T n 4 q S x V E F F L J w H e X A N U s r a y n 0 x O n 0 G H e z J 9 a y Q y X W n b z D H V S w 7 v B s r k 0 o P b u s H Q W a a W w 3 z G G s N n W p P r W 7 B E 4 f V E Z O / I f c o 9 i 3 L s 2 C V 8 1 R A x + 7 V K 9 e o p b W F B g b f 0 4 n j R 6 W T F x K q s b G R C Y X C c A Y + i 8 k 4 E c U u k R p R F 1 3 s d S Y x 1 N D a Q J R a g r A j X C t W M c k F T F U 7 3 c B D V V a K G J J A C p N U c g 5 b E M I 6 Z 5 F G k Q V b J g q u x 0 m j p J B 0 q I u K p 1 U + D C R k d S 8 W o Z / 8 R E n 6 j c K G q n x I 1 e U Y w a s y F g U A 4 J J s b V L J P F 5 t r S F 0 V u a b T A D q z d h 8 e h X y Z e 9 L W c 9 q 2 7 Z 2 O n v m l J A J g H p 3 + / Z t J s w 9 O b Y D i 3 h f u n i Z S b d F y I T f S k U m u P w / 7 F i i D x o i V F 4 E 7 2 n u 3 7 4 k 4 z V y c R 9 I Y i W L O G n J h H 1 s h U j 6 W N 9 n e e 9 4 P 0 4 0 2 V c E 0 + d a m m v i 9 W q j 0 o a q f E g l R S H + m 8 j o b G i Q z s 2 d q Q t 8 v Y A t h c c e Z F X L C b C B I J W c V F k M E z l x 4 n j c U 2 f H 0 N A w 7 T + w T + Z h l + M 0 f X A Y + K d / A c + T r S q a C a R 4 D J y 2 a w g g A J K o a D q p c n U i U + I c p / g 5 k 1 i a O I o 8 i a S v q Y R 9 k O 7 w 0 d 3 8 E K p e b V R a v 3 W e A 9 R X h b k w d C Z y s s 4 D 6 a Q U + l R S o c x f G G e H R i r n B P q L 0 i 3 G D f U F E 7 v Y g U q D v i h 4 + 7 q 7 e 2 h 4 e I Q W 0 0 j l + r L E + + Z r v B L U W x M m a V e Q x i L H C t I g 8 T 4 k k x D D O q + l k S K L J h E S C G N 9 z k o J I u n 9 C L W 3 Z R c 0 n C / k f c G 1 T F K x H z o / M h 4 t D W c a J w W c s z W L D J N U q U a P Y u U S 2 B S F w m S K O D h 0 x r 5 + / c Y 6 W g m 8 H 1 Q / R E V c v X p N h o e A Q B i Q i I l i o O p 1 d u 6 g 3 t 5 e a i i d o T 2 s 0 m l g z k I N d E z D p k E a z l M 0 i a n y w T 7 V k D I C I a z y 0 s 4 D X Z a m p J J r s q + v W f c K O R L 3 K K l j X b c I J E n s J + z j v L K j + C Y 6 e L h z R b 3 a i L T h K p 9 O b Y 0 2 K c X 7 6 a B J N Z h i J Q 9 4 + K C O F Q p H W 1 c 6 J d 5 a z 3 b 6 9 C l 6 3 v V C 9 u 0 Y H B y k d + 8 G a c u W B j p z 5 r R M W Q Z b C 9 M 6 w 5 V + 8 8 Y t q W T 4 D r j T G y v C 0 l g A + R r o 5 4 S z 2 5 Z o z 5 b E J D B Y v R + I k 8 l M V v m Z U k i 8 c 1 K + + j 5 V z g k y g U D Y t y S P f F 4 l d V 0 n R T T t l E A j f P b s A X 4 S V Y 8 2 O j k 3 q x s E + P n M l g m Z j 8 d M B 1 1 p 7 b j 3 L v c e r n T g R 0 0 C B u r 1 j 6 n + I H j x O p g k i I q w o 7 W 1 V W a v 1 a F E r a 0 t S f G B 6 K P 6 + q u v Z f / U 6 Z M y 7 / r p l t y v E b w a k J + 6 L E C m 6 h K L A J o o 8 T L D v i K J n N P X 4 9 f U V s h h 3 W e S y S S R I p c 6 h 2 m W E 1 K K y W T t u 5 h Q d f W J F S I 3 G h s W e u S U t j V D K u m M 5 c S Z h c J I B S 2 l I I 3 s K C u y 1 f A 8 4 2 J v M X U N K 9 v l Q m + R p E W W k I h Y 4 L o i / U 0 P H z x O 6 Y B I h 6 1 W L B / e F 7 F 9 1 6 9 f p 8 8 6 1 7 Z W 1 l o B G 3 G R B d T j Q S 8 V e 2 M 0 N u d i F T B K e x u W K F i s y W U R R p J F K p 3 0 e d 5 P E F C V 8 0 o y J f Z V 0 s f q f p F M v E X 6 o 5 + d d 6 x L G 5 U w K I n 3 N k 8 K l E C D U J l q F k g q o J I h + s G O o D E P R C G A O Q P R 2 Q w b B t L J x P S S U g Q w 2 x C I l S 0 w 2 a V e Y g c 4 d u y Y z L 5 0 t P 5 9 f O K U f A O V / t J L P + 2 s C 8 n + 1 m C Y 9 t Q v y a J 4 h 5 o w 3 z q X k x D D I B K O h T z q n J D C I p U + V t c U Y c z z c f I g a e m E r b G P l T 1 g Y 9 r r 0 E a m J J W v H M F p D E + a j s Z 8 o 7 G O n 8 t q w e K Z B 0 n F W z 5 p 3 Z U M V G D z 0 t C M R 4 J B N w s G p t w S 7 V B e r o a x Z w s s U j A w M C h D 6 I G y s g D t 2 7 9 X K h 8 m T v l k R 7 5 J Z W U u b + B Z / X 2 X n 3 z u G N 1 8 5 W N J R f T l C x 9 1 1 I S o k 9 P 5 7 f N C E h B H k i a I Q S Q p W 2 t r k i m Z S L x v d O g m k Y k T L U f o j / 7 4 U / V c m w j u L / / 2 f 9 N f / t c / F 4 L 9 j 7 / 6 S 7 r y 6 5 9 T O f P q 5 u 9 + R e O v u + k X f / 3 f r V s L h 8 5 2 j 5 X x l m j n j F Q Z z l s u B D v w 7 P B y g V R X W V p p t 3 F p x h 2 R + Q W W Q c V I 3 f 3 7 9 1 t n s g e c F J i p S A O R 6 G G W X K h 4 H j d I l Y 9 Q I 0 g Y S B A l a R B 3 + c n 2 B U 7 z r N 6 6 h S T h 8 D K d a V 9 k e 9 F N L / j c A g t S T R B N n s S + c l L o 6 3 o / k T R h n P Y R C c F b t p + I 9 8 + f P 6 I e c Z P B f e X S h f g 0 v y i k l 9 0 9 v M c F 9 I c / p V v X r l J F V Q E W q X J I J a z F J W e 6 z l x V G N J c x s E f Y I B U W P V Q A 5 4 3 P f V V P p H 4 R W d M L 7 r p 0 K G D s n D A W g G n h a g 3 D M Q D o n L C H a 8 l n v b 8 5 Q p C J E m K C E h R J t a j A Q 8 9 G P C S l y W U l A 9 f v 9 z r o 3 A E Y U 8 R u v u W W + P 4 Z 9 Q 9 6 j u s s r P O a Y m l y l O R R + 7 V x 9 K I K g I l J J M K L 8 K 7 1 j V U r 6 g z m y J 1 D 4 0 v z y E U 2 w F D P U 9 o d H i Y 9 p 7 5 x D p T W D z r W e S M t w b K c Z J 5 K G Q u C i u x a h o f R I c C V H u s j q j Z e X T c W b q Y s 0 K h p T J C u + r D 4 g a H 5 y 4 V U M G w Z G n 7 t j Y K L Y W p q N g v M 8 p i m M f 5 8 + f o D Z O o q b m J V c A B O b 9 n D + Z N U I A n b m y N Q 9 l B A B N y L H m q t s G S K E 3 M u b g 8 c J 8 i 2 O m 2 R f K 4 Y n S h 1 0 8 B X 4 x m W f O s L 4 v Q 4 B R U c J N Q y f u K W C A I n x e i g F g J L Q S d 3 T g f j 9 n D P U I s L J 4 W p X / 9 p 9 9 X D 7 k J 4 b r / Z i Q 5 J z c R 4 L 1 7 3 s O t M c u A Z C K Z W 0 U q t A 5 S 1 h Z g s J 7 f r m y L / n G v z N q T S x S z 5 I O c x A Q u m Q I E x / p R W E g A z 4 2 B j V h M T g O S B 4 G w Z 8 + e t s 4 k A 5 2 + s 3 N z V G U t 8 v b i R b d 0 + m o p 9 X L M K 2 k t E A L F t 4 o w y F B F B k 4 W s f R x m T 9 K R 5 q X a H T W R U + H v F z R l y n C y c 0 E i 0 T 5 n i Q i W a 7 z J K l k S q m V Z F L 7 l n S S L Y g V o R / 9 6 A x V V D o P v M w X v v n 9 b + i D f Q f o 1 c t e q g x W W a t Q V l J t f T 3 1 9 X T T i b P n 5 L 6 H d 2 5 t r n 4 o O y D a / T 6 0 d i q z d U s W L 5 C k / U T F B O C o 0 L Z U e 3 X q N Z H W A v h s t l Z F W c 3 J n E z A r d d q q A Y q G i Q J Q n f s H k p z f j 8 7 O R B U q 8 k E 4 L 1 N N F U 6 a x r p o Q j C f 1 S F t y q 5 5 K m c W 6 a 2 K k g G k A R J 3 e N l 4 n z d 4 6 f q 0 g j b q l E 6 1 L w o 1 y K s + n 3 Y D p V U 3 S d l J r a w 9 Z 3 W 5 x W Z F H F 0 u T q T y d r n c 1 U B d 8 H J h G f r e f 6 c + n t 7 Z M r q h 3 d v M 4 l e 0 M j Q e 1 Y 7 t 1 B P 1 3 P 6 m / / 1 P + m v / 9 t f 8 X u x h H r w d j S 5 J m 5 C P O 7 C C o K Q R E j K T e p y e 7 h i Q 0 p p C a W 2 c s 1 q s U F I b a x j S c t H g 7 n p 7 M X X I w w n 2 8 G F i L c 7 0 B S i r q 4 X t F S + j 4 a t g Y 5 Y A A G D L R E t f u 3 K N V n 0 D U A b c e N V 0 c o g V A s Y g N i 5 E y E 3 6 j l u M m F h r 6 0 G I Z B I H P m v y C Q H i k D q l N p H w p p c T 9 + j P 0 3 f A 1 I o l Q + 2 1 D d M L B z 7 e f / E V i w + t 0 y X 2 K 7 S H b e a W P I 5 v h Z v C K 3 z c m y R S d Q 8 O d a E Q g R N h H b W L N K h 7 / 1 U n m 3 z g u j / A e a z b B e 9 R 3 r 3 A A A A A E l F T k S u Q m C C < / I m a g e > < / T o u r > < / T o u r s > < / V i s u a l i z a t i o n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7751F3-0EEE-465A-B333-73006803A48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924717-C930-4D8A-9111-4DC402FD14A3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96B92725-F065-462A-B8EE-221B09C7F73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Tablasdinamicas</vt:lpstr>
      <vt:lpstr>Dashboard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Janet Martinez Gil</cp:lastModifiedBy>
  <dcterms:created xsi:type="dcterms:W3CDTF">2021-06-24T20:15:17Z</dcterms:created>
  <dcterms:modified xsi:type="dcterms:W3CDTF">2021-06-26T01:01:35Z</dcterms:modified>
</cp:coreProperties>
</file>