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01.Educación\03.MMA\01.Extracurricular\03.Hackathons and Business cases\03.Duke University's Energy in Emerging Markets Case Competition\04.Round three deliverables\"/>
    </mc:Choice>
  </mc:AlternateContent>
  <xr:revisionPtr revIDLastSave="0" documentId="8_{40BC8AE1-4549-4D9D-88A9-B3744AEACF0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nventory Cost" sheetId="1" r:id="rId1"/>
    <sheet name="B2B Demand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1" l="1"/>
  <c r="B48" i="1" l="1"/>
  <c r="D56" i="1"/>
  <c r="E56" i="1"/>
  <c r="F56" i="1" s="1"/>
  <c r="G56" i="1" s="1"/>
  <c r="H56" i="1" s="1"/>
  <c r="C56" i="1"/>
  <c r="B56" i="1"/>
  <c r="C51" i="1"/>
  <c r="D51" i="1"/>
  <c r="E51" i="1"/>
  <c r="F51" i="1"/>
  <c r="G51" i="1"/>
  <c r="H51" i="1"/>
  <c r="C50" i="1" l="1"/>
  <c r="D50" i="1" s="1"/>
  <c r="E50" i="1" s="1"/>
  <c r="F50" i="1" s="1"/>
  <c r="G50" i="1" s="1"/>
  <c r="H50" i="1" s="1"/>
  <c r="C49" i="1"/>
  <c r="D49" i="1" s="1"/>
  <c r="E49" i="1" s="1"/>
  <c r="F49" i="1" s="1"/>
  <c r="G49" i="1" s="1"/>
  <c r="H49" i="1" s="1"/>
  <c r="C48" i="1"/>
  <c r="D48" i="1" s="1"/>
  <c r="E48" i="1" s="1"/>
  <c r="F48" i="1" s="1"/>
  <c r="G48" i="1" s="1"/>
  <c r="H48" i="1" s="1"/>
  <c r="B50" i="1"/>
  <c r="B49" i="1"/>
  <c r="I27" i="1"/>
  <c r="I26" i="1"/>
  <c r="I25" i="1"/>
  <c r="I24" i="1"/>
  <c r="D38" i="1"/>
  <c r="O3" i="4"/>
  <c r="N3" i="4"/>
  <c r="L3" i="4"/>
  <c r="M3" i="4"/>
  <c r="K3" i="4"/>
  <c r="O2" i="4"/>
  <c r="N2" i="4"/>
  <c r="M2" i="4"/>
  <c r="L2" i="4"/>
  <c r="K2" i="4"/>
  <c r="D36" i="1" l="1"/>
  <c r="E36" i="1" s="1"/>
  <c r="F36" i="1" s="1"/>
  <c r="D37" i="1"/>
  <c r="E37" i="1" s="1"/>
  <c r="F37" i="1" s="1"/>
  <c r="E38" i="1"/>
  <c r="F38" i="1" s="1"/>
  <c r="D39" i="1"/>
  <c r="E39" i="1" s="1"/>
  <c r="F39" i="1" s="1"/>
  <c r="D40" i="1"/>
  <c r="E40" i="1" s="1"/>
  <c r="F40" i="1" s="1"/>
  <c r="D41" i="1"/>
  <c r="E41" i="1" s="1"/>
  <c r="F41" i="1" s="1"/>
  <c r="D35" i="1"/>
  <c r="E35" i="1" s="1"/>
  <c r="F35" i="1" s="1"/>
  <c r="H27" i="1" l="1"/>
  <c r="G27" i="1" s="1"/>
  <c r="H26" i="1"/>
  <c r="G26" i="1" s="1"/>
  <c r="H25" i="1"/>
  <c r="G25" i="1" s="1"/>
  <c r="H24" i="1"/>
  <c r="G24" i="1" s="1"/>
  <c r="D26" i="1"/>
  <c r="D24" i="1"/>
  <c r="D25" i="1"/>
  <c r="J24" i="1"/>
  <c r="E24" i="1" s="1"/>
  <c r="J25" i="1"/>
  <c r="E25" i="1" s="1"/>
  <c r="J26" i="1"/>
  <c r="E26" i="1" s="1"/>
  <c r="J27" i="1"/>
  <c r="E27" i="1" s="1"/>
  <c r="J23" i="1"/>
  <c r="E23" i="1" s="1"/>
  <c r="J22" i="1"/>
  <c r="E22" i="1" s="1"/>
  <c r="H23" i="1"/>
  <c r="G23" i="1" s="1"/>
  <c r="H22" i="1"/>
  <c r="G22" i="1" s="1"/>
  <c r="I22" i="1"/>
  <c r="D22" i="1" s="1"/>
  <c r="I23" i="1"/>
  <c r="D23" i="1" s="1"/>
  <c r="D27" i="1" l="1"/>
</calcChain>
</file>

<file path=xl/sharedStrings.xml><?xml version="1.0" encoding="utf-8"?>
<sst xmlns="http://schemas.openxmlformats.org/spreadsheetml/2006/main" count="195" uniqueCount="101">
  <si>
    <t>Hodling cost for Zembo(1 battery)</t>
    <phoneticPr fontId="1" type="noConversion"/>
  </si>
  <si>
    <t>years</t>
    <phoneticPr fontId="1" type="noConversion"/>
  </si>
  <si>
    <t>Cost per Battery for Zembo and franchiser</t>
    <phoneticPr fontId="1" type="noConversion"/>
  </si>
  <si>
    <t>Price motorcycles to third party</t>
  </si>
  <si>
    <t>Warehouse Inventory Statement</t>
    <phoneticPr fontId="1" type="noConversion"/>
  </si>
  <si>
    <t>Item</t>
    <phoneticPr fontId="1" type="noConversion"/>
  </si>
  <si>
    <t>Item.ID</t>
    <phoneticPr fontId="1" type="noConversion"/>
  </si>
  <si>
    <t>VALUE</t>
    <phoneticPr fontId="1" type="noConversion"/>
  </si>
  <si>
    <t>(excluding shipping and holding cost)</t>
    <phoneticPr fontId="1" type="noConversion"/>
  </si>
  <si>
    <t>lower boundary</t>
    <phoneticPr fontId="1" type="noConversion"/>
  </si>
  <si>
    <t>Zembo Motorcycle</t>
    <phoneticPr fontId="1" type="noConversion"/>
  </si>
  <si>
    <t>Zembo Battery</t>
    <phoneticPr fontId="1" type="noConversion"/>
  </si>
  <si>
    <t>Fixed Cost</t>
    <phoneticPr fontId="1" type="noConversion"/>
  </si>
  <si>
    <t>Holding Cost</t>
    <phoneticPr fontId="1" type="noConversion"/>
  </si>
  <si>
    <t>Hodling cost for Zembo(1 Motorcycle)</t>
    <phoneticPr fontId="1" type="noConversion"/>
  </si>
  <si>
    <t>(economic scale of warehousing)</t>
    <phoneticPr fontId="1" type="noConversion"/>
  </si>
  <si>
    <t>Warehouse</t>
    <phoneticPr fontId="1" type="noConversion"/>
  </si>
  <si>
    <t>Kamapla</t>
    <phoneticPr fontId="1" type="noConversion"/>
  </si>
  <si>
    <t>Masaka</t>
  </si>
  <si>
    <t>Masaka</t>
    <phoneticPr fontId="1" type="noConversion"/>
  </si>
  <si>
    <t>Mbarara</t>
  </si>
  <si>
    <t>Mbarara</t>
    <phoneticPr fontId="1" type="noConversion"/>
  </si>
  <si>
    <t>Upper boundary</t>
    <phoneticPr fontId="1" type="noConversion"/>
  </si>
  <si>
    <t>Annual Rent for warehouse in Kampala</t>
    <phoneticPr fontId="1" type="noConversion"/>
  </si>
  <si>
    <t>Annual Rent for warehouse in Mbarara</t>
    <phoneticPr fontId="1" type="noConversion"/>
  </si>
  <si>
    <t>Annual Rent for warehouse in Masaka</t>
    <phoneticPr fontId="1" type="noConversion"/>
  </si>
  <si>
    <t>(reference:https://www.ugandapropertyagents.com/warehouses-for-rent/Bugolobi/)</t>
    <phoneticPr fontId="1" type="noConversion"/>
  </si>
  <si>
    <t>Area of one battery</t>
    <phoneticPr fontId="1" type="noConversion"/>
  </si>
  <si>
    <t>Area of one Motorcycle</t>
    <phoneticPr fontId="1" type="noConversion"/>
  </si>
  <si>
    <t>/month</t>
    <phoneticPr fontId="1" type="noConversion"/>
  </si>
  <si>
    <t>Shipping costs per battery (Kampala)</t>
    <phoneticPr fontId="1" type="noConversion"/>
  </si>
  <si>
    <t>(shipping from Kampala)</t>
    <phoneticPr fontId="1" type="noConversion"/>
  </si>
  <si>
    <t>life -period of Battery</t>
    <phoneticPr fontId="1" type="noConversion"/>
  </si>
  <si>
    <t>life -period of Motorcycle</t>
    <phoneticPr fontId="1" type="noConversion"/>
  </si>
  <si>
    <t>Kampala</t>
  </si>
  <si>
    <t>Medsap Africa Limited</t>
  </si>
  <si>
    <t>Eminent Pharmaceutical Distributors (EPD) Ltd</t>
  </si>
  <si>
    <t>DHL</t>
  </si>
  <si>
    <t>area of  warehouse Kampala</t>
    <phoneticPr fontId="1" type="noConversion"/>
  </si>
  <si>
    <t>area of  warehouse Masaka</t>
    <phoneticPr fontId="1" type="noConversion"/>
  </si>
  <si>
    <t>area of  warehouse Mbarara</t>
    <phoneticPr fontId="1" type="noConversion"/>
  </si>
  <si>
    <r>
      <t>m</t>
    </r>
    <r>
      <rPr>
        <vertAlign val="superscript"/>
        <sz val="11"/>
        <color theme="1"/>
        <rFont val="Arial"/>
        <family val="2"/>
      </rPr>
      <t>2</t>
    </r>
    <phoneticPr fontId="1" type="noConversion"/>
  </si>
  <si>
    <t>Daily Operating Cost</t>
    <phoneticPr fontId="1" type="noConversion"/>
  </si>
  <si>
    <t>City</t>
  </si>
  <si>
    <t>Project Last Mile</t>
  </si>
  <si>
    <t>FedEx</t>
  </si>
  <si>
    <t>Skynet</t>
  </si>
  <si>
    <t>Year</t>
  </si>
  <si>
    <t>Year 1</t>
  </si>
  <si>
    <t>Year 2</t>
  </si>
  <si>
    <t>Year 3</t>
  </si>
  <si>
    <t>Year 4</t>
  </si>
  <si>
    <t>Year 5</t>
  </si>
  <si>
    <t>Buwama</t>
  </si>
  <si>
    <t>Discount for first three years</t>
  </si>
  <si>
    <t>Mbirizi</t>
  </si>
  <si>
    <t>Bushenyi</t>
  </si>
  <si>
    <t>Ntungamo</t>
  </si>
  <si>
    <t>Groth Rate</t>
    <phoneticPr fontId="1" type="noConversion"/>
  </si>
  <si>
    <t>City</t>
    <phoneticPr fontId="1" type="noConversion"/>
  </si>
  <si>
    <t>Population</t>
    <phoneticPr fontId="1" type="noConversion"/>
  </si>
  <si>
    <r>
      <t>Area km</t>
    </r>
    <r>
      <rPr>
        <vertAlign val="superscript"/>
        <sz val="11"/>
        <color theme="1"/>
        <rFont val="Arial"/>
        <family val="2"/>
      </rPr>
      <t>2</t>
    </r>
    <phoneticPr fontId="1" type="noConversion"/>
  </si>
  <si>
    <t>Estimated Boda Boda Rider</t>
    <phoneticPr fontId="1" type="noConversion"/>
  </si>
  <si>
    <t>Current Quality((changeable)</t>
    <phoneticPr fontId="1" type="noConversion"/>
  </si>
  <si>
    <t>(1% of population work as boda rider)</t>
    <phoneticPr fontId="1" type="noConversion"/>
  </si>
  <si>
    <t>Eestimated number of station</t>
    <phoneticPr fontId="1" type="noConversion"/>
  </si>
  <si>
    <t>Number of servicing Customer per station</t>
    <phoneticPr fontId="1" type="noConversion"/>
  </si>
  <si>
    <t>Operating Battery Demand</t>
    <phoneticPr fontId="1" type="noConversion"/>
  </si>
  <si>
    <t>Battery Demand per Franchise</t>
    <phoneticPr fontId="1" type="noConversion"/>
  </si>
  <si>
    <t>Demand</t>
    <phoneticPr fontId="1" type="noConversion"/>
  </si>
  <si>
    <t>Revenue</t>
    <phoneticPr fontId="1" type="noConversion"/>
  </si>
  <si>
    <t>Cost Assumption</t>
    <phoneticPr fontId="1" type="noConversion"/>
  </si>
  <si>
    <t>(warehousing,utilities,opportunity cost: the experienced holidng cost in China is $2 per month, making assumption in Ugnda, the cost is only 50%)</t>
    <phoneticPr fontId="1" type="noConversion"/>
  </si>
  <si>
    <r>
      <t>/m</t>
    </r>
    <r>
      <rPr>
        <vertAlign val="superscript"/>
        <sz val="11"/>
        <color theme="1"/>
        <rFont val="Arial"/>
        <family val="2"/>
      </rPr>
      <t>2</t>
    </r>
    <phoneticPr fontId="1" type="noConversion"/>
  </si>
  <si>
    <t>https://www.ugandapropertyagents.com/warehouses-for-rent/Kampala/</t>
  </si>
  <si>
    <t>https://www.ugandapropertyagents.com/warehouses-for-rent/Kampala/</t>
    <phoneticPr fontId="1" type="noConversion"/>
  </si>
  <si>
    <t>Operating Assumption</t>
    <phoneticPr fontId="1" type="noConversion"/>
  </si>
  <si>
    <t>(first from China)</t>
    <phoneticPr fontId="1" type="noConversion"/>
  </si>
  <si>
    <t>Batteries ownership belong Franchiser</t>
    <phoneticPr fontId="1" type="noConversion"/>
  </si>
  <si>
    <t>Franchise Estimation(First Year)</t>
    <phoneticPr fontId="1" type="noConversion"/>
  </si>
  <si>
    <t>Year1</t>
    <phoneticPr fontId="1" type="noConversion"/>
  </si>
  <si>
    <t>Hodling cost for Franchiser(1 battery)</t>
    <phoneticPr fontId="1" type="noConversion"/>
  </si>
  <si>
    <t>(warehousing,utilities,opportunity cost: the experienced holidng cost in China is $4 per month, making assumption in Ugnda, the cost is only 50%)</t>
    <phoneticPr fontId="1" type="noConversion"/>
  </si>
  <si>
    <t>Year2</t>
    <phoneticPr fontId="1" type="noConversion"/>
  </si>
  <si>
    <t>Year3</t>
  </si>
  <si>
    <t>Year4</t>
  </si>
  <si>
    <t>Year5</t>
  </si>
  <si>
    <t>Year6</t>
  </si>
  <si>
    <t>Year7</t>
  </si>
  <si>
    <t>Kampala</t>
    <phoneticPr fontId="1" type="noConversion"/>
  </si>
  <si>
    <t>Masaka</t>
    <phoneticPr fontId="1" type="noConversion"/>
  </si>
  <si>
    <t>Mbarara</t>
    <phoneticPr fontId="1" type="noConversion"/>
  </si>
  <si>
    <t>Shipping costs per battery (From Kampala toMasaka)</t>
    <phoneticPr fontId="1" type="noConversion"/>
  </si>
  <si>
    <t>Shipping costs per battery (From Kamapla to Mbarara)</t>
    <phoneticPr fontId="1" type="noConversion"/>
  </si>
  <si>
    <t>Shipping costs per Motorcycle (From Kampala to Masaka)</t>
    <phoneticPr fontId="1" type="noConversion"/>
  </si>
  <si>
    <t>Shipping costs per Motorcycle (From Kampala to Mbarara)</t>
    <phoneticPr fontId="1" type="noConversion"/>
  </si>
  <si>
    <t>Inflation Rate</t>
    <phoneticPr fontId="1" type="noConversion"/>
  </si>
  <si>
    <t>SUM</t>
    <phoneticPr fontId="1" type="noConversion"/>
  </si>
  <si>
    <t>Cost of Warehouse and Inventory(For Zembo)</t>
    <phoneticPr fontId="1" type="noConversion"/>
  </si>
  <si>
    <t>Cost of Invenroty holding for Franchiser</t>
    <phoneticPr fontId="1" type="noConversion"/>
  </si>
  <si>
    <t>Holding cost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</si>
</sst>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\$#,##0_);[Red]\(\$#,##0\)"/>
    <numFmt numFmtId="165" formatCode="\$#,##0.00_);[Red]\(\$#,##0.00\)"/>
    <numFmt numFmtId="166" formatCode="\$#,##0.00;\-\$#,##0.00"/>
  </numFmts>
  <fonts count="10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vertAlign val="superscript"/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27">
    <xf numFmtId="0" fontId="0" fillId="0" borderId="0" xfId="0"/>
    <xf numFmtId="0" fontId="7" fillId="0" borderId="0" xfId="0" applyFont="1"/>
    <xf numFmtId="165" fontId="7" fillId="0" borderId="0" xfId="0" applyNumberFormat="1" applyFont="1"/>
    <xf numFmtId="0" fontId="7" fillId="0" borderId="0" xfId="0" applyFont="1" applyAlignment="1">
      <alignment horizontal="center"/>
    </xf>
    <xf numFmtId="3" fontId="7" fillId="0" borderId="0" xfId="0" applyNumberFormat="1" applyFont="1"/>
    <xf numFmtId="0" fontId="3" fillId="0" borderId="1" xfId="0" applyFont="1" applyBorder="1" applyAlignment="1">
      <alignment horizontal="center" vertical="top"/>
    </xf>
    <xf numFmtId="0" fontId="0" fillId="0" borderId="1" xfId="0" applyBorder="1"/>
    <xf numFmtId="0" fontId="4" fillId="0" borderId="0" xfId="0" applyFont="1"/>
    <xf numFmtId="9" fontId="5" fillId="0" borderId="0" xfId="2" applyFont="1"/>
    <xf numFmtId="166" fontId="0" fillId="0" borderId="1" xfId="0" applyNumberFormat="1" applyBorder="1"/>
    <xf numFmtId="165" fontId="7" fillId="5" borderId="0" xfId="0" applyNumberFormat="1" applyFont="1" applyFill="1"/>
    <xf numFmtId="164" fontId="7" fillId="5" borderId="0" xfId="0" applyNumberFormat="1" applyFont="1" applyFill="1"/>
    <xf numFmtId="0" fontId="7" fillId="6" borderId="0" xfId="0" applyFont="1" applyFill="1"/>
    <xf numFmtId="0" fontId="9" fillId="6" borderId="0" xfId="4" applyFill="1"/>
    <xf numFmtId="9" fontId="7" fillId="5" borderId="0" xfId="0" applyNumberFormat="1" applyFont="1" applyFill="1"/>
    <xf numFmtId="0" fontId="7" fillId="5" borderId="0" xfId="0" applyFont="1" applyFill="1"/>
    <xf numFmtId="3" fontId="7" fillId="5" borderId="0" xfId="0" applyNumberFormat="1" applyFont="1" applyFill="1"/>
    <xf numFmtId="0" fontId="7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7" fillId="0" borderId="0" xfId="0" applyFont="1"/>
    <xf numFmtId="0" fontId="0" fillId="0" borderId="0" xfId="0"/>
    <xf numFmtId="0" fontId="7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</cellXfs>
  <cellStyles count="5">
    <cellStyle name="Currency 2" xfId="1" xr:uid="{C7DFE130-F7A1-40FB-9E94-D157442F3B05}"/>
    <cellStyle name="Hyperlink" xfId="4" builtinId="8"/>
    <cellStyle name="Moneda 2" xfId="3" xr:uid="{1F5CE971-B794-4FD0-92BF-05C1BF4CB936}"/>
    <cellStyle name="Normal" xfId="0" builtinId="0"/>
    <cellStyle name="Percent 2" xfId="2" xr:uid="{2F05591B-E1C3-4133-9312-40A09A50CF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gandapropertyagents.com/warehouses-for-rent/Kampala/" TargetMode="External"/><Relationship Id="rId1" Type="http://schemas.openxmlformats.org/officeDocument/2006/relationships/hyperlink" Target="https://www.ugandapropertyagents.com/warehouses-for-rent/Kampa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56"/>
  <sheetViews>
    <sheetView tabSelected="1" topLeftCell="A39" zoomScale="83" zoomScaleNormal="83" workbookViewId="0">
      <selection activeCell="A52" sqref="A52:H52"/>
    </sheetView>
  </sheetViews>
  <sheetFormatPr defaultColWidth="9" defaultRowHeight="14.25"/>
  <cols>
    <col min="1" max="1" width="55.85546875" style="1" bestFit="1" customWidth="1"/>
    <col min="2" max="3" width="13.85546875" style="1" bestFit="1" customWidth="1"/>
    <col min="4" max="4" width="35" style="1" bestFit="1" customWidth="1"/>
    <col min="5" max="5" width="26.85546875" style="1" bestFit="1" customWidth="1"/>
    <col min="6" max="6" width="39.5703125" style="1" bestFit="1" customWidth="1"/>
    <col min="7" max="7" width="15" style="1" bestFit="1" customWidth="1"/>
    <col min="8" max="8" width="15.7109375" style="1" bestFit="1" customWidth="1"/>
    <col min="9" max="9" width="12.140625" style="1" bestFit="1" customWidth="1"/>
    <col min="10" max="10" width="19.42578125" style="1" bestFit="1" customWidth="1"/>
    <col min="11" max="16384" width="9" style="1"/>
  </cols>
  <sheetData>
    <row r="2" spans="1:9">
      <c r="A2" s="1" t="s">
        <v>78</v>
      </c>
    </row>
    <row r="4" spans="1:9" ht="15">
      <c r="A4" s="25" t="s">
        <v>71</v>
      </c>
      <c r="B4" s="26"/>
      <c r="C4" s="26"/>
      <c r="D4" s="26"/>
      <c r="F4" s="25" t="s">
        <v>76</v>
      </c>
      <c r="G4" s="26"/>
      <c r="H4" s="26"/>
      <c r="I4" s="26"/>
    </row>
    <row r="5" spans="1:9">
      <c r="A5" s="12" t="s">
        <v>0</v>
      </c>
      <c r="B5" s="10">
        <v>1</v>
      </c>
      <c r="C5" s="12" t="s">
        <v>29</v>
      </c>
      <c r="D5" s="12" t="s">
        <v>72</v>
      </c>
      <c r="F5" s="12" t="s">
        <v>58</v>
      </c>
      <c r="G5" s="14">
        <v>0.1</v>
      </c>
      <c r="H5" s="12"/>
      <c r="I5" s="12"/>
    </row>
    <row r="6" spans="1:9">
      <c r="A6" s="12" t="s">
        <v>81</v>
      </c>
      <c r="B6" s="10">
        <v>2</v>
      </c>
      <c r="C6" s="12" t="s">
        <v>29</v>
      </c>
      <c r="D6" s="12" t="s">
        <v>82</v>
      </c>
      <c r="F6" s="12" t="s">
        <v>96</v>
      </c>
      <c r="G6" s="14">
        <v>0.05</v>
      </c>
    </row>
    <row r="7" spans="1:9">
      <c r="A7" s="12" t="s">
        <v>2</v>
      </c>
      <c r="B7" s="10">
        <v>500</v>
      </c>
      <c r="C7" s="12"/>
      <c r="D7" s="12" t="s">
        <v>8</v>
      </c>
      <c r="F7" s="12" t="s">
        <v>33</v>
      </c>
      <c r="G7" s="15">
        <v>8</v>
      </c>
      <c r="H7" s="12" t="s">
        <v>1</v>
      </c>
      <c r="I7" s="12"/>
    </row>
    <row r="8" spans="1:9">
      <c r="A8" s="12" t="s">
        <v>14</v>
      </c>
      <c r="B8" s="10">
        <v>4</v>
      </c>
      <c r="C8" s="12" t="s">
        <v>29</v>
      </c>
      <c r="D8" s="12" t="s">
        <v>15</v>
      </c>
      <c r="F8" s="12" t="s">
        <v>32</v>
      </c>
      <c r="G8" s="15">
        <v>4</v>
      </c>
      <c r="H8" s="12" t="s">
        <v>1</v>
      </c>
      <c r="I8" s="12"/>
    </row>
    <row r="9" spans="1:9" ht="16.5">
      <c r="A9" s="12" t="s">
        <v>92</v>
      </c>
      <c r="B9" s="10">
        <v>2</v>
      </c>
      <c r="C9" s="12"/>
      <c r="D9" s="12" t="s">
        <v>31</v>
      </c>
      <c r="F9" s="12" t="s">
        <v>38</v>
      </c>
      <c r="G9" s="16">
        <v>1000</v>
      </c>
      <c r="H9" s="12" t="s">
        <v>41</v>
      </c>
      <c r="I9" s="12"/>
    </row>
    <row r="10" spans="1:9" ht="16.5">
      <c r="A10" s="12" t="s">
        <v>93</v>
      </c>
      <c r="B10" s="10">
        <v>4</v>
      </c>
      <c r="C10" s="12"/>
      <c r="D10" s="12"/>
      <c r="F10" s="12" t="s">
        <v>39</v>
      </c>
      <c r="G10" s="16">
        <v>500</v>
      </c>
      <c r="H10" s="12" t="s">
        <v>41</v>
      </c>
      <c r="I10" s="12"/>
    </row>
    <row r="11" spans="1:9" ht="16.5">
      <c r="A11" s="12" t="s">
        <v>30</v>
      </c>
      <c r="B11" s="10">
        <v>33.33</v>
      </c>
      <c r="C11" s="12"/>
      <c r="D11" s="12" t="s">
        <v>77</v>
      </c>
      <c r="F11" s="12" t="s">
        <v>40</v>
      </c>
      <c r="G11" s="16">
        <v>500</v>
      </c>
      <c r="H11" s="12" t="s">
        <v>41</v>
      </c>
      <c r="I11" s="12"/>
    </row>
    <row r="12" spans="1:9" ht="16.5">
      <c r="A12" s="12" t="s">
        <v>94</v>
      </c>
      <c r="B12" s="10">
        <v>4</v>
      </c>
      <c r="C12" s="12"/>
      <c r="D12" s="12"/>
      <c r="F12" s="12" t="s">
        <v>27</v>
      </c>
      <c r="G12" s="15">
        <v>0.5</v>
      </c>
      <c r="H12" s="12" t="s">
        <v>41</v>
      </c>
      <c r="I12" s="12" t="s">
        <v>26</v>
      </c>
    </row>
    <row r="13" spans="1:9" ht="16.5">
      <c r="A13" s="12" t="s">
        <v>95</v>
      </c>
      <c r="B13" s="10">
        <v>8</v>
      </c>
      <c r="C13" s="12"/>
      <c r="D13" s="12"/>
      <c r="F13" s="12" t="s">
        <v>28</v>
      </c>
      <c r="G13" s="15">
        <v>1.5</v>
      </c>
      <c r="H13" s="12" t="s">
        <v>41</v>
      </c>
      <c r="I13" s="12"/>
    </row>
    <row r="14" spans="1:9">
      <c r="A14" s="12" t="s">
        <v>3</v>
      </c>
      <c r="B14" s="10">
        <v>1394</v>
      </c>
      <c r="C14" s="12"/>
      <c r="D14" s="12"/>
      <c r="F14" s="12" t="s">
        <v>66</v>
      </c>
      <c r="G14" s="15">
        <v>150</v>
      </c>
      <c r="H14" s="12"/>
      <c r="I14" s="12"/>
    </row>
    <row r="15" spans="1:9" ht="17.25">
      <c r="A15" s="12" t="s">
        <v>23</v>
      </c>
      <c r="B15" s="11">
        <v>60</v>
      </c>
      <c r="C15" s="12" t="s">
        <v>73</v>
      </c>
      <c r="D15" s="13" t="s">
        <v>75</v>
      </c>
      <c r="F15" s="12" t="s">
        <v>68</v>
      </c>
      <c r="G15" s="15">
        <v>36</v>
      </c>
      <c r="H15" s="12"/>
      <c r="I15" s="12"/>
    </row>
    <row r="16" spans="1:9" ht="17.25">
      <c r="A16" s="12" t="s">
        <v>24</v>
      </c>
      <c r="B16" s="11">
        <v>30</v>
      </c>
      <c r="C16" s="12" t="s">
        <v>73</v>
      </c>
      <c r="D16" s="13" t="s">
        <v>75</v>
      </c>
    </row>
    <row r="17" spans="1:10" ht="16.5">
      <c r="A17" s="12" t="s">
        <v>25</v>
      </c>
      <c r="B17" s="11">
        <v>30</v>
      </c>
      <c r="C17" s="12" t="s">
        <v>73</v>
      </c>
      <c r="D17" s="12" t="s">
        <v>74</v>
      </c>
    </row>
    <row r="20" spans="1:10" ht="15">
      <c r="A20" s="23" t="s">
        <v>4</v>
      </c>
      <c r="B20" s="23"/>
      <c r="C20" s="23"/>
      <c r="D20" s="23"/>
      <c r="E20" s="23"/>
      <c r="F20" s="23"/>
      <c r="G20" s="23"/>
      <c r="H20" s="23"/>
      <c r="I20" s="23"/>
      <c r="J20" s="23"/>
    </row>
    <row r="21" spans="1:10" s="3" customFormat="1">
      <c r="A21" s="3" t="s">
        <v>5</v>
      </c>
      <c r="B21" s="3" t="s">
        <v>6</v>
      </c>
      <c r="C21" s="3" t="s">
        <v>16</v>
      </c>
      <c r="D21" s="3" t="s">
        <v>7</v>
      </c>
      <c r="E21" s="3" t="s">
        <v>42</v>
      </c>
      <c r="F21" s="3" t="s">
        <v>63</v>
      </c>
      <c r="G21" s="3" t="s">
        <v>9</v>
      </c>
      <c r="H21" s="3" t="s">
        <v>22</v>
      </c>
      <c r="I21" s="3" t="s">
        <v>12</v>
      </c>
      <c r="J21" s="3" t="s">
        <v>13</v>
      </c>
    </row>
    <row r="22" spans="1:10">
      <c r="A22" s="1" t="s">
        <v>10</v>
      </c>
      <c r="B22" s="1">
        <v>1</v>
      </c>
      <c r="C22" s="1" t="s">
        <v>17</v>
      </c>
      <c r="D22" s="2">
        <f t="shared" ref="D22:D27" si="0">F22*I22</f>
        <v>55760</v>
      </c>
      <c r="E22" s="2">
        <f>F22*J22</f>
        <v>160</v>
      </c>
      <c r="F22" s="15">
        <v>40</v>
      </c>
      <c r="G22" s="1">
        <f>INT(0.2*H22)</f>
        <v>66</v>
      </c>
      <c r="H22" s="1">
        <f>INT(($G$9/2)/$G$13)</f>
        <v>333</v>
      </c>
      <c r="I22" s="2">
        <f>$B$14</f>
        <v>1394</v>
      </c>
      <c r="J22" s="2">
        <f>$B$8</f>
        <v>4</v>
      </c>
    </row>
    <row r="23" spans="1:10">
      <c r="A23" s="1" t="s">
        <v>11</v>
      </c>
      <c r="B23" s="1">
        <v>2</v>
      </c>
      <c r="C23" s="1" t="s">
        <v>17</v>
      </c>
      <c r="D23" s="2">
        <f t="shared" si="0"/>
        <v>255998.40000000002</v>
      </c>
      <c r="E23" s="2">
        <f t="shared" ref="E23:E27" si="1">F23*J23</f>
        <v>480</v>
      </c>
      <c r="F23" s="15">
        <v>480</v>
      </c>
      <c r="G23" s="1">
        <f t="shared" ref="G23:G27" si="2">INT(0.2*H23)</f>
        <v>400</v>
      </c>
      <c r="H23" s="1">
        <f>INT($G$9/$G$12)</f>
        <v>2000</v>
      </c>
      <c r="I23" s="2">
        <f>$B$7+$B$11</f>
        <v>533.33000000000004</v>
      </c>
      <c r="J23" s="2">
        <f>$B$5</f>
        <v>1</v>
      </c>
    </row>
    <row r="24" spans="1:10">
      <c r="A24" s="1" t="s">
        <v>10</v>
      </c>
      <c r="B24" s="1">
        <v>1</v>
      </c>
      <c r="C24" s="1" t="s">
        <v>19</v>
      </c>
      <c r="D24" s="2">
        <f t="shared" si="0"/>
        <v>8388</v>
      </c>
      <c r="E24" s="2">
        <f t="shared" si="1"/>
        <v>24</v>
      </c>
      <c r="F24" s="15">
        <v>6</v>
      </c>
      <c r="G24" s="1">
        <f t="shared" si="2"/>
        <v>33</v>
      </c>
      <c r="H24" s="1">
        <f>INT(($G$10/2)/$G$13)</f>
        <v>166</v>
      </c>
      <c r="I24" s="2">
        <f>$B$14+$B$12</f>
        <v>1398</v>
      </c>
      <c r="J24" s="2">
        <f>$B$8</f>
        <v>4</v>
      </c>
    </row>
    <row r="25" spans="1:10">
      <c r="A25" s="1" t="s">
        <v>11</v>
      </c>
      <c r="B25" s="1">
        <v>2</v>
      </c>
      <c r="C25" s="1" t="s">
        <v>19</v>
      </c>
      <c r="D25" s="2">
        <f t="shared" si="0"/>
        <v>42826.400000000001</v>
      </c>
      <c r="E25" s="2">
        <f t="shared" si="1"/>
        <v>80</v>
      </c>
      <c r="F25" s="15">
        <v>80</v>
      </c>
      <c r="G25" s="1">
        <f t="shared" si="2"/>
        <v>200</v>
      </c>
      <c r="H25" s="1">
        <f>INT($G$10/$G$12)</f>
        <v>1000</v>
      </c>
      <c r="I25" s="2">
        <f>$B$7+$B$11+$B$9</f>
        <v>535.33000000000004</v>
      </c>
      <c r="J25" s="2">
        <f>$B$5</f>
        <v>1</v>
      </c>
    </row>
    <row r="26" spans="1:10">
      <c r="A26" s="1" t="s">
        <v>10</v>
      </c>
      <c r="B26" s="1">
        <v>1</v>
      </c>
      <c r="C26" s="1" t="s">
        <v>21</v>
      </c>
      <c r="D26" s="2">
        <f t="shared" si="0"/>
        <v>8412</v>
      </c>
      <c r="E26" s="2">
        <f t="shared" si="1"/>
        <v>24</v>
      </c>
      <c r="F26" s="15">
        <v>6</v>
      </c>
      <c r="G26" s="1">
        <f t="shared" si="2"/>
        <v>33</v>
      </c>
      <c r="H26" s="1">
        <f>INT(($G$11/2)/$G$13)</f>
        <v>166</v>
      </c>
      <c r="I26" s="2">
        <f>$B$14+$B$13</f>
        <v>1402</v>
      </c>
      <c r="J26" s="2">
        <f>$B$8</f>
        <v>4</v>
      </c>
    </row>
    <row r="27" spans="1:10">
      <c r="A27" s="1" t="s">
        <v>11</v>
      </c>
      <c r="B27" s="1">
        <v>2</v>
      </c>
      <c r="C27" s="1" t="s">
        <v>21</v>
      </c>
      <c r="D27" s="2">
        <f t="shared" si="0"/>
        <v>42986.400000000001</v>
      </c>
      <c r="E27" s="2">
        <f t="shared" si="1"/>
        <v>80</v>
      </c>
      <c r="F27" s="15">
        <v>80</v>
      </c>
      <c r="G27" s="1">
        <f t="shared" si="2"/>
        <v>200</v>
      </c>
      <c r="H27" s="1">
        <f>INT($G$11/$G$12)</f>
        <v>1000</v>
      </c>
      <c r="I27" s="2">
        <f>$B$7+$B$11+$B$10</f>
        <v>537.33000000000004</v>
      </c>
      <c r="J27" s="2">
        <f>$B$5</f>
        <v>1</v>
      </c>
    </row>
    <row r="32" spans="1:10">
      <c r="A32" s="1" t="s">
        <v>64</v>
      </c>
    </row>
    <row r="33" spans="1:10" ht="15">
      <c r="A33" s="24" t="s">
        <v>79</v>
      </c>
      <c r="B33" s="24"/>
      <c r="C33" s="24"/>
      <c r="D33" s="24"/>
      <c r="E33" s="24"/>
      <c r="F33" s="24"/>
      <c r="G33" s="24"/>
      <c r="H33" s="24"/>
      <c r="I33" s="24"/>
      <c r="J33" s="24"/>
    </row>
    <row r="34" spans="1:10" ht="16.5">
      <c r="A34" s="3" t="s">
        <v>59</v>
      </c>
      <c r="B34" s="3" t="s">
        <v>60</v>
      </c>
      <c r="C34" s="3" t="s">
        <v>61</v>
      </c>
      <c r="D34" s="3" t="s">
        <v>62</v>
      </c>
      <c r="E34" s="3" t="s">
        <v>65</v>
      </c>
      <c r="F34" s="3" t="s">
        <v>67</v>
      </c>
      <c r="G34" s="3"/>
      <c r="H34" s="3"/>
      <c r="I34" s="3"/>
      <c r="J34" s="3"/>
    </row>
    <row r="35" spans="1:10" ht="16.149999999999999" customHeight="1">
      <c r="A35" s="1" t="s">
        <v>34</v>
      </c>
      <c r="B35" s="4">
        <v>1680000</v>
      </c>
      <c r="C35" s="1">
        <v>189</v>
      </c>
      <c r="D35" s="1">
        <f t="shared" ref="D35:D41" si="3">INT(0.01*B35)</f>
        <v>16800</v>
      </c>
      <c r="E35" s="1">
        <f t="shared" ref="E35:E41" si="4">IF(INT(D35/$G$14)=0,1,INT(D35/$G$14))</f>
        <v>112</v>
      </c>
      <c r="F35" s="1">
        <f t="shared" ref="F35:F41" si="5">E35*$G$15</f>
        <v>4032</v>
      </c>
    </row>
    <row r="36" spans="1:10" ht="16.149999999999999" customHeight="1">
      <c r="A36" s="1" t="s">
        <v>53</v>
      </c>
      <c r="B36" s="4">
        <v>16000</v>
      </c>
      <c r="C36">
        <v>10</v>
      </c>
      <c r="D36" s="1">
        <f t="shared" si="3"/>
        <v>160</v>
      </c>
      <c r="E36" s="1">
        <f t="shared" si="4"/>
        <v>1</v>
      </c>
      <c r="F36" s="1">
        <f t="shared" si="5"/>
        <v>36</v>
      </c>
    </row>
    <row r="37" spans="1:10" ht="16.149999999999999" customHeight="1">
      <c r="A37" s="1" t="s">
        <v>18</v>
      </c>
      <c r="B37" s="4">
        <v>103829</v>
      </c>
      <c r="C37" s="1">
        <v>58</v>
      </c>
      <c r="D37" s="1">
        <f t="shared" si="3"/>
        <v>1038</v>
      </c>
      <c r="E37" s="1">
        <f t="shared" si="4"/>
        <v>6</v>
      </c>
      <c r="F37" s="1">
        <f t="shared" si="5"/>
        <v>216</v>
      </c>
    </row>
    <row r="38" spans="1:10" ht="16.149999999999999" customHeight="1">
      <c r="A38" s="1" t="s">
        <v>55</v>
      </c>
      <c r="B38" s="4">
        <v>5000</v>
      </c>
      <c r="C38" s="1">
        <v>5</v>
      </c>
      <c r="D38" s="1">
        <f>INT(0.01*B38)</f>
        <v>50</v>
      </c>
      <c r="E38" s="1">
        <f t="shared" si="4"/>
        <v>1</v>
      </c>
      <c r="F38" s="1">
        <f t="shared" si="5"/>
        <v>36</v>
      </c>
    </row>
    <row r="39" spans="1:10" ht="16.149999999999999" customHeight="1">
      <c r="A39" s="1" t="s">
        <v>20</v>
      </c>
      <c r="B39" s="4">
        <v>195013</v>
      </c>
      <c r="C39" s="1">
        <v>49</v>
      </c>
      <c r="D39" s="1">
        <f t="shared" si="3"/>
        <v>1950</v>
      </c>
      <c r="E39" s="1">
        <f t="shared" si="4"/>
        <v>13</v>
      </c>
      <c r="F39" s="1">
        <f t="shared" si="5"/>
        <v>468</v>
      </c>
    </row>
    <row r="40" spans="1:10">
      <c r="A40" s="1" t="s">
        <v>56</v>
      </c>
      <c r="B40" s="4">
        <v>43700</v>
      </c>
      <c r="C40" s="1">
        <v>10</v>
      </c>
      <c r="D40" s="1">
        <f t="shared" si="3"/>
        <v>437</v>
      </c>
      <c r="E40" s="1">
        <f t="shared" si="4"/>
        <v>2</v>
      </c>
      <c r="F40" s="1">
        <f t="shared" si="5"/>
        <v>72</v>
      </c>
    </row>
    <row r="41" spans="1:10">
      <c r="A41" s="1" t="s">
        <v>57</v>
      </c>
      <c r="B41" s="4">
        <v>68000</v>
      </c>
      <c r="C41" s="1">
        <v>7</v>
      </c>
      <c r="D41" s="1">
        <f t="shared" si="3"/>
        <v>680</v>
      </c>
      <c r="E41" s="1">
        <f t="shared" si="4"/>
        <v>4</v>
      </c>
      <c r="F41" s="1">
        <f t="shared" si="5"/>
        <v>144</v>
      </c>
    </row>
    <row r="46" spans="1:10" ht="15">
      <c r="A46" s="17" t="s">
        <v>98</v>
      </c>
      <c r="B46" s="18"/>
      <c r="C46" s="18"/>
      <c r="D46" s="18"/>
      <c r="E46" s="18"/>
      <c r="F46" s="18"/>
      <c r="G46" s="18"/>
      <c r="H46" s="18"/>
    </row>
    <row r="47" spans="1:10">
      <c r="B47" s="1" t="s">
        <v>80</v>
      </c>
      <c r="C47" s="1" t="s">
        <v>83</v>
      </c>
      <c r="D47" s="1" t="s">
        <v>84</v>
      </c>
      <c r="E47" s="1" t="s">
        <v>85</v>
      </c>
      <c r="F47" s="1" t="s">
        <v>86</v>
      </c>
      <c r="G47" s="1" t="s">
        <v>87</v>
      </c>
      <c r="H47" s="1" t="s">
        <v>88</v>
      </c>
    </row>
    <row r="48" spans="1:10">
      <c r="A48" s="1" t="s">
        <v>89</v>
      </c>
      <c r="B48" s="2">
        <f>B15*G9+J22*F22*12+J23*F23*12</f>
        <v>67680</v>
      </c>
      <c r="C48" s="2">
        <f>B48*1.05</f>
        <v>71064</v>
      </c>
      <c r="D48" s="2">
        <f t="shared" ref="D48:H48" si="6">C48*1.05</f>
        <v>74617.2</v>
      </c>
      <c r="E48" s="2">
        <f t="shared" si="6"/>
        <v>78348.06</v>
      </c>
      <c r="F48" s="2">
        <f t="shared" si="6"/>
        <v>82265.463000000003</v>
      </c>
      <c r="G48" s="2">
        <f t="shared" si="6"/>
        <v>86378.736150000012</v>
      </c>
      <c r="H48" s="2">
        <f t="shared" si="6"/>
        <v>90697.672957500021</v>
      </c>
    </row>
    <row r="49" spans="1:8">
      <c r="A49" s="1" t="s">
        <v>90</v>
      </c>
      <c r="B49" s="2">
        <f>$B$17*$G$10+$F$24*$J$24*12+$F$25*$J$25*12</f>
        <v>16248</v>
      </c>
      <c r="C49" s="2">
        <f>B49*1.05</f>
        <v>17060.400000000001</v>
      </c>
      <c r="D49" s="2">
        <f t="shared" ref="D49:H49" si="7">C49*1.05</f>
        <v>17913.420000000002</v>
      </c>
      <c r="E49" s="2">
        <f t="shared" si="7"/>
        <v>18809.091000000004</v>
      </c>
      <c r="F49" s="2">
        <f t="shared" si="7"/>
        <v>19749.545550000006</v>
      </c>
      <c r="G49" s="2">
        <f t="shared" si="7"/>
        <v>20737.022827500008</v>
      </c>
      <c r="H49" s="2">
        <f t="shared" si="7"/>
        <v>21773.87396887501</v>
      </c>
    </row>
    <row r="50" spans="1:8">
      <c r="A50" s="1" t="s">
        <v>91</v>
      </c>
      <c r="B50" s="2">
        <f>$B$16*$G$11+$F$26*$J$26*12+$F$27*$J$27*12</f>
        <v>16248</v>
      </c>
      <c r="C50" s="2">
        <f>B50*1.05</f>
        <v>17060.400000000001</v>
      </c>
      <c r="D50" s="2">
        <f t="shared" ref="D50:H50" si="8">C50*1.05</f>
        <v>17913.420000000002</v>
      </c>
      <c r="E50" s="2">
        <f t="shared" si="8"/>
        <v>18809.091000000004</v>
      </c>
      <c r="F50" s="2">
        <f t="shared" si="8"/>
        <v>19749.545550000006</v>
      </c>
      <c r="G50" s="2">
        <f t="shared" si="8"/>
        <v>20737.022827500008</v>
      </c>
      <c r="H50" s="2">
        <f t="shared" si="8"/>
        <v>21773.87396887501</v>
      </c>
    </row>
    <row r="51" spans="1:8">
      <c r="A51" s="1" t="s">
        <v>97</v>
      </c>
      <c r="B51" s="2">
        <f>SUM(B48:B50)</f>
        <v>100176</v>
      </c>
      <c r="C51" s="2">
        <f t="shared" ref="C51:H51" si="9">SUM(C48:C50)</f>
        <v>105184.79999999999</v>
      </c>
      <c r="D51" s="2">
        <f t="shared" si="9"/>
        <v>110444.04</v>
      </c>
      <c r="E51" s="2">
        <f t="shared" si="9"/>
        <v>115966.242</v>
      </c>
      <c r="F51" s="2">
        <f t="shared" si="9"/>
        <v>121764.55410000002</v>
      </c>
      <c r="G51" s="2">
        <f t="shared" si="9"/>
        <v>127852.78180500004</v>
      </c>
      <c r="H51" s="2">
        <f t="shared" si="9"/>
        <v>134245.42089525005</v>
      </c>
    </row>
    <row r="52" spans="1:8" ht="15">
      <c r="A52" s="19"/>
      <c r="B52" s="20"/>
      <c r="C52" s="20"/>
      <c r="D52" s="20"/>
      <c r="E52" s="20"/>
      <c r="F52" s="20"/>
      <c r="G52" s="20"/>
      <c r="H52" s="20"/>
    </row>
    <row r="54" spans="1:8" ht="15">
      <c r="A54" s="21" t="s">
        <v>99</v>
      </c>
      <c r="B54" s="22"/>
      <c r="C54" s="22"/>
      <c r="D54" s="22"/>
      <c r="E54" s="22"/>
      <c r="F54" s="22"/>
      <c r="G54" s="22"/>
      <c r="H54" s="22"/>
    </row>
    <row r="55" spans="1:8">
      <c r="B55" s="1" t="s">
        <v>80</v>
      </c>
      <c r="C55" s="1" t="s">
        <v>83</v>
      </c>
      <c r="D55" s="1" t="s">
        <v>84</v>
      </c>
      <c r="E55" s="1" t="s">
        <v>85</v>
      </c>
      <c r="F55" s="1" t="s">
        <v>86</v>
      </c>
      <c r="G55" s="1" t="s">
        <v>87</v>
      </c>
      <c r="H55" s="1" t="s">
        <v>88</v>
      </c>
    </row>
    <row r="56" spans="1:8">
      <c r="A56" s="1" t="s">
        <v>100</v>
      </c>
      <c r="B56" s="2">
        <f>$B$6*$G$15*12</f>
        <v>864</v>
      </c>
      <c r="C56" s="2">
        <f>B56*1.05</f>
        <v>907.2</v>
      </c>
      <c r="D56" s="2">
        <f t="shared" ref="D56:H56" si="10">C56*1.05</f>
        <v>952.56000000000006</v>
      </c>
      <c r="E56" s="2">
        <f t="shared" si="10"/>
        <v>1000.1880000000001</v>
      </c>
      <c r="F56" s="2">
        <f t="shared" si="10"/>
        <v>1050.1974000000002</v>
      </c>
      <c r="G56" s="2">
        <f t="shared" si="10"/>
        <v>1102.7072700000003</v>
      </c>
      <c r="H56" s="2">
        <f t="shared" si="10"/>
        <v>1157.8426335000004</v>
      </c>
    </row>
  </sheetData>
  <mergeCells count="7">
    <mergeCell ref="A4:D4"/>
    <mergeCell ref="F4:I4"/>
    <mergeCell ref="A46:H46"/>
    <mergeCell ref="A52:H52"/>
    <mergeCell ref="A54:H54"/>
    <mergeCell ref="A20:J20"/>
    <mergeCell ref="A33:J33"/>
  </mergeCells>
  <phoneticPr fontId="1" type="noConversion"/>
  <hyperlinks>
    <hyperlink ref="D15" r:id="rId1" xr:uid="{C7819A99-229D-433D-AB73-419334F92A7E}"/>
    <hyperlink ref="D16" r:id="rId2" xr:uid="{77E5A87B-9642-4857-8D35-5BC140FC3AB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0DDAA-133C-4FC8-BF13-5D9A32AB0741}">
  <dimension ref="A1:O36"/>
  <sheetViews>
    <sheetView topLeftCell="A4" workbookViewId="0">
      <selection activeCell="L13" sqref="L13"/>
    </sheetView>
  </sheetViews>
  <sheetFormatPr defaultRowHeight="15"/>
  <cols>
    <col min="2" max="2" width="21.140625" bestFit="1" customWidth="1"/>
    <col min="11" max="15" width="11" bestFit="1" customWidth="1"/>
  </cols>
  <sheetData>
    <row r="1" spans="1:15">
      <c r="A1" s="5" t="s">
        <v>43</v>
      </c>
      <c r="B1" s="5" t="s">
        <v>35</v>
      </c>
      <c r="C1" s="5" t="s">
        <v>36</v>
      </c>
      <c r="D1" s="5" t="s">
        <v>44</v>
      </c>
      <c r="E1" s="5" t="s">
        <v>37</v>
      </c>
      <c r="F1" s="5" t="s">
        <v>45</v>
      </c>
      <c r="G1" s="5" t="s">
        <v>46</v>
      </c>
      <c r="H1" s="5" t="s">
        <v>47</v>
      </c>
      <c r="J1" s="6"/>
      <c r="K1" s="6" t="s">
        <v>48</v>
      </c>
      <c r="L1" s="6" t="s">
        <v>49</v>
      </c>
      <c r="M1" s="6" t="s">
        <v>50</v>
      </c>
      <c r="N1" s="6" t="s">
        <v>51</v>
      </c>
      <c r="O1" s="6" t="s">
        <v>52</v>
      </c>
    </row>
    <row r="2" spans="1:15">
      <c r="A2" s="6" t="s">
        <v>34</v>
      </c>
      <c r="B2" s="6">
        <v>18</v>
      </c>
      <c r="C2" s="6">
        <v>18</v>
      </c>
      <c r="D2" s="6">
        <v>18</v>
      </c>
      <c r="E2" s="6">
        <v>25</v>
      </c>
      <c r="F2" s="6">
        <v>25</v>
      </c>
      <c r="G2" s="6">
        <v>25</v>
      </c>
      <c r="H2" s="6" t="s">
        <v>48</v>
      </c>
      <c r="J2" s="6" t="s">
        <v>69</v>
      </c>
      <c r="K2" s="6">
        <f>+SUM(B2:G8)</f>
        <v>336</v>
      </c>
      <c r="L2" s="6">
        <f>+SUM(B9:G15)</f>
        <v>303</v>
      </c>
      <c r="M2" s="6">
        <f>+SUM(B16:G22)</f>
        <v>276</v>
      </c>
      <c r="N2" s="6">
        <f>+SUM(B23:G29)</f>
        <v>252</v>
      </c>
      <c r="O2" s="6">
        <f>+SUM(B30:G36)</f>
        <v>510</v>
      </c>
    </row>
    <row r="3" spans="1:15">
      <c r="A3" s="6" t="s">
        <v>53</v>
      </c>
      <c r="B3" s="6">
        <v>3</v>
      </c>
      <c r="C3" s="6">
        <v>3</v>
      </c>
      <c r="D3" s="6">
        <v>3</v>
      </c>
      <c r="E3" s="6">
        <v>4</v>
      </c>
      <c r="F3" s="6">
        <v>4</v>
      </c>
      <c r="G3" s="6">
        <v>4</v>
      </c>
      <c r="H3" s="6" t="s">
        <v>48</v>
      </c>
      <c r="J3" s="6" t="s">
        <v>70</v>
      </c>
      <c r="K3" s="9">
        <f>1394*0.75*K2</f>
        <v>351288</v>
      </c>
      <c r="L3" s="9">
        <f t="shared" ref="L3:M3" si="0">1394*0.75*L2</f>
        <v>316786.5</v>
      </c>
      <c r="M3" s="9">
        <f t="shared" si="0"/>
        <v>288558</v>
      </c>
      <c r="N3" s="9">
        <f>1394*N2</f>
        <v>351288</v>
      </c>
      <c r="O3" s="9">
        <f>1394*O2</f>
        <v>710940</v>
      </c>
    </row>
    <row r="4" spans="1:15">
      <c r="A4" s="6" t="s">
        <v>18</v>
      </c>
      <c r="B4" s="6">
        <v>8</v>
      </c>
      <c r="C4" s="6">
        <v>8</v>
      </c>
      <c r="D4" s="6">
        <v>8</v>
      </c>
      <c r="E4" s="6">
        <v>9</v>
      </c>
      <c r="F4" s="6">
        <v>9</v>
      </c>
      <c r="G4" s="6">
        <v>9</v>
      </c>
      <c r="H4" s="6" t="s">
        <v>48</v>
      </c>
      <c r="J4" s="7" t="s">
        <v>54</v>
      </c>
      <c r="M4" s="8">
        <v>0.25</v>
      </c>
    </row>
    <row r="5" spans="1:15">
      <c r="A5" s="6" t="s">
        <v>55</v>
      </c>
      <c r="B5" s="6">
        <v>2</v>
      </c>
      <c r="C5" s="6">
        <v>2</v>
      </c>
      <c r="D5" s="6">
        <v>2</v>
      </c>
      <c r="E5" s="6">
        <v>3</v>
      </c>
      <c r="F5" s="6">
        <v>3</v>
      </c>
      <c r="G5" s="6">
        <v>3</v>
      </c>
      <c r="H5" s="6" t="s">
        <v>48</v>
      </c>
    </row>
    <row r="6" spans="1:15">
      <c r="A6" s="6" t="s">
        <v>20</v>
      </c>
      <c r="B6" s="6">
        <v>10</v>
      </c>
      <c r="C6" s="6">
        <v>10</v>
      </c>
      <c r="D6" s="6">
        <v>10</v>
      </c>
      <c r="E6" s="6">
        <v>13</v>
      </c>
      <c r="F6" s="6">
        <v>13</v>
      </c>
      <c r="G6" s="6">
        <v>13</v>
      </c>
      <c r="H6" s="6" t="s">
        <v>48</v>
      </c>
    </row>
    <row r="7" spans="1:15">
      <c r="A7" s="6" t="s">
        <v>56</v>
      </c>
      <c r="B7" s="6">
        <v>4</v>
      </c>
      <c r="C7" s="6">
        <v>4</v>
      </c>
      <c r="D7" s="6">
        <v>4</v>
      </c>
      <c r="E7" s="6">
        <v>4</v>
      </c>
      <c r="F7" s="6">
        <v>4</v>
      </c>
      <c r="G7" s="6">
        <v>4</v>
      </c>
      <c r="H7" s="6" t="s">
        <v>48</v>
      </c>
    </row>
    <row r="8" spans="1:15">
      <c r="A8" s="6" t="s">
        <v>57</v>
      </c>
      <c r="B8" s="6">
        <v>4</v>
      </c>
      <c r="C8" s="6">
        <v>4</v>
      </c>
      <c r="D8" s="6">
        <v>4</v>
      </c>
      <c r="E8" s="6">
        <v>5</v>
      </c>
      <c r="F8" s="6">
        <v>5</v>
      </c>
      <c r="G8" s="6">
        <v>5</v>
      </c>
      <c r="H8" s="6" t="s">
        <v>48</v>
      </c>
    </row>
    <row r="9" spans="1:15">
      <c r="A9" s="6" t="s">
        <v>34</v>
      </c>
      <c r="B9" s="6">
        <v>16</v>
      </c>
      <c r="C9" s="6">
        <v>16</v>
      </c>
      <c r="D9" s="6">
        <v>16</v>
      </c>
      <c r="E9" s="6">
        <v>23</v>
      </c>
      <c r="F9" s="6">
        <v>23</v>
      </c>
      <c r="G9" s="6">
        <v>23</v>
      </c>
      <c r="H9" s="6" t="s">
        <v>49</v>
      </c>
    </row>
    <row r="10" spans="1:15">
      <c r="A10" s="6" t="s">
        <v>53</v>
      </c>
      <c r="B10" s="6">
        <v>3</v>
      </c>
      <c r="C10" s="6">
        <v>3</v>
      </c>
      <c r="D10" s="6">
        <v>3</v>
      </c>
      <c r="E10" s="6">
        <v>3</v>
      </c>
      <c r="F10" s="6">
        <v>3</v>
      </c>
      <c r="G10" s="6">
        <v>3</v>
      </c>
      <c r="H10" s="6" t="s">
        <v>49</v>
      </c>
    </row>
    <row r="11" spans="1:15">
      <c r="A11" s="6" t="s">
        <v>18</v>
      </c>
      <c r="B11" s="6">
        <v>7</v>
      </c>
      <c r="C11" s="6">
        <v>7</v>
      </c>
      <c r="D11" s="6">
        <v>7</v>
      </c>
      <c r="E11" s="6">
        <v>8</v>
      </c>
      <c r="F11" s="6">
        <v>8</v>
      </c>
      <c r="G11" s="6">
        <v>8</v>
      </c>
      <c r="H11" s="6" t="s">
        <v>49</v>
      </c>
    </row>
    <row r="12" spans="1:15">
      <c r="A12" s="6" t="s">
        <v>55</v>
      </c>
      <c r="B12" s="6">
        <v>2</v>
      </c>
      <c r="C12" s="6">
        <v>2</v>
      </c>
      <c r="D12" s="6">
        <v>2</v>
      </c>
      <c r="E12" s="6">
        <v>2</v>
      </c>
      <c r="F12" s="6">
        <v>2</v>
      </c>
      <c r="G12" s="6">
        <v>2</v>
      </c>
      <c r="H12" s="6" t="s">
        <v>49</v>
      </c>
    </row>
    <row r="13" spans="1:15">
      <c r="A13" s="6" t="s">
        <v>20</v>
      </c>
      <c r="B13" s="6">
        <v>9</v>
      </c>
      <c r="C13" s="6">
        <v>9</v>
      </c>
      <c r="D13" s="6">
        <v>9</v>
      </c>
      <c r="E13" s="6">
        <v>12</v>
      </c>
      <c r="F13" s="6">
        <v>12</v>
      </c>
      <c r="G13" s="6">
        <v>12</v>
      </c>
      <c r="H13" s="6" t="s">
        <v>49</v>
      </c>
    </row>
    <row r="14" spans="1:15">
      <c r="A14" s="6" t="s">
        <v>56</v>
      </c>
      <c r="B14" s="6">
        <v>4</v>
      </c>
      <c r="C14" s="6">
        <v>4</v>
      </c>
      <c r="D14" s="6">
        <v>4</v>
      </c>
      <c r="E14" s="6">
        <v>4</v>
      </c>
      <c r="F14" s="6">
        <v>4</v>
      </c>
      <c r="G14" s="6">
        <v>4</v>
      </c>
      <c r="H14" s="6" t="s">
        <v>49</v>
      </c>
    </row>
    <row r="15" spans="1:15">
      <c r="A15" s="6" t="s">
        <v>57</v>
      </c>
      <c r="B15" s="6">
        <v>4</v>
      </c>
      <c r="C15" s="6">
        <v>4</v>
      </c>
      <c r="D15" s="6">
        <v>4</v>
      </c>
      <c r="E15" s="6">
        <v>4</v>
      </c>
      <c r="F15" s="6">
        <v>4</v>
      </c>
      <c r="G15" s="6">
        <v>4</v>
      </c>
      <c r="H15" s="6" t="s">
        <v>49</v>
      </c>
    </row>
    <row r="16" spans="1:15">
      <c r="A16" s="6" t="s">
        <v>34</v>
      </c>
      <c r="B16" s="6">
        <v>15</v>
      </c>
      <c r="C16" s="6">
        <v>15</v>
      </c>
      <c r="D16" s="6">
        <v>15</v>
      </c>
      <c r="E16" s="6">
        <v>21</v>
      </c>
      <c r="F16" s="6">
        <v>21</v>
      </c>
      <c r="G16" s="6">
        <v>21</v>
      </c>
      <c r="H16" s="6" t="s">
        <v>50</v>
      </c>
    </row>
    <row r="17" spans="1:8">
      <c r="A17" s="6" t="s">
        <v>53</v>
      </c>
      <c r="B17" s="6">
        <v>3</v>
      </c>
      <c r="C17" s="6">
        <v>3</v>
      </c>
      <c r="D17" s="6">
        <v>3</v>
      </c>
      <c r="E17" s="6">
        <v>3</v>
      </c>
      <c r="F17" s="6">
        <v>3</v>
      </c>
      <c r="G17" s="6">
        <v>3</v>
      </c>
      <c r="H17" s="6" t="s">
        <v>50</v>
      </c>
    </row>
    <row r="18" spans="1:8">
      <c r="A18" s="6" t="s">
        <v>18</v>
      </c>
      <c r="B18" s="6">
        <v>6</v>
      </c>
      <c r="C18" s="6">
        <v>6</v>
      </c>
      <c r="D18" s="6">
        <v>6</v>
      </c>
      <c r="E18" s="6">
        <v>8</v>
      </c>
      <c r="F18" s="6">
        <v>8</v>
      </c>
      <c r="G18" s="6">
        <v>8</v>
      </c>
      <c r="H18" s="6" t="s">
        <v>50</v>
      </c>
    </row>
    <row r="19" spans="1:8">
      <c r="A19" s="6" t="s">
        <v>55</v>
      </c>
      <c r="B19" s="6">
        <v>2</v>
      </c>
      <c r="C19" s="6">
        <v>2</v>
      </c>
      <c r="D19" s="6">
        <v>2</v>
      </c>
      <c r="E19" s="6">
        <v>2</v>
      </c>
      <c r="F19" s="6">
        <v>2</v>
      </c>
      <c r="G19" s="6">
        <v>2</v>
      </c>
      <c r="H19" s="6" t="s">
        <v>50</v>
      </c>
    </row>
    <row r="20" spans="1:8">
      <c r="A20" s="6" t="s">
        <v>20</v>
      </c>
      <c r="B20" s="6">
        <v>8</v>
      </c>
      <c r="C20" s="6">
        <v>8</v>
      </c>
      <c r="D20" s="6">
        <v>8</v>
      </c>
      <c r="E20" s="6">
        <v>11</v>
      </c>
      <c r="F20" s="6">
        <v>11</v>
      </c>
      <c r="G20" s="6">
        <v>11</v>
      </c>
      <c r="H20" s="6" t="s">
        <v>50</v>
      </c>
    </row>
    <row r="21" spans="1:8">
      <c r="A21" s="6" t="s">
        <v>56</v>
      </c>
      <c r="B21" s="6">
        <v>3</v>
      </c>
      <c r="C21" s="6">
        <v>3</v>
      </c>
      <c r="D21" s="6">
        <v>3</v>
      </c>
      <c r="E21" s="6">
        <v>3</v>
      </c>
      <c r="F21" s="6">
        <v>3</v>
      </c>
      <c r="G21" s="6">
        <v>3</v>
      </c>
      <c r="H21" s="6" t="s">
        <v>50</v>
      </c>
    </row>
    <row r="22" spans="1:8">
      <c r="A22" s="6" t="s">
        <v>57</v>
      </c>
      <c r="B22" s="6">
        <v>3</v>
      </c>
      <c r="C22" s="6">
        <v>3</v>
      </c>
      <c r="D22" s="6">
        <v>3</v>
      </c>
      <c r="E22" s="6">
        <v>4</v>
      </c>
      <c r="F22" s="6">
        <v>4</v>
      </c>
      <c r="G22" s="6">
        <v>4</v>
      </c>
      <c r="H22" s="6" t="s">
        <v>50</v>
      </c>
    </row>
    <row r="23" spans="1:8">
      <c r="A23" s="6" t="s">
        <v>34</v>
      </c>
      <c r="B23" s="6">
        <v>13</v>
      </c>
      <c r="C23" s="6">
        <v>13</v>
      </c>
      <c r="D23" s="6">
        <v>13</v>
      </c>
      <c r="E23" s="6">
        <v>19</v>
      </c>
      <c r="F23" s="6">
        <v>19</v>
      </c>
      <c r="G23" s="6">
        <v>19</v>
      </c>
      <c r="H23" s="6" t="s">
        <v>51</v>
      </c>
    </row>
    <row r="24" spans="1:8">
      <c r="A24" s="6" t="s">
        <v>53</v>
      </c>
      <c r="B24" s="6">
        <v>2</v>
      </c>
      <c r="C24" s="6">
        <v>2</v>
      </c>
      <c r="D24" s="6">
        <v>2</v>
      </c>
      <c r="E24" s="6">
        <v>3</v>
      </c>
      <c r="F24" s="6">
        <v>3</v>
      </c>
      <c r="G24" s="6">
        <v>3</v>
      </c>
      <c r="H24" s="6" t="s">
        <v>51</v>
      </c>
    </row>
    <row r="25" spans="1:8">
      <c r="A25" s="6" t="s">
        <v>18</v>
      </c>
      <c r="B25" s="6">
        <v>6</v>
      </c>
      <c r="C25" s="6">
        <v>6</v>
      </c>
      <c r="D25" s="6">
        <v>6</v>
      </c>
      <c r="E25" s="6">
        <v>7</v>
      </c>
      <c r="F25" s="6">
        <v>7</v>
      </c>
      <c r="G25" s="6">
        <v>7</v>
      </c>
      <c r="H25" s="6" t="s">
        <v>51</v>
      </c>
    </row>
    <row r="26" spans="1:8">
      <c r="A26" s="6" t="s">
        <v>55</v>
      </c>
      <c r="B26" s="6">
        <v>2</v>
      </c>
      <c r="C26" s="6">
        <v>2</v>
      </c>
      <c r="D26" s="6">
        <v>2</v>
      </c>
      <c r="E26" s="6">
        <v>2</v>
      </c>
      <c r="F26" s="6">
        <v>2</v>
      </c>
      <c r="G26" s="6">
        <v>2</v>
      </c>
      <c r="H26" s="6" t="s">
        <v>51</v>
      </c>
    </row>
    <row r="27" spans="1:8">
      <c r="A27" s="6" t="s">
        <v>20</v>
      </c>
      <c r="B27" s="6">
        <v>8</v>
      </c>
      <c r="C27" s="6">
        <v>8</v>
      </c>
      <c r="D27" s="6">
        <v>8</v>
      </c>
      <c r="E27" s="6">
        <v>10</v>
      </c>
      <c r="F27" s="6">
        <v>10</v>
      </c>
      <c r="G27" s="6">
        <v>10</v>
      </c>
      <c r="H27" s="6" t="s">
        <v>51</v>
      </c>
    </row>
    <row r="28" spans="1:8">
      <c r="A28" s="6" t="s">
        <v>56</v>
      </c>
      <c r="B28" s="6">
        <v>3</v>
      </c>
      <c r="C28" s="6">
        <v>3</v>
      </c>
      <c r="D28" s="6">
        <v>3</v>
      </c>
      <c r="E28" s="6">
        <v>3</v>
      </c>
      <c r="F28" s="6">
        <v>3</v>
      </c>
      <c r="G28" s="6">
        <v>3</v>
      </c>
      <c r="H28" s="6" t="s">
        <v>51</v>
      </c>
    </row>
    <row r="29" spans="1:8">
      <c r="A29" s="6" t="s">
        <v>57</v>
      </c>
      <c r="B29" s="6">
        <v>3</v>
      </c>
      <c r="C29" s="6">
        <v>3</v>
      </c>
      <c r="D29" s="6">
        <v>3</v>
      </c>
      <c r="E29" s="6">
        <v>3</v>
      </c>
      <c r="F29" s="6">
        <v>3</v>
      </c>
      <c r="G29" s="6">
        <v>3</v>
      </c>
      <c r="H29" s="6" t="s">
        <v>51</v>
      </c>
    </row>
    <row r="30" spans="1:8">
      <c r="A30" s="6" t="s">
        <v>34</v>
      </c>
      <c r="B30" s="6">
        <v>27</v>
      </c>
      <c r="C30" s="6">
        <v>27</v>
      </c>
      <c r="D30" s="6">
        <v>27</v>
      </c>
      <c r="E30" s="6">
        <v>39</v>
      </c>
      <c r="F30" s="6">
        <v>39</v>
      </c>
      <c r="G30" s="6">
        <v>39</v>
      </c>
      <c r="H30" s="6" t="s">
        <v>52</v>
      </c>
    </row>
    <row r="31" spans="1:8">
      <c r="A31" s="6" t="s">
        <v>53</v>
      </c>
      <c r="B31" s="6">
        <v>5</v>
      </c>
      <c r="C31" s="6">
        <v>5</v>
      </c>
      <c r="D31" s="6">
        <v>5</v>
      </c>
      <c r="E31" s="6">
        <v>5</v>
      </c>
      <c r="F31" s="6">
        <v>5</v>
      </c>
      <c r="G31" s="6">
        <v>5</v>
      </c>
      <c r="H31" s="6" t="s">
        <v>52</v>
      </c>
    </row>
    <row r="32" spans="1:8">
      <c r="A32" s="6" t="s">
        <v>18</v>
      </c>
      <c r="B32" s="6">
        <v>12</v>
      </c>
      <c r="C32" s="6">
        <v>12</v>
      </c>
      <c r="D32" s="6">
        <v>12</v>
      </c>
      <c r="E32" s="6">
        <v>14</v>
      </c>
      <c r="F32" s="6">
        <v>14</v>
      </c>
      <c r="G32" s="6">
        <v>14</v>
      </c>
      <c r="H32" s="6" t="s">
        <v>52</v>
      </c>
    </row>
    <row r="33" spans="1:8">
      <c r="A33" s="6" t="s">
        <v>55</v>
      </c>
      <c r="B33" s="6">
        <v>3</v>
      </c>
      <c r="C33" s="6">
        <v>3</v>
      </c>
      <c r="D33" s="6">
        <v>3</v>
      </c>
      <c r="E33" s="6">
        <v>4</v>
      </c>
      <c r="F33" s="6">
        <v>4</v>
      </c>
      <c r="G33" s="6">
        <v>4</v>
      </c>
      <c r="H33" s="6" t="s">
        <v>52</v>
      </c>
    </row>
    <row r="34" spans="1:8">
      <c r="A34" s="6" t="s">
        <v>20</v>
      </c>
      <c r="B34" s="6">
        <v>16</v>
      </c>
      <c r="C34" s="6">
        <v>16</v>
      </c>
      <c r="D34" s="6">
        <v>16</v>
      </c>
      <c r="E34" s="6">
        <v>20</v>
      </c>
      <c r="F34" s="6">
        <v>20</v>
      </c>
      <c r="G34" s="6">
        <v>20</v>
      </c>
      <c r="H34" s="6" t="s">
        <v>52</v>
      </c>
    </row>
    <row r="35" spans="1:8">
      <c r="A35" s="6" t="s">
        <v>56</v>
      </c>
      <c r="B35" s="6">
        <v>6</v>
      </c>
      <c r="C35" s="6">
        <v>6</v>
      </c>
      <c r="D35" s="6">
        <v>6</v>
      </c>
      <c r="E35" s="6">
        <v>6</v>
      </c>
      <c r="F35" s="6">
        <v>6</v>
      </c>
      <c r="G35" s="6">
        <v>6</v>
      </c>
      <c r="H35" s="6" t="s">
        <v>52</v>
      </c>
    </row>
    <row r="36" spans="1:8">
      <c r="A36" s="6" t="s">
        <v>57</v>
      </c>
      <c r="B36" s="6">
        <v>6</v>
      </c>
      <c r="C36" s="6">
        <v>6</v>
      </c>
      <c r="D36" s="6">
        <v>6</v>
      </c>
      <c r="E36" s="6">
        <v>7</v>
      </c>
      <c r="F36" s="6">
        <v>7</v>
      </c>
      <c r="G36" s="6">
        <v>7</v>
      </c>
      <c r="H36" s="6" t="s">
        <v>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 Cost</vt:lpstr>
      <vt:lpstr>B2B 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Lincoln</dc:creator>
  <cp:lastModifiedBy>Arturo Medina</cp:lastModifiedBy>
  <dcterms:created xsi:type="dcterms:W3CDTF">2015-06-05T18:17:20Z</dcterms:created>
  <dcterms:modified xsi:type="dcterms:W3CDTF">2024-11-05T21:32:21Z</dcterms:modified>
</cp:coreProperties>
</file>