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24226"/>
  <mc:AlternateContent xmlns:mc="http://schemas.openxmlformats.org/markup-compatibility/2006">
    <mc:Choice Requires="x15">
      <x15ac:absPath xmlns:x15ac="http://schemas.microsoft.com/office/spreadsheetml/2010/11/ac" url="D:\05.Laboral\08.Git and github\02.Duke emerging markets case competition\"/>
    </mc:Choice>
  </mc:AlternateContent>
  <xr:revisionPtr revIDLastSave="0" documentId="13_ncr:1_{3A2566EA-F6EE-474A-ADE9-6DB93A46A784}" xr6:coauthVersionLast="47" xr6:coauthVersionMax="47" xr10:uidLastSave="{00000000-0000-0000-0000-000000000000}"/>
  <bookViews>
    <workbookView xWindow="-120" yWindow="-120" windowWidth="20730" windowHeight="11040" xr2:uid="{00000000-000D-0000-FFFF-FFFF00000000}"/>
  </bookViews>
  <sheets>
    <sheet name="Base scenario" sheetId="7" r:id="rId1"/>
    <sheet name="Optimistic scenario" sheetId="11" r:id="rId2"/>
    <sheet name="Pesimistic scenario" sheetId="9" r:id="rId3"/>
    <sheet name="Expected sales for bikes" sheetId="8" r:id="rId4"/>
    <sheet name="Scenarios" sheetId="12" r:id="rId5"/>
  </sheets>
  <definedNames>
    <definedName name="solver_adj" localSheetId="0" hidden="1">'Base scenario'!$C$27:$I$29</definedName>
    <definedName name="solver_adj" localSheetId="1" hidden="1">'Optimistic scenario'!$C$27:$I$29</definedName>
    <definedName name="solver_adj" localSheetId="2" hidden="1">'Pesimistic scenario'!$C$27:$I$29</definedName>
    <definedName name="solver_cvg" localSheetId="0" hidden="1">0.0001</definedName>
    <definedName name="solver_cvg" localSheetId="1" hidden="1">0.0001</definedName>
    <definedName name="solver_cvg" localSheetId="2" hidden="1">0.0001</definedName>
    <definedName name="solver_drv" localSheetId="0" hidden="1">1</definedName>
    <definedName name="solver_drv" localSheetId="1" hidden="1">1</definedName>
    <definedName name="solver_drv" localSheetId="2" hidden="1">1</definedName>
    <definedName name="solver_eng" localSheetId="0" hidden="1">2</definedName>
    <definedName name="solver_eng" localSheetId="1" hidden="1">2</definedName>
    <definedName name="solver_eng" localSheetId="2" hidden="1">2</definedName>
    <definedName name="solver_est" localSheetId="0" hidden="1">1</definedName>
    <definedName name="solver_est" localSheetId="1" hidden="1">1</definedName>
    <definedName name="solver_est" localSheetId="2" hidden="1">1</definedName>
    <definedName name="solver_itr" localSheetId="0" hidden="1">2147483647</definedName>
    <definedName name="solver_itr" localSheetId="1" hidden="1">2147483647</definedName>
    <definedName name="solver_itr" localSheetId="2" hidden="1">2147483647</definedName>
    <definedName name="solver_lhs1" localSheetId="0" hidden="1">'Base scenario'!$B$27</definedName>
    <definedName name="solver_lhs1" localSheetId="1" hidden="1">'Optimistic scenario'!$B$27</definedName>
    <definedName name="solver_lhs1" localSheetId="2" hidden="1">'Pesimistic scenario'!$B$27</definedName>
    <definedName name="solver_mip" localSheetId="0" hidden="1">2147483647</definedName>
    <definedName name="solver_mip" localSheetId="1" hidden="1">2147483647</definedName>
    <definedName name="solver_mip" localSheetId="2" hidden="1">2147483647</definedName>
    <definedName name="solver_mni" localSheetId="0" hidden="1">30</definedName>
    <definedName name="solver_mni" localSheetId="1" hidden="1">30</definedName>
    <definedName name="solver_mni" localSheetId="2" hidden="1">30</definedName>
    <definedName name="solver_mrt" localSheetId="0" hidden="1">0.075</definedName>
    <definedName name="solver_mrt" localSheetId="1" hidden="1">0.075</definedName>
    <definedName name="solver_mrt" localSheetId="2" hidden="1">0.075</definedName>
    <definedName name="solver_msl" localSheetId="0" hidden="1">2</definedName>
    <definedName name="solver_msl" localSheetId="1" hidden="1">2</definedName>
    <definedName name="solver_msl" localSheetId="2" hidden="1">2</definedName>
    <definedName name="solver_neg" localSheetId="0" hidden="1">1</definedName>
    <definedName name="solver_neg" localSheetId="1" hidden="1">1</definedName>
    <definedName name="solver_neg" localSheetId="2" hidden="1">1</definedName>
    <definedName name="solver_nod" localSheetId="0" hidden="1">2147483647</definedName>
    <definedName name="solver_nod" localSheetId="1" hidden="1">2147483647</definedName>
    <definedName name="solver_nod" localSheetId="2" hidden="1">2147483647</definedName>
    <definedName name="solver_num" localSheetId="0" hidden="1">1</definedName>
    <definedName name="solver_num" localSheetId="1" hidden="1">1</definedName>
    <definedName name="solver_num" localSheetId="2" hidden="1">1</definedName>
    <definedName name="solver_nwt" localSheetId="0" hidden="1">1</definedName>
    <definedName name="solver_nwt" localSheetId="1" hidden="1">1</definedName>
    <definedName name="solver_nwt" localSheetId="2" hidden="1">1</definedName>
    <definedName name="solver_opt" localSheetId="0" hidden="1">'Base scenario'!$B$53</definedName>
    <definedName name="solver_opt" localSheetId="1" hidden="1">'Optimistic scenario'!$B$53</definedName>
    <definedName name="solver_opt" localSheetId="2" hidden="1">'Pesimistic scenario'!$B$53</definedName>
    <definedName name="solver_pre" localSheetId="0" hidden="1">0.000001</definedName>
    <definedName name="solver_pre" localSheetId="1" hidden="1">0.000001</definedName>
    <definedName name="solver_pre" localSheetId="2" hidden="1">0.000001</definedName>
    <definedName name="solver_rbv" localSheetId="0" hidden="1">1</definedName>
    <definedName name="solver_rbv" localSheetId="1" hidden="1">1</definedName>
    <definedName name="solver_rbv" localSheetId="2" hidden="1">1</definedName>
    <definedName name="solver_rel1" localSheetId="0" hidden="1">3</definedName>
    <definedName name="solver_rel1" localSheetId="1" hidden="1">3</definedName>
    <definedName name="solver_rel1" localSheetId="2" hidden="1">3</definedName>
    <definedName name="solver_rhs1" localSheetId="0" hidden="1">40</definedName>
    <definedName name="solver_rhs1" localSheetId="1" hidden="1">40</definedName>
    <definedName name="solver_rhs1" localSheetId="2" hidden="1">40</definedName>
    <definedName name="solver_rlx" localSheetId="0" hidden="1">2</definedName>
    <definedName name="solver_rlx" localSheetId="1" hidden="1">2</definedName>
    <definedName name="solver_rlx" localSheetId="2" hidden="1">2</definedName>
    <definedName name="solver_rsd" localSheetId="0" hidden="1">0</definedName>
    <definedName name="solver_rsd" localSheetId="1" hidden="1">0</definedName>
    <definedName name="solver_rsd" localSheetId="2" hidden="1">0</definedName>
    <definedName name="solver_scl" localSheetId="0" hidden="1">1</definedName>
    <definedName name="solver_scl" localSheetId="1" hidden="1">1</definedName>
    <definedName name="solver_scl" localSheetId="2" hidden="1">1</definedName>
    <definedName name="solver_sho" localSheetId="0" hidden="1">2</definedName>
    <definedName name="solver_sho" localSheetId="1" hidden="1">2</definedName>
    <definedName name="solver_sho" localSheetId="2" hidden="1">2</definedName>
    <definedName name="solver_ssz" localSheetId="0" hidden="1">100</definedName>
    <definedName name="solver_ssz" localSheetId="1" hidden="1">100</definedName>
    <definedName name="solver_ssz" localSheetId="2" hidden="1">100</definedName>
    <definedName name="solver_tim" localSheetId="0" hidden="1">2147483647</definedName>
    <definedName name="solver_tim" localSheetId="1" hidden="1">2147483647</definedName>
    <definedName name="solver_tim" localSheetId="2" hidden="1">2147483647</definedName>
    <definedName name="solver_tol" localSheetId="0" hidden="1">0.01</definedName>
    <definedName name="solver_tol" localSheetId="1" hidden="1">0.01</definedName>
    <definedName name="solver_tol" localSheetId="2" hidden="1">0.01</definedName>
    <definedName name="solver_typ" localSheetId="0" hidden="1">3</definedName>
    <definedName name="solver_typ" localSheetId="1" hidden="1">3</definedName>
    <definedName name="solver_typ" localSheetId="2" hidden="1">3</definedName>
    <definedName name="solver_val" localSheetId="0" hidden="1">1000000</definedName>
    <definedName name="solver_val" localSheetId="1" hidden="1">1000000</definedName>
    <definedName name="solver_val" localSheetId="2" hidden="1">1000000</definedName>
    <definedName name="solver_ver" localSheetId="0" hidden="1">3</definedName>
    <definedName name="solver_ver" localSheetId="1" hidden="1">3</definedName>
    <definedName name="solver_ver" localSheetId="2"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3" i="7" l="1"/>
  <c r="I41" i="11"/>
  <c r="H41" i="11"/>
  <c r="G41" i="11"/>
  <c r="F41" i="11"/>
  <c r="E41" i="11"/>
  <c r="B71" i="11"/>
  <c r="I69" i="11"/>
  <c r="H69" i="11"/>
  <c r="G69" i="11"/>
  <c r="F69" i="11"/>
  <c r="E69" i="11"/>
  <c r="D69" i="11"/>
  <c r="C69" i="11"/>
  <c r="I65" i="11"/>
  <c r="H65" i="11"/>
  <c r="G65" i="11"/>
  <c r="F65" i="11"/>
  <c r="E65" i="11"/>
  <c r="D65" i="11"/>
  <c r="G64" i="11"/>
  <c r="F64" i="11"/>
  <c r="E64" i="11"/>
  <c r="D64" i="11"/>
  <c r="B63" i="11"/>
  <c r="C60" i="11"/>
  <c r="D60" i="11" s="1"/>
  <c r="E60" i="11" s="1"/>
  <c r="F60" i="11" s="1"/>
  <c r="E43" i="11"/>
  <c r="D43" i="11"/>
  <c r="C43" i="11"/>
  <c r="G38" i="11"/>
  <c r="F38" i="11"/>
  <c r="E38" i="11"/>
  <c r="D38" i="11"/>
  <c r="E37" i="11"/>
  <c r="D37" i="11"/>
  <c r="I33" i="11"/>
  <c r="I20" i="11" s="1"/>
  <c r="H33" i="11"/>
  <c r="H20" i="11" s="1"/>
  <c r="G33" i="11"/>
  <c r="F33" i="11"/>
  <c r="E33" i="11"/>
  <c r="D33" i="11"/>
  <c r="C33" i="11"/>
  <c r="C20" i="11" s="1"/>
  <c r="C24" i="11" s="1"/>
  <c r="H32" i="11"/>
  <c r="I32" i="11" s="1"/>
  <c r="D32" i="11"/>
  <c r="E32" i="11" s="1"/>
  <c r="F32" i="11" s="1"/>
  <c r="G32" i="11" s="1"/>
  <c r="C32" i="11"/>
  <c r="C31" i="11"/>
  <c r="D31" i="11" s="1"/>
  <c r="E31" i="11" s="1"/>
  <c r="F31" i="11" s="1"/>
  <c r="G31" i="11" s="1"/>
  <c r="H31" i="11" s="1"/>
  <c r="I31" i="11" s="1"/>
  <c r="D30" i="11"/>
  <c r="E30" i="11" s="1"/>
  <c r="C30" i="11"/>
  <c r="B29" i="11"/>
  <c r="B28" i="11"/>
  <c r="B27" i="11"/>
  <c r="E23" i="11"/>
  <c r="F23" i="11" s="1"/>
  <c r="H38" i="11" s="1"/>
  <c r="D23" i="11"/>
  <c r="C23" i="11"/>
  <c r="F22" i="11"/>
  <c r="G20" i="11"/>
  <c r="F20" i="11"/>
  <c r="E20" i="11"/>
  <c r="D20" i="11"/>
  <c r="P16" i="11"/>
  <c r="D16" i="11"/>
  <c r="P15" i="11"/>
  <c r="P14" i="11"/>
  <c r="L12" i="11"/>
  <c r="L15" i="11" s="1"/>
  <c r="P11" i="11"/>
  <c r="L11" i="11"/>
  <c r="P10" i="11"/>
  <c r="L10" i="11"/>
  <c r="L16" i="11" s="1"/>
  <c r="P9" i="11"/>
  <c r="L8" i="11"/>
  <c r="F8" i="11"/>
  <c r="B7" i="11"/>
  <c r="B8" i="11" s="1"/>
  <c r="P6" i="11"/>
  <c r="P5" i="11"/>
  <c r="L5" i="11"/>
  <c r="P4" i="11"/>
  <c r="B4" i="11"/>
  <c r="P3" i="11"/>
  <c r="P8" i="11" s="1"/>
  <c r="P12" i="11" s="1"/>
  <c r="E41" i="7"/>
  <c r="G41" i="9"/>
  <c r="I41" i="9"/>
  <c r="H41" i="9"/>
  <c r="F41" i="9"/>
  <c r="E41" i="9"/>
  <c r="C40" i="9"/>
  <c r="C39" i="9"/>
  <c r="F8" i="9"/>
  <c r="I69" i="9"/>
  <c r="H69" i="9"/>
  <c r="G69" i="9"/>
  <c r="F69" i="9"/>
  <c r="E69" i="9"/>
  <c r="D69" i="9"/>
  <c r="C69" i="9"/>
  <c r="I65" i="9"/>
  <c r="H65" i="9"/>
  <c r="G65" i="9"/>
  <c r="F65" i="9"/>
  <c r="E65" i="9"/>
  <c r="D65" i="9"/>
  <c r="G64" i="9"/>
  <c r="F64" i="9"/>
  <c r="E64" i="9"/>
  <c r="D64" i="9"/>
  <c r="B63" i="9"/>
  <c r="B71" i="9" s="1"/>
  <c r="C60" i="9"/>
  <c r="D60" i="9" s="1"/>
  <c r="E60" i="9" s="1"/>
  <c r="F60" i="9" s="1"/>
  <c r="E43" i="9"/>
  <c r="D43" i="9"/>
  <c r="C43" i="9"/>
  <c r="E38" i="9"/>
  <c r="D38" i="9"/>
  <c r="E37" i="9"/>
  <c r="D37" i="9"/>
  <c r="I33" i="9"/>
  <c r="I20" i="9" s="1"/>
  <c r="H33" i="9"/>
  <c r="H20" i="9" s="1"/>
  <c r="G33" i="9"/>
  <c r="F33" i="9"/>
  <c r="E33" i="9"/>
  <c r="D33" i="9"/>
  <c r="C33" i="9"/>
  <c r="C32" i="9"/>
  <c r="D32" i="9" s="1"/>
  <c r="E32" i="9" s="1"/>
  <c r="F32" i="9" s="1"/>
  <c r="G32" i="9" s="1"/>
  <c r="H32" i="9" s="1"/>
  <c r="I32" i="9" s="1"/>
  <c r="G31" i="9"/>
  <c r="H31" i="9" s="1"/>
  <c r="I31" i="9" s="1"/>
  <c r="C31" i="9"/>
  <c r="D31" i="9" s="1"/>
  <c r="E31" i="9" s="1"/>
  <c r="F31" i="9" s="1"/>
  <c r="C30" i="9"/>
  <c r="D30" i="9" s="1"/>
  <c r="B29" i="9"/>
  <c r="L10" i="9" s="1"/>
  <c r="L16" i="9" s="1"/>
  <c r="B28" i="9"/>
  <c r="B27" i="9"/>
  <c r="B33" i="9" s="1"/>
  <c r="C23" i="9"/>
  <c r="D23" i="9" s="1"/>
  <c r="F22" i="9"/>
  <c r="F37" i="9" s="1"/>
  <c r="G20" i="9"/>
  <c r="F20" i="9"/>
  <c r="E20" i="9"/>
  <c r="D20" i="9"/>
  <c r="C20" i="9"/>
  <c r="D16" i="9"/>
  <c r="P15" i="9"/>
  <c r="L15" i="9"/>
  <c r="L12" i="9"/>
  <c r="P11" i="9"/>
  <c r="L11" i="9"/>
  <c r="L14" i="9" s="1"/>
  <c r="L8" i="9"/>
  <c r="B7" i="9"/>
  <c r="B8" i="9" s="1"/>
  <c r="P6" i="9"/>
  <c r="P16" i="9" s="1"/>
  <c r="P5" i="9"/>
  <c r="P10" i="9" s="1"/>
  <c r="L5" i="9"/>
  <c r="P4" i="9"/>
  <c r="P14" i="9" s="1"/>
  <c r="B4" i="9"/>
  <c r="P3" i="9"/>
  <c r="P13" i="9" s="1"/>
  <c r="B33" i="11" l="1"/>
  <c r="D68" i="11"/>
  <c r="G68" i="11"/>
  <c r="C42" i="11"/>
  <c r="E68" i="11"/>
  <c r="C68" i="11"/>
  <c r="G42" i="11"/>
  <c r="G40" i="11" s="1"/>
  <c r="I68" i="11"/>
  <c r="H68" i="11"/>
  <c r="F68" i="11"/>
  <c r="D24" i="11"/>
  <c r="E24" i="11" s="1"/>
  <c r="F24" i="11" s="1"/>
  <c r="G24" i="11" s="1"/>
  <c r="H24" i="11" s="1"/>
  <c r="I24" i="11" s="1"/>
  <c r="I42" i="11" s="1"/>
  <c r="I40" i="11" s="1"/>
  <c r="G23" i="11"/>
  <c r="L13" i="11"/>
  <c r="L18" i="11" s="1"/>
  <c r="B36" i="11" s="1"/>
  <c r="L14" i="11"/>
  <c r="F30" i="11"/>
  <c r="C44" i="11"/>
  <c r="F37" i="11"/>
  <c r="G22" i="11"/>
  <c r="B72" i="11"/>
  <c r="B73" i="11" s="1"/>
  <c r="B74" i="11" s="1"/>
  <c r="P13" i="11"/>
  <c r="P17" i="11" s="1"/>
  <c r="C70" i="11" s="1"/>
  <c r="D44" i="11"/>
  <c r="E16" i="11"/>
  <c r="G16" i="11" s="1"/>
  <c r="D68" i="9"/>
  <c r="C68" i="9"/>
  <c r="I68" i="9"/>
  <c r="H68" i="9"/>
  <c r="G68" i="9"/>
  <c r="F68" i="9"/>
  <c r="E68" i="9"/>
  <c r="B72" i="9"/>
  <c r="B73" i="9" s="1"/>
  <c r="B74" i="9" s="1"/>
  <c r="G22" i="9"/>
  <c r="P17" i="9"/>
  <c r="C70" i="9" s="1"/>
  <c r="F38" i="9"/>
  <c r="E23" i="9"/>
  <c r="E30" i="9"/>
  <c r="L13" i="9"/>
  <c r="L18" i="9" s="1"/>
  <c r="B36" i="9" s="1"/>
  <c r="C24" i="9"/>
  <c r="C42" i="9" s="1"/>
  <c r="E16" i="9"/>
  <c r="G16" i="9" s="1"/>
  <c r="D24" i="9"/>
  <c r="E24" i="9" s="1"/>
  <c r="P8" i="9"/>
  <c r="P9" i="9"/>
  <c r="H42" i="11" l="1"/>
  <c r="H40" i="11" s="1"/>
  <c r="F42" i="11"/>
  <c r="F40" i="11" s="1"/>
  <c r="E42" i="11"/>
  <c r="E40" i="11" s="1"/>
  <c r="B76" i="11"/>
  <c r="B75" i="11"/>
  <c r="G37" i="11"/>
  <c r="H22" i="11"/>
  <c r="B48" i="11"/>
  <c r="B45" i="11"/>
  <c r="I38" i="11"/>
  <c r="H23" i="11"/>
  <c r="I23" i="11" s="1"/>
  <c r="C71" i="11"/>
  <c r="D70" i="11"/>
  <c r="F44" i="11"/>
  <c r="G30" i="11"/>
  <c r="D42" i="11"/>
  <c r="D40" i="11" s="1"/>
  <c r="E44" i="11"/>
  <c r="C39" i="11"/>
  <c r="C40" i="11"/>
  <c r="E42" i="9"/>
  <c r="E40" i="9" s="1"/>
  <c r="F24" i="9"/>
  <c r="B76" i="9"/>
  <c r="B75" i="9"/>
  <c r="C71" i="9"/>
  <c r="D70" i="9"/>
  <c r="G37" i="9"/>
  <c r="H22" i="9"/>
  <c r="E44" i="9"/>
  <c r="F30" i="9"/>
  <c r="F23" i="9"/>
  <c r="G38" i="9"/>
  <c r="D42" i="9"/>
  <c r="D40" i="9" s="1"/>
  <c r="B48" i="9"/>
  <c r="B45" i="9"/>
  <c r="P12" i="9"/>
  <c r="C45" i="11" l="1"/>
  <c r="D39" i="11"/>
  <c r="B77" i="11"/>
  <c r="B46" i="11"/>
  <c r="B47" i="11" s="1"/>
  <c r="H30" i="11"/>
  <c r="G44" i="11"/>
  <c r="B50" i="11"/>
  <c r="B49" i="11"/>
  <c r="H37" i="11"/>
  <c r="I22" i="11"/>
  <c r="I37" i="11" s="1"/>
  <c r="E70" i="11"/>
  <c r="D71" i="11"/>
  <c r="C72" i="11"/>
  <c r="C73" i="11" s="1"/>
  <c r="C74" i="11" s="1"/>
  <c r="C72" i="9"/>
  <c r="C73" i="9" s="1"/>
  <c r="C74" i="9" s="1"/>
  <c r="D39" i="9"/>
  <c r="H38" i="9"/>
  <c r="G23" i="9"/>
  <c r="B77" i="9"/>
  <c r="F44" i="9"/>
  <c r="G30" i="9"/>
  <c r="D44" i="9"/>
  <c r="C44" i="9"/>
  <c r="C45" i="9" s="1"/>
  <c r="F42" i="9"/>
  <c r="F40" i="9" s="1"/>
  <c r="G24" i="9"/>
  <c r="H37" i="9"/>
  <c r="I22" i="9"/>
  <c r="I37" i="9" s="1"/>
  <c r="B46" i="9"/>
  <c r="B47" i="9" s="1"/>
  <c r="B50" i="9"/>
  <c r="B49" i="9"/>
  <c r="E70" i="9"/>
  <c r="D71" i="9"/>
  <c r="C76" i="11" l="1"/>
  <c r="C75" i="11"/>
  <c r="D72" i="11"/>
  <c r="D73" i="11" s="1"/>
  <c r="D74" i="11" s="1"/>
  <c r="E39" i="11"/>
  <c r="D45" i="11"/>
  <c r="F70" i="11"/>
  <c r="E71" i="11"/>
  <c r="I30" i="11"/>
  <c r="I44" i="11" s="1"/>
  <c r="H44" i="11"/>
  <c r="C46" i="11"/>
  <c r="C47" i="11" s="1"/>
  <c r="C48" i="11" s="1"/>
  <c r="C77" i="11"/>
  <c r="B51" i="11"/>
  <c r="C46" i="9"/>
  <c r="C47" i="9" s="1"/>
  <c r="C48" i="9" s="1"/>
  <c r="C76" i="9"/>
  <c r="C75" i="9"/>
  <c r="B51" i="9"/>
  <c r="E39" i="9"/>
  <c r="D45" i="9"/>
  <c r="I38" i="9"/>
  <c r="H23" i="9"/>
  <c r="I23" i="9" s="1"/>
  <c r="D72" i="9"/>
  <c r="D73" i="9" s="1"/>
  <c r="D74" i="9" s="1"/>
  <c r="H30" i="9"/>
  <c r="G44" i="9"/>
  <c r="F70" i="9"/>
  <c r="E71" i="9"/>
  <c r="H24" i="9"/>
  <c r="G42" i="9"/>
  <c r="G40" i="9" s="1"/>
  <c r="C77" i="9"/>
  <c r="D76" i="11" l="1"/>
  <c r="D75" i="11"/>
  <c r="C50" i="11"/>
  <c r="C49" i="11"/>
  <c r="C51" i="11"/>
  <c r="D77" i="11"/>
  <c r="E72" i="11"/>
  <c r="E73" i="11" s="1"/>
  <c r="E74" i="11" s="1"/>
  <c r="F71" i="11"/>
  <c r="G70" i="11"/>
  <c r="D46" i="11"/>
  <c r="D47" i="11" s="1"/>
  <c r="D48" i="11" s="1"/>
  <c r="F39" i="11"/>
  <c r="E45" i="11"/>
  <c r="D76" i="9"/>
  <c r="D77" i="9" s="1"/>
  <c r="D75" i="9"/>
  <c r="C50" i="9"/>
  <c r="C51" i="9" s="1"/>
  <c r="C49" i="9"/>
  <c r="I30" i="9"/>
  <c r="I44" i="9" s="1"/>
  <c r="H44" i="9"/>
  <c r="I24" i="9"/>
  <c r="I42" i="9" s="1"/>
  <c r="I40" i="9" s="1"/>
  <c r="H42" i="9"/>
  <c r="H40" i="9" s="1"/>
  <c r="E72" i="9"/>
  <c r="E73" i="9" s="1"/>
  <c r="E74" i="9" s="1"/>
  <c r="F71" i="9"/>
  <c r="G70" i="9"/>
  <c r="D46" i="9"/>
  <c r="D47" i="9"/>
  <c r="D48" i="9" s="1"/>
  <c r="D50" i="9" s="1"/>
  <c r="F39" i="9"/>
  <c r="E45" i="9"/>
  <c r="D50" i="11" l="1"/>
  <c r="D51" i="11" s="1"/>
  <c r="E76" i="11"/>
  <c r="E77" i="11" s="1"/>
  <c r="E75" i="11"/>
  <c r="F72" i="11"/>
  <c r="F73" i="11" s="1"/>
  <c r="F74" i="11" s="1"/>
  <c r="E46" i="11"/>
  <c r="E47" i="11" s="1"/>
  <c r="E48" i="11" s="1"/>
  <c r="G39" i="11"/>
  <c r="F45" i="11"/>
  <c r="D49" i="11"/>
  <c r="G71" i="11"/>
  <c r="H70" i="11"/>
  <c r="E76" i="9"/>
  <c r="E77" i="9" s="1"/>
  <c r="E75" i="9"/>
  <c r="G39" i="9"/>
  <c r="F45" i="9"/>
  <c r="D49" i="9"/>
  <c r="G71" i="9"/>
  <c r="H70" i="9"/>
  <c r="F72" i="9"/>
  <c r="F73" i="9" s="1"/>
  <c r="F74" i="9" s="1"/>
  <c r="D51" i="9"/>
  <c r="E46" i="9"/>
  <c r="E47" i="9" s="1"/>
  <c r="E48" i="9" s="1"/>
  <c r="E50" i="11" l="1"/>
  <c r="F76" i="11"/>
  <c r="B84" i="11" s="1"/>
  <c r="F75" i="11"/>
  <c r="G72" i="11"/>
  <c r="G73" i="11" s="1"/>
  <c r="G74" i="11" s="1"/>
  <c r="E49" i="11"/>
  <c r="F46" i="11"/>
  <c r="F47" i="11" s="1"/>
  <c r="F48" i="11" s="1"/>
  <c r="H71" i="11"/>
  <c r="I70" i="11"/>
  <c r="I71" i="11" s="1"/>
  <c r="H39" i="11"/>
  <c r="G45" i="11"/>
  <c r="E50" i="9"/>
  <c r="E51" i="9" s="1"/>
  <c r="F76" i="9"/>
  <c r="F77" i="9" s="1"/>
  <c r="F75" i="9"/>
  <c r="G72" i="9"/>
  <c r="G73" i="9" s="1"/>
  <c r="G74" i="9" s="1"/>
  <c r="E49" i="9"/>
  <c r="H39" i="9"/>
  <c r="G45" i="9"/>
  <c r="F46" i="9"/>
  <c r="F47" i="9" s="1"/>
  <c r="F48" i="9" s="1"/>
  <c r="I70" i="9"/>
  <c r="I71" i="9" s="1"/>
  <c r="H71" i="9"/>
  <c r="F50" i="11" l="1"/>
  <c r="G75" i="11"/>
  <c r="G76" i="11"/>
  <c r="G46" i="11"/>
  <c r="G47" i="11"/>
  <c r="G48" i="11" s="1"/>
  <c r="G50" i="11" s="1"/>
  <c r="I39" i="11"/>
  <c r="I45" i="11" s="1"/>
  <c r="H45" i="11"/>
  <c r="H72" i="11"/>
  <c r="H73" i="11" s="1"/>
  <c r="H74" i="11" s="1"/>
  <c r="F77" i="11"/>
  <c r="I72" i="11"/>
  <c r="I73" i="11" s="1"/>
  <c r="I74" i="11" s="1"/>
  <c r="F49" i="11"/>
  <c r="E51" i="11"/>
  <c r="G76" i="9"/>
  <c r="G77" i="9" s="1"/>
  <c r="G75" i="9"/>
  <c r="F50" i="9"/>
  <c r="F51" i="9" s="1"/>
  <c r="B84" i="9"/>
  <c r="G46" i="9"/>
  <c r="G47" i="9" s="1"/>
  <c r="G48" i="9" s="1"/>
  <c r="G50" i="9" s="1"/>
  <c r="H72" i="9"/>
  <c r="H73" i="9" s="1"/>
  <c r="H74" i="9" s="1"/>
  <c r="I39" i="9"/>
  <c r="I45" i="9" s="1"/>
  <c r="H45" i="9"/>
  <c r="I72" i="9"/>
  <c r="I73" i="9" s="1"/>
  <c r="I74" i="9" s="1"/>
  <c r="F49" i="9"/>
  <c r="F51" i="11" l="1"/>
  <c r="G51" i="11" s="1"/>
  <c r="G49" i="11"/>
  <c r="I76" i="11"/>
  <c r="B81" i="11"/>
  <c r="H46" i="11"/>
  <c r="H47" i="11" s="1"/>
  <c r="H48" i="11" s="1"/>
  <c r="H50" i="11" s="1"/>
  <c r="I46" i="11"/>
  <c r="I47" i="11" s="1"/>
  <c r="I48" i="11" s="1"/>
  <c r="G77" i="11"/>
  <c r="H75" i="11"/>
  <c r="I75" i="11" s="1"/>
  <c r="B83" i="11" s="1"/>
  <c r="H76" i="11"/>
  <c r="G49" i="9"/>
  <c r="G51" i="9"/>
  <c r="H76" i="9"/>
  <c r="H77" i="9" s="1"/>
  <c r="H75" i="9"/>
  <c r="I75" i="9" s="1"/>
  <c r="B83" i="9" s="1"/>
  <c r="H46" i="9"/>
  <c r="H47" i="9" s="1"/>
  <c r="H48" i="9" s="1"/>
  <c r="I76" i="9"/>
  <c r="B82" i="9" s="1"/>
  <c r="B81" i="9"/>
  <c r="I46" i="9"/>
  <c r="I47" i="9" s="1"/>
  <c r="I48" i="9" s="1"/>
  <c r="H51" i="11" l="1"/>
  <c r="B80" i="11"/>
  <c r="I50" i="11"/>
  <c r="B56" i="11"/>
  <c r="B54" i="11"/>
  <c r="H49" i="11"/>
  <c r="I49" i="11" s="1"/>
  <c r="H77" i="11"/>
  <c r="I77" i="11" s="1"/>
  <c r="B82" i="11"/>
  <c r="I77" i="9"/>
  <c r="B80" i="9"/>
  <c r="H50" i="9"/>
  <c r="H49" i="9"/>
  <c r="I49" i="9" s="1"/>
  <c r="I50" i="9"/>
  <c r="B56" i="9"/>
  <c r="B54" i="9"/>
  <c r="B55" i="11" l="1"/>
  <c r="B53" i="11"/>
  <c r="I51" i="11"/>
  <c r="B55" i="9"/>
  <c r="H51" i="9"/>
  <c r="I51" i="9" s="1"/>
  <c r="B53" i="9"/>
  <c r="L18" i="7" l="1"/>
  <c r="B36" i="7" s="1"/>
  <c r="B4" i="7"/>
  <c r="C42" i="7"/>
  <c r="G41" i="7"/>
  <c r="F41" i="7"/>
  <c r="D40" i="7"/>
  <c r="C40" i="7"/>
  <c r="F39" i="7"/>
  <c r="G39" i="7" s="1"/>
  <c r="H39" i="7" s="1"/>
  <c r="I39" i="7" s="1"/>
  <c r="C39" i="7"/>
  <c r="N2" i="8"/>
  <c r="I41" i="7" s="1"/>
  <c r="M2" i="8"/>
  <c r="H41" i="7" s="1"/>
  <c r="L2" i="8"/>
  <c r="K2" i="8"/>
  <c r="J2" i="8"/>
  <c r="C32" i="7"/>
  <c r="D32" i="7" s="1"/>
  <c r="E32" i="7" s="1"/>
  <c r="F32" i="7" s="1"/>
  <c r="G32" i="7" s="1"/>
  <c r="H32" i="7" s="1"/>
  <c r="I32" i="7" s="1"/>
  <c r="C31" i="7"/>
  <c r="D31" i="7" s="1"/>
  <c r="E31" i="7" s="1"/>
  <c r="F31" i="7" s="1"/>
  <c r="G31" i="7" s="1"/>
  <c r="H31" i="7" s="1"/>
  <c r="I31" i="7" s="1"/>
  <c r="C30" i="7"/>
  <c r="L8" i="7"/>
  <c r="D30" i="7" l="1"/>
  <c r="E30" i="7" l="1"/>
  <c r="F30" i="7" l="1"/>
  <c r="C43" i="7"/>
  <c r="D16" i="7"/>
  <c r="G30" i="7" l="1"/>
  <c r="C33" i="7"/>
  <c r="C20" i="7" s="1"/>
  <c r="D33" i="7"/>
  <c r="D20" i="7" s="1"/>
  <c r="E33" i="7"/>
  <c r="E20" i="7" s="1"/>
  <c r="F33" i="7"/>
  <c r="F20" i="7" s="1"/>
  <c r="G33" i="7"/>
  <c r="G20" i="7" s="1"/>
  <c r="H33" i="7"/>
  <c r="H20" i="7" s="1"/>
  <c r="I33" i="7"/>
  <c r="I20" i="7" s="1"/>
  <c r="B29" i="7"/>
  <c r="L10" i="7" s="1"/>
  <c r="B28" i="7"/>
  <c r="L12" i="7" s="1"/>
  <c r="L15" i="7" s="1"/>
  <c r="B27" i="7"/>
  <c r="L11" i="7" s="1"/>
  <c r="C23" i="7"/>
  <c r="D37" i="7"/>
  <c r="D64" i="7"/>
  <c r="L5" i="7"/>
  <c r="B63" i="7" s="1"/>
  <c r="P6" i="7"/>
  <c r="P11" i="7" s="1"/>
  <c r="P5" i="7"/>
  <c r="P10" i="7" s="1"/>
  <c r="P4" i="7"/>
  <c r="P14" i="7" s="1"/>
  <c r="P3" i="7"/>
  <c r="P13" i="7" s="1"/>
  <c r="B7" i="7"/>
  <c r="G64" i="7"/>
  <c r="F64" i="7"/>
  <c r="E64" i="7"/>
  <c r="I69" i="7"/>
  <c r="H69" i="7"/>
  <c r="G69" i="7"/>
  <c r="I65" i="7"/>
  <c r="H65" i="7"/>
  <c r="G65" i="7"/>
  <c r="D43" i="7"/>
  <c r="E43" i="7"/>
  <c r="E37" i="7"/>
  <c r="F22" i="7"/>
  <c r="F37" i="7" s="1"/>
  <c r="C60" i="7"/>
  <c r="D60" i="7" s="1"/>
  <c r="E60" i="7" s="1"/>
  <c r="F60" i="7" s="1"/>
  <c r="F65" i="7"/>
  <c r="E65" i="7"/>
  <c r="D65" i="7"/>
  <c r="F69" i="7"/>
  <c r="E69" i="7"/>
  <c r="D69" i="7"/>
  <c r="C69" i="7"/>
  <c r="D39" i="7"/>
  <c r="E39" i="7" s="1"/>
  <c r="E16" i="7" l="1"/>
  <c r="G16" i="7" s="1"/>
  <c r="C24" i="7"/>
  <c r="H30" i="7"/>
  <c r="L16" i="7"/>
  <c r="L13" i="7"/>
  <c r="L14" i="7"/>
  <c r="B33" i="7"/>
  <c r="B71" i="7"/>
  <c r="B72" i="7" s="1"/>
  <c r="B73" i="7" s="1"/>
  <c r="P8" i="7"/>
  <c r="P15" i="7"/>
  <c r="P16" i="7"/>
  <c r="P9" i="7"/>
  <c r="G22" i="7"/>
  <c r="G37" i="7" s="1"/>
  <c r="B8" i="7"/>
  <c r="P12" i="7" l="1"/>
  <c r="D44" i="7" s="1"/>
  <c r="E44" i="7"/>
  <c r="I30" i="7"/>
  <c r="I44" i="7" s="1"/>
  <c r="H44" i="7"/>
  <c r="C68" i="7"/>
  <c r="P17" i="7"/>
  <c r="C70" i="7" s="1"/>
  <c r="D70" i="7" s="1"/>
  <c r="E70" i="7" s="1"/>
  <c r="F70" i="7" s="1"/>
  <c r="G70" i="7" s="1"/>
  <c r="H70" i="7" s="1"/>
  <c r="I70" i="7" s="1"/>
  <c r="E68" i="7"/>
  <c r="I68" i="7"/>
  <c r="D68" i="7"/>
  <c r="F68" i="7"/>
  <c r="G68" i="7"/>
  <c r="H68" i="7"/>
  <c r="H22" i="7"/>
  <c r="H37" i="7" s="1"/>
  <c r="B74" i="7"/>
  <c r="F44" i="7" l="1"/>
  <c r="G44" i="7"/>
  <c r="C44" i="7"/>
  <c r="C45" i="7" s="1"/>
  <c r="D24" i="7"/>
  <c r="D42" i="7" s="1"/>
  <c r="I71" i="7"/>
  <c r="I72" i="7" s="1"/>
  <c r="I73" i="7" s="1"/>
  <c r="I74" i="7" s="1"/>
  <c r="C71" i="7"/>
  <c r="C72" i="7" s="1"/>
  <c r="C73" i="7" s="1"/>
  <c r="C74" i="7" s="1"/>
  <c r="C76" i="7" s="1"/>
  <c r="F71" i="7"/>
  <c r="E71" i="7"/>
  <c r="D71" i="7"/>
  <c r="D72" i="7" s="1"/>
  <c r="D73" i="7" s="1"/>
  <c r="H71" i="7"/>
  <c r="H72" i="7" s="1"/>
  <c r="H73" i="7" s="1"/>
  <c r="H74" i="7" s="1"/>
  <c r="G71" i="7"/>
  <c r="G72" i="7" s="1"/>
  <c r="G73" i="7" s="1"/>
  <c r="G74" i="7" s="1"/>
  <c r="G76" i="7" s="1"/>
  <c r="B45" i="7"/>
  <c r="B46" i="7" s="1"/>
  <c r="B47" i="7" s="1"/>
  <c r="I22" i="7"/>
  <c r="I37" i="7" s="1"/>
  <c r="B76" i="7"/>
  <c r="B75" i="7"/>
  <c r="C46" i="7" l="1"/>
  <c r="C47" i="7" s="1"/>
  <c r="C48" i="7" s="1"/>
  <c r="E24" i="7"/>
  <c r="B48" i="7"/>
  <c r="C75" i="7"/>
  <c r="I76" i="7"/>
  <c r="H76" i="7"/>
  <c r="D74" i="7"/>
  <c r="D76" i="7" s="1"/>
  <c r="E72" i="7"/>
  <c r="E73" i="7" s="1"/>
  <c r="E74" i="7" s="1"/>
  <c r="E76" i="7" s="1"/>
  <c r="B77" i="7"/>
  <c r="C77" i="7" s="1"/>
  <c r="D77" i="7" s="1"/>
  <c r="E77" i="7" l="1"/>
  <c r="C50" i="7"/>
  <c r="B50" i="7"/>
  <c r="E42" i="7"/>
  <c r="E40" i="7" s="1"/>
  <c r="F24" i="7"/>
  <c r="B49" i="7"/>
  <c r="C49" i="7" s="1"/>
  <c r="D75" i="7"/>
  <c r="F72" i="7"/>
  <c r="F73" i="7" s="1"/>
  <c r="E75" i="7" l="1"/>
  <c r="B51" i="7"/>
  <c r="C51" i="7" s="1"/>
  <c r="F42" i="7"/>
  <c r="F40" i="7" s="1"/>
  <c r="G24" i="7"/>
  <c r="F74" i="7"/>
  <c r="F76" i="7" l="1"/>
  <c r="B81" i="7"/>
  <c r="G42" i="7"/>
  <c r="G40" i="7" s="1"/>
  <c r="H24" i="7"/>
  <c r="F75" i="7"/>
  <c r="B80" i="7"/>
  <c r="G75" i="7" l="1"/>
  <c r="H75" i="7" s="1"/>
  <c r="I75" i="7" s="1"/>
  <c r="B82" i="7"/>
  <c r="B84" i="7"/>
  <c r="I24" i="7"/>
  <c r="I42" i="7" s="1"/>
  <c r="I40" i="7" s="1"/>
  <c r="H42" i="7"/>
  <c r="H40" i="7" s="1"/>
  <c r="F77" i="7"/>
  <c r="G77" i="7" s="1"/>
  <c r="H77" i="7" s="1"/>
  <c r="I77" i="7" s="1"/>
  <c r="D38" i="7" l="1"/>
  <c r="D45" i="7" s="1"/>
  <c r="E38" i="7"/>
  <c r="E45" i="7" s="1"/>
  <c r="D23" i="7"/>
  <c r="F38" i="7" s="1"/>
  <c r="F45" i="7" s="1"/>
  <c r="E46" i="7" l="1"/>
  <c r="E47" i="7" s="1"/>
  <c r="E48" i="7" s="1"/>
  <c r="E50" i="7" s="1"/>
  <c r="F46" i="7"/>
  <c r="F47" i="7" s="1"/>
  <c r="F48" i="7" s="1"/>
  <c r="F50" i="7" s="1"/>
  <c r="E23" i="7"/>
  <c r="G38" i="7" s="1"/>
  <c r="G45" i="7" s="1"/>
  <c r="D46" i="7"/>
  <c r="D47" i="7" s="1"/>
  <c r="F23" i="7" l="1"/>
  <c r="H38" i="7" s="1"/>
  <c r="H45" i="7" s="1"/>
  <c r="G46" i="7"/>
  <c r="G47" i="7" s="1"/>
  <c r="D48" i="7"/>
  <c r="D50" i="7" l="1"/>
  <c r="D49" i="7"/>
  <c r="E49" i="7" s="1"/>
  <c r="F49" i="7" s="1"/>
  <c r="H46" i="7"/>
  <c r="H47" i="7" s="1"/>
  <c r="H48" i="7" s="1"/>
  <c r="H50" i="7" s="1"/>
  <c r="G23" i="7"/>
  <c r="I38" i="7" s="1"/>
  <c r="I45" i="7" s="1"/>
  <c r="G48" i="7"/>
  <c r="G50" i="7" s="1"/>
  <c r="H23" i="7" l="1"/>
  <c r="I46" i="7"/>
  <c r="I47" i="7" s="1"/>
  <c r="I48" i="7" s="1"/>
  <c r="G49" i="7"/>
  <c r="H49" i="7" s="1"/>
  <c r="D51" i="7"/>
  <c r="E51" i="7" s="1"/>
  <c r="F51" i="7" s="1"/>
  <c r="G51" i="7" s="1"/>
  <c r="H51" i="7" s="1"/>
  <c r="B56" i="7" l="1"/>
  <c r="B54" i="7"/>
  <c r="I50" i="7"/>
  <c r="B55" i="7" s="1"/>
  <c r="I49" i="7"/>
  <c r="I23" i="7"/>
  <c r="I51" i="7" l="1"/>
  <c r="B5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tc={9609C211-39BE-4B4C-AB65-0F4CAFFA1575}</author>
    <author>tc={1523312E-7E28-48BF-A1EB-B51FC5775BC5}</author>
    <author>tc={9EABEE36-4749-4837-A2A2-D5E3B100BAD0}</author>
    <author>tc={73E8B73A-90C2-4CF0-8D0E-F9DDC3BE307B}</author>
    <author>tc={9D137F2A-70A6-41F9-9B99-A90DEA25CFAB}</author>
    <author>tc={2F50BE6B-08A5-4E4C-8FE1-DFDB9303899F}</author>
    <author>tc={B7339F68-B7B7-4ADB-ACDF-5EBF16F7BA46}</author>
    <author>tc={C8E0F80B-8082-40CE-BA52-2C627193A64A}</author>
    <author>tc={732C2FC1-5A61-4000-9FD4-C2548296B6DF}</author>
    <author>tc={E1209166-A341-48F3-81FE-2465C7CB8A08}</author>
    <author>tc={1FE2F017-D8FB-4A8F-818A-E9154B2AF6A3}</author>
    <author>tc={F06904F5-A54F-4442-98C1-03AAB6320EA9}</author>
    <author>tc={D91EFA34-4D9F-431C-ACAF-87A17D10ED72}</author>
    <author>tc={F2479575-F5E7-427B-8427-AB02CBAE5DB0}</author>
    <author>tc={1A7E145D-D99B-4133-94C3-62E5C2CCF184}</author>
    <author>tc={E43C742D-F796-4058-9DA9-F01A2734A9F1}</author>
    <author>tc={FD0B51D9-438C-4855-8E28-DBFCFEFD4A49}</author>
  </authors>
  <commentList>
    <comment ref="B3" authorId="0" shapeId="0" xr:uid="{9609C211-39BE-4B4C-AB65-0F4CAFFA1575}">
      <text>
        <t>[Threaded comment]
Your version of Excel allows you to read this threaded comment; however, any edits to it will get removed if the file is opened in a newer version of Excel. Learn more: https://go.microsoft.com/fwlink/?linkid=870924
Comment:
    Passport growth in transport expenditure for Uganda Passport (2024)</t>
      </text>
    </comment>
    <comment ref="F3" authorId="1" shapeId="0" xr:uid="{1523312E-7E28-48BF-A1EB-B51FC5775BC5}">
      <text>
        <t xml:space="preserve">[Threaded comment]
Your version of Excel allows you to read this threaded comment; however, any edits to it will get removed if the file is opened in a newer version of Excel. Learn more: https://go.microsoft.com/fwlink/?linkid=870924
Comment:
    Uganda income tax (Uganda revenue authority)
</t>
      </text>
    </comment>
    <comment ref="P8" authorId="2" shapeId="0" xr:uid="{9EABEE36-4749-4837-A2A2-D5E3B100BAD0}">
      <text>
        <t>[Threaded comment]
Your version of Excel allows you to read this threaded comment; however, any edits to it will get removed if the file is opened in a newer version of Excel. Learn more: https://go.microsoft.com/fwlink/?linkid=870924
Comment:
    Due to the increase space increase for grid station we assume a 30% increase for rent increase in square meter. Source: Local Real Estate Listing.</t>
      </text>
    </comment>
    <comment ref="P9" authorId="3" shapeId="0" xr:uid="{73E8B73A-90C2-4CF0-8D0E-F9DDC3BE307B}">
      <text>
        <t>[Threaded comment]
Your version of Excel allows you to read this threaded comment; however, any edits to it will get removed if the file is opened in a newer version of Excel. Learn more: https://go.microsoft.com/fwlink/?linkid=870924
Comment:
    We increase the cost by 25% assuming at least one specialized staff for this type of installation. Source: Salary data base for Uganda</t>
      </text>
    </comment>
    <comment ref="L10" authorId="4" shapeId="0" xr:uid="{9D137F2A-70A6-41F9-9B99-A90DEA25CFAB}">
      <text>
        <t>[Threaded comment]
Your version of Excel allows you to read this threaded comment; however, any edits to it will get removed if the file is opened in a newer version of Excel. Learn more: https://go.microsoft.com/fwlink/?linkid=870924
Comment:
    For this project automated cabinets are assumed to be a format used mainly by franchise not by Zembo own growth</t>
      </text>
    </comment>
    <comment ref="P10" authorId="5" shapeId="0" xr:uid="{2F50BE6B-08A5-4E4C-8FE1-DFDB9303899F}">
      <text>
        <t>[Threaded comment]
Your version of Excel allows you to read this threaded comment; however, any edits to it will get removed if the file is opened in a newer version of Excel. Learn more: https://go.microsoft.com/fwlink/?linkid=870924
Comment:
    Require more power from the grid, we assume a 35% increase. Source: Umeme Tariffs Reports.</t>
      </text>
    </comment>
    <comment ref="B11" authorId="6" shapeId="0" xr:uid="{B7339F68-B7B7-4ADB-ACDF-5EBF16F7BA46}">
      <text>
        <t>[Threaded comment]
Your version of Excel allows you to read this threaded comment; however, any edits to it will get removed if the file is opened in a newer version of Excel. Learn more: https://go.microsoft.com/fwlink/?linkid=870924
Comment:
    3PL per cubic when we ask for less than a whole container $200 (6-8)</t>
      </text>
    </comment>
    <comment ref="P11" authorId="7" shapeId="0" xr:uid="{C8E0F80B-8082-40CE-BA52-2C627193A64A}">
      <text>
        <t xml:space="preserve">[Threaded comment]
Your version of Excel allows you to read this threaded comment; however, any edits to it will get removed if the file is opened in a newer version of Excel. Learn more: https://go.microsoft.com/fwlink/?linkid=870924
Comment:
    It is assume an increase of 10% for the increase rent size and different installation for the grid. </t>
      </text>
    </comment>
    <comment ref="L13" authorId="8" shapeId="0" xr:uid="{732C2FC1-5A61-4000-9FD4-C2548296B6DF}">
      <text>
        <t>[Threaded comment]
Your version of Excel allows you to read this threaded comment; however, any edits to it will get removed if the file is opened in a newer version of Excel. Learn more: https://go.microsoft.com/fwlink/?linkid=870924
Comment:
    We assume each station will have 36 batteries to cover initial demand which is aim to increase if needed, although this is lower than the actual 45 daily rotation, 10 units shortage should be cover by the rotation.</t>
      </text>
    </comment>
    <comment ref="P13" authorId="9" shapeId="0" xr:uid="{E1209166-A341-48F3-81FE-2465C7CB8A08}">
      <text>
        <t>[Threaded comment]
Your version of Excel allows you to read this threaded comment; however, any edits to it will get removed if the file is opened in a newer version of Excel. Learn more: https://go.microsoft.com/fwlink/?linkid=870924
Comment:
    Since the grid stations will require less space we assume a reflecting 30% decrease from the base. Source: Local Real Estate Listing.</t>
      </text>
    </comment>
    <comment ref="P14" authorId="10" shapeId="0" xr:uid="{1FE2F017-D8FB-4A8F-818A-E9154B2AF6A3}">
      <text>
        <t>[Threaded comment]
Your version of Excel allows you to read this threaded comment; however, any edits to it will get removed if the file is opened in a newer version of Excel. Learn more: https://go.microsoft.com/fwlink/?linkid=870924
Comment:
    This take into account still some personal to check that the cabinet works properly for this type we assume only 25% of a full station. Source: Salary data base for Uganda</t>
      </text>
    </comment>
    <comment ref="P15" authorId="11" shapeId="0" xr:uid="{F06904F5-A54F-4442-98C1-03AAB6320EA9}">
      <text>
        <t>[Threaded comment]
Your version of Excel allows you to read this threaded comment; however, any edits to it will get removed if the file is opened in a newer version of Excel. Learn more: https://go.microsoft.com/fwlink/?linkid=870924
Comment:
    To follow Zembo’s social objective we aim for all the franchises cabinets to have a solar installation, and have similar energy costs as a hybrid station just reducing by 10%.</t>
      </text>
    </comment>
    <comment ref="P16" authorId="12" shapeId="0" xr:uid="{D91EFA34-4D9F-431C-ACAF-87A17D10ED72}">
      <text>
        <t>[Threaded comment]
Your version of Excel allows you to read this threaded comment; however, any edits to it will get removed if the file is opened in a newer version of Excel. Learn more: https://go.microsoft.com/fwlink/?linkid=870924
Comment:
    We assume only 10% decrease from the base hybrid costs</t>
      </text>
    </comment>
    <comment ref="L17" authorId="13" shapeId="0" xr:uid="{F2479575-F5E7-427B-8427-AB02CBAE5DB0}">
      <text>
        <t>[Threaded comment]
Your version of Excel allows you to read this threaded comment; however, any edits to it will get removed if the file is opened in a newer version of Excel. Learn more: https://go.microsoft.com/fwlink/?linkid=870924
Comment:
    Detail to a greater extent in our warehouse estimation</t>
      </text>
    </comment>
    <comment ref="P18" authorId="14" shapeId="0" xr:uid="{1A7E145D-D99B-4133-94C3-62E5C2CCF184}">
      <text>
        <t>[Threaded comment]
Your version of Excel allows you to read this threaded comment; however, any edits to it will get removed if the file is opened in a newer version of Excel. Learn more: https://go.microsoft.com/fwlink/?linkid=870924
Comment:
    Statista average 5 years</t>
      </text>
    </comment>
    <comment ref="A39" authorId="15" shapeId="0" xr:uid="{E43C742D-F796-4058-9DA9-F01A2734A9F1}">
      <text>
        <t>[Threaded comment]
Your version of Excel allows you to read this threaded comment; however, any edits to it will get removed if the file is opened in a newer version of Excel. Learn more: https://go.microsoft.com/fwlink/?linkid=870924
Comment:
    (33% from swaps our base revenue)</t>
      </text>
    </comment>
    <comment ref="A40" authorId="16" shapeId="0" xr:uid="{FD0B51D9-438C-4855-8E28-DBFCFEFD4A49}">
      <text>
        <t>[Threaded comment]
Your version of Excel allows you to read this threaded comment; however, any edits to it will get removed if the file is opened in a newer version of Excel. Learn more: https://go.microsoft.com/fwlink/?linkid=870924
Comment:
    (44% from swaps our base revenue)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tc={A975D4CD-D3DE-43E8-9A61-FF8585EBD3AD}</author>
    <author>tc={F558DFFF-6D9D-4696-91C6-44CC82FBAE43}</author>
    <author>tc={7B056237-4F2D-46A4-99E0-9AD06641D088}</author>
    <author>tc={67A4A313-9910-4DE2-993E-56EB96A17606}</author>
    <author>tc={076000A0-DB55-44C4-A3F5-5404EFC6B209}</author>
    <author>tc={78266004-D9DB-47CE-888A-D6366A6C5427}</author>
    <author>tc={67832DC1-A08F-4EE5-99D8-F0962D23934A}</author>
    <author>tc={BA715FD1-52C7-423C-A63B-6FD447F92654}</author>
    <author>tc={F9B45998-6C02-4570-B7BD-D00BC27701A8}</author>
    <author>tc={76AA7F06-EA98-4C8E-89E0-A6362C330270}</author>
    <author>tc={192BD3E2-3A0F-4CEC-B96B-4824DEB1E359}</author>
    <author>tc={EFC68695-97C8-4EE7-92C9-AD0EB49E7DA3}</author>
    <author>tc={0F2FD3F7-A073-4106-9765-1F5F23C8D490}</author>
    <author>tc={838AFA17-2347-4E31-8775-10ED54F23CEA}</author>
    <author>tc={D013613F-35C1-4E00-81E9-A15B7BE036BA}</author>
    <author>tc={3FFE2D53-7D2B-4AC4-B609-6D38212BFB66}</author>
    <author>tc={B3F67FEC-70B7-4ECC-B390-AE3E31AE1613}</author>
  </authors>
  <commentList>
    <comment ref="B3" authorId="0" shapeId="0" xr:uid="{A975D4CD-D3DE-43E8-9A61-FF8585EBD3AD}">
      <text>
        <t>[Threaded comment]
Your version of Excel allows you to read this threaded comment; however, any edits to it will get removed if the file is opened in a newer version of Excel. Learn more: https://go.microsoft.com/fwlink/?linkid=870924
Comment:
    Passport growth in transport expenditure for Uganda Passport (2024)</t>
      </text>
    </comment>
    <comment ref="F3" authorId="1" shapeId="0" xr:uid="{F558DFFF-6D9D-4696-91C6-44CC82FBAE43}">
      <text>
        <t xml:space="preserve">[Threaded comment]
Your version of Excel allows you to read this threaded comment; however, any edits to it will get removed if the file is opened in a newer version of Excel. Learn more: https://go.microsoft.com/fwlink/?linkid=870924
Comment:
    Uganda income tax (Uganda revenue authority)
</t>
      </text>
    </comment>
    <comment ref="P8" authorId="2" shapeId="0" xr:uid="{7B056237-4F2D-46A4-99E0-9AD06641D088}">
      <text>
        <t>[Threaded comment]
Your version of Excel allows you to read this threaded comment; however, any edits to it will get removed if the file is opened in a newer version of Excel. Learn more: https://go.microsoft.com/fwlink/?linkid=870924
Comment:
    Due to the increase space increase for grid station we assume a 30% increase for rent increase in square meter. Source: Local Real Estate Listing.</t>
      </text>
    </comment>
    <comment ref="P9" authorId="3" shapeId="0" xr:uid="{67A4A313-9910-4DE2-993E-56EB96A17606}">
      <text>
        <t>[Threaded comment]
Your version of Excel allows you to read this threaded comment; however, any edits to it will get removed if the file is opened in a newer version of Excel. Learn more: https://go.microsoft.com/fwlink/?linkid=870924
Comment:
    We increase the cost by 25% assuming at least one specialized staff for this type of installation. Source: Salary data base for Uganda</t>
      </text>
    </comment>
    <comment ref="L10" authorId="4" shapeId="0" xr:uid="{076000A0-DB55-44C4-A3F5-5404EFC6B209}">
      <text>
        <t>[Threaded comment]
Your version of Excel allows you to read this threaded comment; however, any edits to it will get removed if the file is opened in a newer version of Excel. Learn more: https://go.microsoft.com/fwlink/?linkid=870924
Comment:
    For this project automated cabinets are assumed to be a format used mainly by franchise not by Zembo own growth</t>
      </text>
    </comment>
    <comment ref="P10" authorId="5" shapeId="0" xr:uid="{78266004-D9DB-47CE-888A-D6366A6C5427}">
      <text>
        <t>[Threaded comment]
Your version of Excel allows you to read this threaded comment; however, any edits to it will get removed if the file is opened in a newer version of Excel. Learn more: https://go.microsoft.com/fwlink/?linkid=870924
Comment:
    Require more power from the grid, we assume a 35% increase. Source: Umeme Tariffs Reports.</t>
      </text>
    </comment>
    <comment ref="B11" authorId="6" shapeId="0" xr:uid="{67832DC1-A08F-4EE5-99D8-F0962D23934A}">
      <text>
        <t>[Threaded comment]
Your version of Excel allows you to read this threaded comment; however, any edits to it will get removed if the file is opened in a newer version of Excel. Learn more: https://go.microsoft.com/fwlink/?linkid=870924
Comment:
    3PL per cubic when we ask for less than a whole container $200 (6-8)</t>
      </text>
    </comment>
    <comment ref="P11" authorId="7" shapeId="0" xr:uid="{BA715FD1-52C7-423C-A63B-6FD447F92654}">
      <text>
        <t xml:space="preserve">[Threaded comment]
Your version of Excel allows you to read this threaded comment; however, any edits to it will get removed if the file is opened in a newer version of Excel. Learn more: https://go.microsoft.com/fwlink/?linkid=870924
Comment:
    It is assume an increase of 10% for the increase rent size and different installation for the grid. </t>
      </text>
    </comment>
    <comment ref="L13" authorId="8" shapeId="0" xr:uid="{F9B45998-6C02-4570-B7BD-D00BC27701A8}">
      <text>
        <t>[Threaded comment]
Your version of Excel allows you to read this threaded comment; however, any edits to it will get removed if the file is opened in a newer version of Excel. Learn more: https://go.microsoft.com/fwlink/?linkid=870924
Comment:
    We assume each station will have 36 batteries to cover initial demand which is aim to increase if needed, although this is lower than the actual 45 daily rotation, 10 units shortage should be cover by the rotation.</t>
      </text>
    </comment>
    <comment ref="P13" authorId="9" shapeId="0" xr:uid="{76AA7F06-EA98-4C8E-89E0-A6362C330270}">
      <text>
        <t>[Threaded comment]
Your version of Excel allows you to read this threaded comment; however, any edits to it will get removed if the file is opened in a newer version of Excel. Learn more: https://go.microsoft.com/fwlink/?linkid=870924
Comment:
    Since the grid stations will require less space we assume a reflecting 30% decrease from the base. Source: Local Real Estate Listing.</t>
      </text>
    </comment>
    <comment ref="P14" authorId="10" shapeId="0" xr:uid="{192BD3E2-3A0F-4CEC-B96B-4824DEB1E359}">
      <text>
        <t>[Threaded comment]
Your version of Excel allows you to read this threaded comment; however, any edits to it will get removed if the file is opened in a newer version of Excel. Learn more: https://go.microsoft.com/fwlink/?linkid=870924
Comment:
    This take into account still some personal to check that the cabinet works properly for this type we assume only 25% of a full station. Source: Salary data base for Uganda</t>
      </text>
    </comment>
    <comment ref="P15" authorId="11" shapeId="0" xr:uid="{EFC68695-97C8-4EE7-92C9-AD0EB49E7DA3}">
      <text>
        <t>[Threaded comment]
Your version of Excel allows you to read this threaded comment; however, any edits to it will get removed if the file is opened in a newer version of Excel. Learn more: https://go.microsoft.com/fwlink/?linkid=870924
Comment:
    To follow Zembo’s social objective we aim for all the franchises cabinets to have a solar installation, and have similar energy costs as a hybrid station just reducing by 10%.</t>
      </text>
    </comment>
    <comment ref="P16" authorId="12" shapeId="0" xr:uid="{0F2FD3F7-A073-4106-9765-1F5F23C8D490}">
      <text>
        <t>[Threaded comment]
Your version of Excel allows you to read this threaded comment; however, any edits to it will get removed if the file is opened in a newer version of Excel. Learn more: https://go.microsoft.com/fwlink/?linkid=870924
Comment:
    We assume only 10% decrease from the base hybrid costs</t>
      </text>
    </comment>
    <comment ref="L17" authorId="13" shapeId="0" xr:uid="{838AFA17-2347-4E31-8775-10ED54F23CEA}">
      <text>
        <t>[Threaded comment]
Your version of Excel allows you to read this threaded comment; however, any edits to it will get removed if the file is opened in a newer version of Excel. Learn more: https://go.microsoft.com/fwlink/?linkid=870924
Comment:
    Detail to a greater extent in our warehouse estimation</t>
      </text>
    </comment>
    <comment ref="P18" authorId="14" shapeId="0" xr:uid="{D013613F-35C1-4E00-81E9-A15B7BE036BA}">
      <text>
        <t>[Threaded comment]
Your version of Excel allows you to read this threaded comment; however, any edits to it will get removed if the file is opened in a newer version of Excel. Learn more: https://go.microsoft.com/fwlink/?linkid=870924
Comment:
    Statista average 5 years</t>
      </text>
    </comment>
    <comment ref="A39" authorId="15" shapeId="0" xr:uid="{3FFE2D53-7D2B-4AC4-B609-6D38212BFB66}">
      <text>
        <t>[Threaded comment]
Your version of Excel allows you to read this threaded comment; however, any edits to it will get removed if the file is opened in a newer version of Excel. Learn more: https://go.microsoft.com/fwlink/?linkid=870924
Comment:
    (33% from swaps our base revenue)</t>
      </text>
    </comment>
    <comment ref="A40" authorId="16" shapeId="0" xr:uid="{B3F67FEC-70B7-4ECC-B390-AE3E31AE1613}">
      <text>
        <t>[Threaded comment]
Your version of Excel allows you to read this threaded comment; however, any edits to it will get removed if the file is opened in a newer version of Excel. Learn more: https://go.microsoft.com/fwlink/?linkid=870924
Comment:
    (44% from swaps our base revenue)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tc={E4964910-177A-4085-AF4F-7967606E4D51}</author>
    <author>tc={BEAEDF54-15B5-4586-8F6F-04DA3C0BD261}</author>
    <author>tc={F8218476-9191-454B-B5AB-C42FB5B21B73}</author>
    <author>tc={24DF777E-0BA8-4637-B965-880C8EDEA097}</author>
    <author>tc={7458DF5E-DDCE-4CF9-B81E-8CB348F65BE4}</author>
    <author>tc={50CA6336-A0EA-4AF0-AF17-4B2EDEC31A4B}</author>
    <author>tc={77F0C62C-750B-4861-ABFA-22B5BD0168DC}</author>
    <author>tc={3115DA2E-7568-4485-B4FA-0FFA356EBEB3}</author>
    <author>tc={D2C3CF1F-956F-4FB5-888E-AE4194D9C975}</author>
    <author>tc={0DDAF00B-70A9-4EEA-B120-F913C3A978F6}</author>
    <author>tc={9A501532-66D5-4F84-90D5-02249ECBC317}</author>
    <author>tc={2E4F6988-F079-4B04-BC21-728ADB01F933}</author>
    <author>tc={6B68F81C-B39D-44A4-AD72-A5568CB3B0C4}</author>
    <author>tc={5914DFEF-C2FC-4571-9A96-F00B070972F3}</author>
    <author>tc={DB11C486-1B47-4AD3-9184-23BCBA4FEB2E}</author>
    <author>tc={A0233F10-3912-45EA-9B2D-35858A8A86B5}</author>
    <author>tc={F7790367-27D9-4944-8FB7-279FB9E1A4AA}</author>
  </authors>
  <commentList>
    <comment ref="B3" authorId="0" shapeId="0" xr:uid="{E4964910-177A-4085-AF4F-7967606E4D51}">
      <text>
        <t>[Threaded comment]
Your version of Excel allows you to read this threaded comment; however, any edits to it will get removed if the file is opened in a newer version of Excel. Learn more: https://go.microsoft.com/fwlink/?linkid=870924
Comment:
    Passport growth in transport expenditure for Uganda Passport (2024)</t>
      </text>
    </comment>
    <comment ref="F3" authorId="1" shapeId="0" xr:uid="{BEAEDF54-15B5-4586-8F6F-04DA3C0BD261}">
      <text>
        <t xml:space="preserve">[Threaded comment]
Your version of Excel allows you to read this threaded comment; however, any edits to it will get removed if the file is opened in a newer version of Excel. Learn more: https://go.microsoft.com/fwlink/?linkid=870924
Comment:
    Uganda income tax (Uganda revenue authority)
</t>
      </text>
    </comment>
    <comment ref="P8" authorId="2" shapeId="0" xr:uid="{F8218476-9191-454B-B5AB-C42FB5B21B73}">
      <text>
        <t>[Threaded comment]
Your version of Excel allows you to read this threaded comment; however, any edits to it will get removed if the file is opened in a newer version of Excel. Learn more: https://go.microsoft.com/fwlink/?linkid=870924
Comment:
    Due to the increase space increase for grid station we assume a 30% increase for rent increase in square meter. Source: Local Real Estate Listing.</t>
      </text>
    </comment>
    <comment ref="P9" authorId="3" shapeId="0" xr:uid="{24DF777E-0BA8-4637-B965-880C8EDEA097}">
      <text>
        <t>[Threaded comment]
Your version of Excel allows you to read this threaded comment; however, any edits to it will get removed if the file is opened in a newer version of Excel. Learn more: https://go.microsoft.com/fwlink/?linkid=870924
Comment:
    We increase the cost by 25% assuming at least one specialized staff for this type of installation. Source: Salary data base for Uganda</t>
      </text>
    </comment>
    <comment ref="L10" authorId="4" shapeId="0" xr:uid="{7458DF5E-DDCE-4CF9-B81E-8CB348F65BE4}">
      <text>
        <t>[Threaded comment]
Your version of Excel allows you to read this threaded comment; however, any edits to it will get removed if the file is opened in a newer version of Excel. Learn more: https://go.microsoft.com/fwlink/?linkid=870924
Comment:
    For this project automated cabinets are assumed to be a format used mainly by franchise not by Zembo own growth</t>
      </text>
    </comment>
    <comment ref="P10" authorId="5" shapeId="0" xr:uid="{50CA6336-A0EA-4AF0-AF17-4B2EDEC31A4B}">
      <text>
        <t>[Threaded comment]
Your version of Excel allows you to read this threaded comment; however, any edits to it will get removed if the file is opened in a newer version of Excel. Learn more: https://go.microsoft.com/fwlink/?linkid=870924
Comment:
    Require more power from the grid, we assume a 35% increase. Source: Umeme Tariffs Reports.</t>
      </text>
    </comment>
    <comment ref="B11" authorId="6" shapeId="0" xr:uid="{77F0C62C-750B-4861-ABFA-22B5BD0168DC}">
      <text>
        <t>[Threaded comment]
Your version of Excel allows you to read this threaded comment; however, any edits to it will get removed if the file is opened in a newer version of Excel. Learn more: https://go.microsoft.com/fwlink/?linkid=870924
Comment:
    3PL per cubic when we ask for less than a whole container $200 (6-8)</t>
      </text>
    </comment>
    <comment ref="P11" authorId="7" shapeId="0" xr:uid="{3115DA2E-7568-4485-B4FA-0FFA356EBEB3}">
      <text>
        <t xml:space="preserve">[Threaded comment]
Your version of Excel allows you to read this threaded comment; however, any edits to it will get removed if the file is opened in a newer version of Excel. Learn more: https://go.microsoft.com/fwlink/?linkid=870924
Comment:
    It is assume an increase of 10% for the increase rent size and different installation for the grid. </t>
      </text>
    </comment>
    <comment ref="L13" authorId="8" shapeId="0" xr:uid="{D2C3CF1F-956F-4FB5-888E-AE4194D9C975}">
      <text>
        <t>[Threaded comment]
Your version of Excel allows you to read this threaded comment; however, any edits to it will get removed if the file is opened in a newer version of Excel. Learn more: https://go.microsoft.com/fwlink/?linkid=870924
Comment:
    We assume each station will have 36 batteries to cover initial demand which is aim to increase if needed, although this is lower than the actual 45 daily rotation, 10 units shortage should be cover by the rotation.</t>
      </text>
    </comment>
    <comment ref="P13" authorId="9" shapeId="0" xr:uid="{0DDAF00B-70A9-4EEA-B120-F913C3A978F6}">
      <text>
        <t>[Threaded comment]
Your version of Excel allows you to read this threaded comment; however, any edits to it will get removed if the file is opened in a newer version of Excel. Learn more: https://go.microsoft.com/fwlink/?linkid=870924
Comment:
    Since the grid stations will require less space we assume a reflecting 30% decrease from the base. Source: Local Real Estate Listing.</t>
      </text>
    </comment>
    <comment ref="P14" authorId="10" shapeId="0" xr:uid="{9A501532-66D5-4F84-90D5-02249ECBC317}">
      <text>
        <t>[Threaded comment]
Your version of Excel allows you to read this threaded comment; however, any edits to it will get removed if the file is opened in a newer version of Excel. Learn more: https://go.microsoft.com/fwlink/?linkid=870924
Comment:
    This take into account still some personal to check that the cabinet works properly for this type we assume only 25% of a full station. Source: Salary data base for Uganda</t>
      </text>
    </comment>
    <comment ref="P15" authorId="11" shapeId="0" xr:uid="{2E4F6988-F079-4B04-BC21-728ADB01F933}">
      <text>
        <t>[Threaded comment]
Your version of Excel allows you to read this threaded comment; however, any edits to it will get removed if the file is opened in a newer version of Excel. Learn more: https://go.microsoft.com/fwlink/?linkid=870924
Comment:
    To follow Zembo’s social objective we aim for all the franchises cabinets to have a solar installation, and have similar energy costs as a hybrid station just reducing by 10%.</t>
      </text>
    </comment>
    <comment ref="P16" authorId="12" shapeId="0" xr:uid="{6B68F81C-B39D-44A4-AD72-A5568CB3B0C4}">
      <text>
        <t>[Threaded comment]
Your version of Excel allows you to read this threaded comment; however, any edits to it will get removed if the file is opened in a newer version of Excel. Learn more: https://go.microsoft.com/fwlink/?linkid=870924
Comment:
    We assume only 10% decrease from the base hybrid costs</t>
      </text>
    </comment>
    <comment ref="L17" authorId="13" shapeId="0" xr:uid="{5914DFEF-C2FC-4571-9A96-F00B070972F3}">
      <text>
        <t>[Threaded comment]
Your version of Excel allows you to read this threaded comment; however, any edits to it will get removed if the file is opened in a newer version of Excel. Learn more: https://go.microsoft.com/fwlink/?linkid=870924
Comment:
    Detail to a greater extent in our warehouse estimation</t>
      </text>
    </comment>
    <comment ref="P18" authorId="14" shapeId="0" xr:uid="{DB11C486-1B47-4AD3-9184-23BCBA4FEB2E}">
      <text>
        <t>[Threaded comment]
Your version of Excel allows you to read this threaded comment; however, any edits to it will get removed if the file is opened in a newer version of Excel. Learn more: https://go.microsoft.com/fwlink/?linkid=870924
Comment:
    Statista average 5 years</t>
      </text>
    </comment>
    <comment ref="A39" authorId="15" shapeId="0" xr:uid="{A0233F10-3912-45EA-9B2D-35858A8A86B5}">
      <text>
        <t>[Threaded comment]
Your version of Excel allows you to read this threaded comment; however, any edits to it will get removed if the file is opened in a newer version of Excel. Learn more: https://go.microsoft.com/fwlink/?linkid=870924
Comment:
    (33% from swaps our base revenue)</t>
      </text>
    </comment>
    <comment ref="A40" authorId="16" shapeId="0" xr:uid="{F7790367-27D9-4944-8FB7-279FB9E1A4AA}">
      <text>
        <t>[Threaded comment]
Your version of Excel allows you to read this threaded comment; however, any edits to it will get removed if the file is opened in a newer version of Excel. Learn more: https://go.microsoft.com/fwlink/?linkid=870924
Comment:
    (44% from swaps our base revenue)</t>
      </text>
    </comment>
  </commentList>
</comments>
</file>

<file path=xl/sharedStrings.xml><?xml version="1.0" encoding="utf-8"?>
<sst xmlns="http://schemas.openxmlformats.org/spreadsheetml/2006/main" count="483" uniqueCount="130">
  <si>
    <t>Category</t>
  </si>
  <si>
    <t>Amount (USD)</t>
  </si>
  <si>
    <t>Projected Revenue (2024)</t>
  </si>
  <si>
    <t>Station Set Up Cost (excluding solar)</t>
  </si>
  <si>
    <t>Automated Cabinets Cost (2 Cabinets)</t>
  </si>
  <si>
    <t>23%</t>
  </si>
  <si>
    <t>Capex</t>
  </si>
  <si>
    <t>Opex</t>
  </si>
  <si>
    <t>Year</t>
  </si>
  <si>
    <t>Depreciation (3 years)</t>
  </si>
  <si>
    <t>NOPBT</t>
  </si>
  <si>
    <t>Income tax @ 30%</t>
  </si>
  <si>
    <t>NOPAT</t>
  </si>
  <si>
    <t>Cash flow</t>
  </si>
  <si>
    <t>Accumulated CF</t>
  </si>
  <si>
    <t>Discounted CF</t>
  </si>
  <si>
    <t>Accumulated Disc CF</t>
  </si>
  <si>
    <t>NPV</t>
  </si>
  <si>
    <t>IRR</t>
  </si>
  <si>
    <t>PI</t>
  </si>
  <si>
    <t>ROI</t>
  </si>
  <si>
    <t xml:space="preserve">Investment (CAPEX) </t>
  </si>
  <si>
    <t>Cost structure</t>
  </si>
  <si>
    <t>Income Tax</t>
  </si>
  <si>
    <t>WACC</t>
  </si>
  <si>
    <t>Debt proportion</t>
  </si>
  <si>
    <t>Capital proportion</t>
  </si>
  <si>
    <t>Cost of debt</t>
  </si>
  <si>
    <t>Estimated growth rate</t>
  </si>
  <si>
    <t>Number of stations</t>
  </si>
  <si>
    <t>Average swap per station per day</t>
  </si>
  <si>
    <t>Revenue battery swaps</t>
  </si>
  <si>
    <t>Depreciation</t>
  </si>
  <si>
    <t>OPEX</t>
  </si>
  <si>
    <t>Uganda inflation rate</t>
  </si>
  <si>
    <t>Premium for costs</t>
  </si>
  <si>
    <t>Growth</t>
  </si>
  <si>
    <t>Battery Swaps (2025)</t>
  </si>
  <si>
    <t>OPEX (swap station)</t>
  </si>
  <si>
    <t>Franchise (Per Swap Station)</t>
  </si>
  <si>
    <t>Average Swaps per Day (2023) (all stations)</t>
  </si>
  <si>
    <t>*</t>
  </si>
  <si>
    <t>Years to depreciate</t>
  </si>
  <si>
    <t>Target 2027</t>
  </si>
  <si>
    <t>Dif</t>
  </si>
  <si>
    <t>Franchise Purchase Cost</t>
  </si>
  <si>
    <t>Revenue Swap station Franchise oppening Fee</t>
  </si>
  <si>
    <t>Revenue Swap station Franchise yearly Fee</t>
  </si>
  <si>
    <t>Revenue rent-to own  (5% commison)</t>
  </si>
  <si>
    <t>Revenue sales from third party financiers (5% commison)</t>
  </si>
  <si>
    <t xml:space="preserve">Annual Franchise Cost </t>
  </si>
  <si>
    <t>Number of Total stations owned (internally)</t>
  </si>
  <si>
    <t>This rate tell us what would be the minimum ROI to accept the project</t>
  </si>
  <si>
    <t>The value of the investment today</t>
  </si>
  <si>
    <t>If above one an investment is considered profitable</t>
  </si>
  <si>
    <t>Franchise yearly fee</t>
  </si>
  <si>
    <t>How much do we earned from the investment value</t>
  </si>
  <si>
    <t>How many years do we need to have a return in an investment</t>
  </si>
  <si>
    <t>Discounted Payback period</t>
  </si>
  <si>
    <t>Number of franchises paying franchises fees</t>
  </si>
  <si>
    <t>Total franchise opening fee</t>
  </si>
  <si>
    <t>(SOFR+5%-8%)</t>
  </si>
  <si>
    <t>Cost of equity</t>
  </si>
  <si>
    <t>Battery change unit profit</t>
  </si>
  <si>
    <t>Price motorcycles to third party</t>
  </si>
  <si>
    <t>Cost per battery</t>
  </si>
  <si>
    <t>Shipping costs per battery</t>
  </si>
  <si>
    <t>Batteries for automated cabinet 1</t>
  </si>
  <si>
    <t>Batteries for automated cabinet 2</t>
  </si>
  <si>
    <t>Solar installation cost</t>
  </si>
  <si>
    <t>Number of hybrid stations</t>
  </si>
  <si>
    <t>Number of grid-connected</t>
  </si>
  <si>
    <t>Total cost of hybrid stations</t>
  </si>
  <si>
    <t>Total cost of automated cabints</t>
  </si>
  <si>
    <t>Total cost of battery investment</t>
  </si>
  <si>
    <t>Final CAPEX</t>
  </si>
  <si>
    <t>Rent 16%</t>
  </si>
  <si>
    <t>HR cost 35%</t>
  </si>
  <si>
    <t>Energy 41%</t>
  </si>
  <si>
    <t>Other costs 8%</t>
  </si>
  <si>
    <t>OPEX cabinet</t>
  </si>
  <si>
    <t>Number of hybrid stations opened</t>
  </si>
  <si>
    <t>Number of cabinets opened</t>
  </si>
  <si>
    <t>OPEX hybrid station</t>
  </si>
  <si>
    <t>Number of grid stations opened</t>
  </si>
  <si>
    <t>OPEX grid station</t>
  </si>
  <si>
    <t>Zembo growth</t>
  </si>
  <si>
    <t>Automated Cabinets Cost (1 Cabinets)</t>
  </si>
  <si>
    <t>Number of automated cabinets</t>
  </si>
  <si>
    <t>Total new units open</t>
  </si>
  <si>
    <t>Number of franchise cabinets opened in x year</t>
  </si>
  <si>
    <t>Number of Total franchise cabinets opened</t>
  </si>
  <si>
    <t>Number of station to open by Zembo in x year</t>
  </si>
  <si>
    <t>Currently open</t>
  </si>
  <si>
    <t>Project open</t>
  </si>
  <si>
    <t>Total cost of grid stations</t>
  </si>
  <si>
    <t>Total cost of battery for the stations</t>
  </si>
  <si>
    <t xml:space="preserve">Total number of hybrid stations opened </t>
  </si>
  <si>
    <t xml:space="preserve">Total number of grid stations opened </t>
  </si>
  <si>
    <t xml:space="preserve">Total number of cabinets opened </t>
  </si>
  <si>
    <t>City</t>
  </si>
  <si>
    <t>Medsap Africa Limited</t>
  </si>
  <si>
    <t>Eminent Pharmaceutical Distributors (EPD) Ltd</t>
  </si>
  <si>
    <t>Project Last Mile</t>
  </si>
  <si>
    <t>DHL</t>
  </si>
  <si>
    <t>FedEx</t>
  </si>
  <si>
    <t>Skynet</t>
  </si>
  <si>
    <t>Kampala</t>
  </si>
  <si>
    <t>Year 1</t>
  </si>
  <si>
    <t>Buwama</t>
  </si>
  <si>
    <t>Masaka</t>
  </si>
  <si>
    <t>Mbirizi</t>
  </si>
  <si>
    <t>Mbarara</t>
  </si>
  <si>
    <t>Bushenyi</t>
  </si>
  <si>
    <t>Ntungamo</t>
  </si>
  <si>
    <t>Year 2</t>
  </si>
  <si>
    <t>Year 3</t>
  </si>
  <si>
    <t>Year 4</t>
  </si>
  <si>
    <t>Year 5</t>
  </si>
  <si>
    <t>Revenue sales from B2B partners</t>
  </si>
  <si>
    <t xml:space="preserve">Revenue rent-to own </t>
  </si>
  <si>
    <t xml:space="preserve">Revenue Sales from Third Party Financiers </t>
  </si>
  <si>
    <t>Discount for first three years</t>
  </si>
  <si>
    <t>Warehouse cost</t>
  </si>
  <si>
    <t>Tax rate</t>
  </si>
  <si>
    <t>B2B Sales</t>
  </si>
  <si>
    <t>Growth rate</t>
  </si>
  <si>
    <t>Base</t>
  </si>
  <si>
    <t>Pesimistic</t>
  </si>
  <si>
    <t>Optimistic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</si>
</sst>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Red]\-&quot;$&quot;#,##0.00"/>
    <numFmt numFmtId="44" formatCode="_-&quot;$&quot;* #,##0.00_-;\-&quot;$&quot;* #,##0.00_-;_-&quot;$&quot;* &quot;-&quot;??_-;_-@_-"/>
    <numFmt numFmtId="43" formatCode="_-* #,##0.00_-;\-* #,##0.00_-;_-* &quot;-&quot;??_-;_-@_-"/>
    <numFmt numFmtId="164" formatCode="0.000"/>
  </numFmts>
  <fonts count="14">
    <font>
      <sz val="11"/>
      <color theme="1"/>
      <name val="Calibri"/>
      <family val="2"/>
      <scheme val="minor"/>
    </font>
    <font>
      <sz val="11"/>
      <color theme="1"/>
      <name val="Calibri"/>
      <family val="2"/>
      <scheme val="minor"/>
    </font>
    <font>
      <b/>
      <sz val="11"/>
      <color theme="1"/>
      <name val="Monserrat"/>
    </font>
    <font>
      <sz val="11"/>
      <color theme="1"/>
      <name val="Monserrat"/>
    </font>
    <font>
      <sz val="11"/>
      <color theme="0"/>
      <name val="Monserrat"/>
    </font>
    <font>
      <sz val="11"/>
      <name val="Monserrat"/>
    </font>
    <font>
      <i/>
      <sz val="11"/>
      <color theme="1"/>
      <name val="Monserrat"/>
    </font>
    <font>
      <sz val="11"/>
      <color theme="6" tint="-0.249977111117893"/>
      <name val="Monserrat"/>
    </font>
    <font>
      <i/>
      <sz val="11"/>
      <color theme="3"/>
      <name val="Monserrat"/>
    </font>
    <font>
      <b/>
      <i/>
      <sz val="11"/>
      <color theme="3"/>
      <name val="Monserrat"/>
    </font>
    <font>
      <sz val="11"/>
      <color rgb="FFFF0000"/>
      <name val="Monserrat"/>
    </font>
    <font>
      <b/>
      <sz val="12"/>
      <color theme="1"/>
      <name val="Monserrat"/>
    </font>
    <font>
      <b/>
      <sz val="11"/>
      <color theme="1"/>
      <name val="Calibri"/>
      <family val="2"/>
      <scheme val="minor"/>
    </font>
    <font>
      <i/>
      <sz val="11"/>
      <color theme="1"/>
      <name val="Calibri"/>
      <family val="2"/>
      <scheme val="minor"/>
    </font>
  </fonts>
  <fills count="7">
    <fill>
      <patternFill patternType="none"/>
    </fill>
    <fill>
      <patternFill patternType="gray125"/>
    </fill>
    <fill>
      <patternFill patternType="solid">
        <fgColor rgb="FF7EAB32"/>
        <bgColor indexed="64"/>
      </patternFill>
    </fill>
    <fill>
      <patternFill patternType="solid">
        <fgColor rgb="FF5398D9"/>
        <bgColor indexed="64"/>
      </patternFill>
    </fill>
    <fill>
      <patternFill patternType="solid">
        <fgColor rgb="FFFFBD08"/>
        <bgColor indexed="64"/>
      </patternFill>
    </fill>
    <fill>
      <patternFill patternType="solid">
        <fgColor rgb="FFFDFED8"/>
        <bgColor indexed="64"/>
      </patternFill>
    </fill>
    <fill>
      <patternFill patternType="solid">
        <fgColor theme="0"/>
        <bgColor indexed="64"/>
      </patternFill>
    </fill>
  </fills>
  <borders count="16">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thin">
        <color auto="1"/>
      </right>
      <top/>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68">
    <xf numFmtId="0" fontId="0" fillId="0" borderId="0" xfId="0"/>
    <xf numFmtId="0" fontId="2" fillId="2" borderId="1" xfId="0" applyFont="1" applyFill="1" applyBorder="1" applyAlignment="1">
      <alignment horizontal="center" vertical="top"/>
    </xf>
    <xf numFmtId="0" fontId="3" fillId="0" borderId="0" xfId="0" applyFont="1"/>
    <xf numFmtId="0" fontId="3" fillId="0" borderId="1" xfId="0" applyFont="1" applyBorder="1"/>
    <xf numFmtId="0" fontId="4" fillId="0" borderId="0" xfId="0" applyFont="1"/>
    <xf numFmtId="1" fontId="3" fillId="0" borderId="1" xfId="0" applyNumberFormat="1" applyFont="1" applyBorder="1"/>
    <xf numFmtId="43" fontId="3" fillId="0" borderId="0" xfId="0" applyNumberFormat="1" applyFont="1"/>
    <xf numFmtId="0" fontId="5" fillId="0" borderId="0" xfId="0" applyFont="1"/>
    <xf numFmtId="0" fontId="7" fillId="0" borderId="1" xfId="0" applyFont="1" applyBorder="1"/>
    <xf numFmtId="1" fontId="8" fillId="0" borderId="1" xfId="0" applyNumberFormat="1" applyFont="1" applyBorder="1"/>
    <xf numFmtId="1" fontId="9" fillId="0" borderId="1" xfId="0" applyNumberFormat="1" applyFont="1" applyBorder="1"/>
    <xf numFmtId="1" fontId="7" fillId="0" borderId="1" xfId="0" applyNumberFormat="1" applyFont="1" applyBorder="1"/>
    <xf numFmtId="0" fontId="2" fillId="0" borderId="1" xfId="0" applyFont="1" applyBorder="1" applyAlignment="1">
      <alignment horizontal="center"/>
    </xf>
    <xf numFmtId="8" fontId="3" fillId="0" borderId="1" xfId="0" applyNumberFormat="1" applyFont="1" applyBorder="1"/>
    <xf numFmtId="8" fontId="3" fillId="0" borderId="2" xfId="0" applyNumberFormat="1" applyFont="1" applyBorder="1"/>
    <xf numFmtId="0" fontId="6" fillId="0" borderId="0" xfId="0" applyFont="1"/>
    <xf numFmtId="9" fontId="3" fillId="0" borderId="2" xfId="2" applyFont="1" applyBorder="1"/>
    <xf numFmtId="164" fontId="3" fillId="0" borderId="2" xfId="0" applyNumberFormat="1" applyFont="1" applyBorder="1"/>
    <xf numFmtId="0" fontId="2" fillId="0" borderId="0" xfId="0" applyFont="1"/>
    <xf numFmtId="9" fontId="3" fillId="0" borderId="0" xfId="2" applyFont="1"/>
    <xf numFmtId="44" fontId="10" fillId="0" borderId="1" xfId="0" applyNumberFormat="1" applyFont="1" applyBorder="1"/>
    <xf numFmtId="2" fontId="3" fillId="0" borderId="2" xfId="2" applyNumberFormat="1" applyFont="1" applyBorder="1"/>
    <xf numFmtId="0" fontId="6" fillId="3" borderId="1" xfId="0" applyFont="1" applyFill="1" applyBorder="1"/>
    <xf numFmtId="0" fontId="3" fillId="4" borderId="2" xfId="0" applyFont="1" applyFill="1" applyBorder="1"/>
    <xf numFmtId="0" fontId="2" fillId="4" borderId="1" xfId="0" applyFont="1" applyFill="1" applyBorder="1"/>
    <xf numFmtId="9" fontId="2" fillId="4" borderId="1" xfId="2" applyFont="1" applyFill="1" applyBorder="1"/>
    <xf numFmtId="44" fontId="2" fillId="4" borderId="1" xfId="1" applyFont="1" applyFill="1" applyBorder="1"/>
    <xf numFmtId="44" fontId="3" fillId="5" borderId="1" xfId="1" applyFont="1" applyFill="1" applyBorder="1"/>
    <xf numFmtId="9" fontId="3" fillId="5" borderId="1" xfId="2" applyFont="1" applyFill="1" applyBorder="1"/>
    <xf numFmtId="1" fontId="3" fillId="5" borderId="1" xfId="0" applyNumberFormat="1" applyFont="1" applyFill="1" applyBorder="1"/>
    <xf numFmtId="0" fontId="3" fillId="3" borderId="1" xfId="0" applyFont="1" applyFill="1" applyBorder="1"/>
    <xf numFmtId="9" fontId="4" fillId="0" borderId="0" xfId="0" applyNumberFormat="1" applyFont="1"/>
    <xf numFmtId="44" fontId="3" fillId="6" borderId="1" xfId="1" applyFont="1" applyFill="1" applyBorder="1"/>
    <xf numFmtId="0" fontId="3" fillId="6" borderId="1" xfId="0" applyFont="1" applyFill="1" applyBorder="1"/>
    <xf numFmtId="2" fontId="3" fillId="6" borderId="1" xfId="1" applyNumberFormat="1" applyFont="1" applyFill="1" applyBorder="1"/>
    <xf numFmtId="44" fontId="2" fillId="6" borderId="1" xfId="1" applyFont="1" applyFill="1" applyBorder="1"/>
    <xf numFmtId="9" fontId="5" fillId="0" borderId="0" xfId="2" applyFont="1"/>
    <xf numFmtId="9" fontId="5" fillId="0" borderId="0" xfId="0" applyNumberFormat="1" applyFont="1"/>
    <xf numFmtId="2" fontId="3" fillId="5" borderId="1" xfId="1" applyNumberFormat="1" applyFont="1" applyFill="1" applyBorder="1"/>
    <xf numFmtId="0" fontId="6" fillId="4" borderId="1" xfId="0" applyFont="1" applyFill="1" applyBorder="1"/>
    <xf numFmtId="1" fontId="3" fillId="0" borderId="3" xfId="0" applyNumberFormat="1" applyFont="1" applyBorder="1"/>
    <xf numFmtId="0" fontId="2" fillId="0" borderId="6" xfId="0" applyFont="1" applyBorder="1" applyAlignment="1">
      <alignment horizontal="center"/>
    </xf>
    <xf numFmtId="1" fontId="3" fillId="0" borderId="7" xfId="0" applyNumberFormat="1" applyFont="1" applyBorder="1"/>
    <xf numFmtId="1" fontId="3" fillId="0" borderId="8" xfId="0" applyNumberFormat="1" applyFont="1" applyBorder="1"/>
    <xf numFmtId="1" fontId="3" fillId="0" borderId="9" xfId="0" applyNumberFormat="1" applyFont="1" applyBorder="1"/>
    <xf numFmtId="0" fontId="3" fillId="0" borderId="10" xfId="0" applyFont="1" applyBorder="1"/>
    <xf numFmtId="0" fontId="3" fillId="0" borderId="11" xfId="0" applyFont="1" applyBorder="1"/>
    <xf numFmtId="0" fontId="3" fillId="0" borderId="12" xfId="0" applyFont="1" applyBorder="1"/>
    <xf numFmtId="0" fontId="3" fillId="0" borderId="13" xfId="0" applyFont="1" applyBorder="1"/>
    <xf numFmtId="0" fontId="3" fillId="0" borderId="14" xfId="0" applyFont="1" applyBorder="1"/>
    <xf numFmtId="0" fontId="2" fillId="6" borderId="1" xfId="0" applyFont="1" applyFill="1" applyBorder="1" applyAlignment="1">
      <alignment horizontal="center"/>
    </xf>
    <xf numFmtId="44" fontId="3" fillId="6" borderId="1" xfId="0" applyNumberFormat="1" applyFont="1" applyFill="1" applyBorder="1"/>
    <xf numFmtId="8" fontId="3" fillId="6" borderId="1" xfId="0" applyNumberFormat="1" applyFont="1" applyFill="1" applyBorder="1"/>
    <xf numFmtId="44" fontId="3" fillId="6" borderId="1" xfId="3" applyFont="1" applyFill="1" applyBorder="1"/>
    <xf numFmtId="0" fontId="3" fillId="6" borderId="0" xfId="0" applyFont="1" applyFill="1"/>
    <xf numFmtId="8" fontId="2" fillId="6" borderId="1" xfId="0" applyNumberFormat="1" applyFont="1" applyFill="1" applyBorder="1"/>
    <xf numFmtId="0" fontId="12" fillId="0" borderId="1" xfId="0" applyFont="1" applyBorder="1" applyAlignment="1">
      <alignment horizontal="center" vertical="top"/>
    </xf>
    <xf numFmtId="0" fontId="0" fillId="0" borderId="1" xfId="0" applyBorder="1"/>
    <xf numFmtId="0" fontId="13" fillId="0" borderId="0" xfId="0" applyFont="1"/>
    <xf numFmtId="9" fontId="0" fillId="0" borderId="0" xfId="2" applyFont="1"/>
    <xf numFmtId="0" fontId="3" fillId="3" borderId="15" xfId="0" applyFont="1" applyFill="1" applyBorder="1"/>
    <xf numFmtId="9" fontId="0" fillId="0" borderId="1" xfId="0" applyNumberFormat="1" applyBorder="1"/>
    <xf numFmtId="0" fontId="3" fillId="4" borderId="1" xfId="0" applyFont="1" applyFill="1" applyBorder="1"/>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2" fillId="2" borderId="3" xfId="0" applyFont="1" applyFill="1" applyBorder="1" applyAlignment="1">
      <alignment horizontal="center" vertical="top"/>
    </xf>
    <xf numFmtId="0" fontId="2" fillId="2" borderId="5" xfId="0" applyFont="1" applyFill="1" applyBorder="1" applyAlignment="1">
      <alignment horizontal="center" vertical="top"/>
    </xf>
    <xf numFmtId="0" fontId="2" fillId="2" borderId="4" xfId="0" applyFont="1" applyFill="1" applyBorder="1" applyAlignment="1">
      <alignment horizontal="center" vertical="top"/>
    </xf>
  </cellXfs>
  <cellStyles count="4">
    <cellStyle name="Currency" xfId="1" builtinId="4"/>
    <cellStyle name="Moneda 2" xfId="3" xr:uid="{492E17F9-3D2C-4FAB-8CC2-72F358B541DB}"/>
    <cellStyle name="Normal" xfId="0" builtinId="0"/>
    <cellStyle name="Percent" xfId="2" builtinId="5"/>
  </cellStyles>
  <dxfs count="9">
    <dxf>
      <fill>
        <patternFill>
          <bgColor rgb="FFFFC7CE"/>
        </patternFill>
      </fill>
    </dxf>
    <dxf>
      <font>
        <color rgb="FFFF0000"/>
      </font>
    </dxf>
    <dxf>
      <font>
        <color rgb="FFFF0000"/>
      </font>
    </dxf>
    <dxf>
      <fill>
        <patternFill>
          <bgColor rgb="FFFFC7CE"/>
        </patternFill>
      </fill>
    </dxf>
    <dxf>
      <font>
        <color rgb="FFFF0000"/>
      </font>
    </dxf>
    <dxf>
      <font>
        <color rgb="FFFF0000"/>
      </font>
    </dxf>
    <dxf>
      <fill>
        <patternFill>
          <bgColor rgb="FFFFC7CE"/>
        </patternFill>
      </fill>
    </dxf>
    <dxf>
      <font>
        <color rgb="FFFF0000"/>
      </font>
    </dxf>
    <dxf>
      <font>
        <color rgb="FFFF0000"/>
      </font>
    </dxf>
  </dxfs>
  <tableStyles count="0" defaultTableStyle="TableStyleMedium9" defaultPivotStyle="PivotStyleLight16"/>
  <colors>
    <mruColors>
      <color rgb="FFFDFED8"/>
      <color rgb="FF5398D9"/>
      <color rgb="FFFFBD08"/>
      <color rgb="FF7EAB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rturo Medina" id="{2E36E421-F0E0-44AD-9998-D8E56D331375}" userId="6e67f37bd01509a5"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3" dT="2024-09-20T01:48:04.74" personId="{2E36E421-F0E0-44AD-9998-D8E56D331375}" id="{9609C211-39BE-4B4C-AB65-0F4CAFFA1575}">
    <text>Passport growth in transport expenditure for Uganda Passport (2024)</text>
  </threadedComment>
  <threadedComment ref="F3" dT="2024-09-28T01:33:32.43" personId="{2E36E421-F0E0-44AD-9998-D8E56D331375}" id="{1523312E-7E28-48BF-A1EB-B51FC5775BC5}">
    <text xml:space="preserve">Uganda income tax (Uganda revenue authority)
</text>
  </threadedComment>
  <threadedComment ref="P8" dT="2024-10-20T15:41:54.42" personId="{2E36E421-F0E0-44AD-9998-D8E56D331375}" id="{9EABEE36-4749-4837-A2A2-D5E3B100BAD0}">
    <text>Due to the increase space increase for grid station we assume a 30% increase for rent increase in square meter. Source: Local Real Estate Listing.</text>
  </threadedComment>
  <threadedComment ref="P9" dT="2024-10-20T15:54:23.17" personId="{2E36E421-F0E0-44AD-9998-D8E56D331375}" id="{73E8B73A-90C2-4CF0-8D0E-F9DDC3BE307B}">
    <text>We increase the cost by 25% assuming at least one specialized staff for this type of installation. Source: Salary data base for Uganda</text>
  </threadedComment>
  <threadedComment ref="L10" dT="2024-10-20T18:06:20.24" personId="{2E36E421-F0E0-44AD-9998-D8E56D331375}" id="{9D137F2A-70A6-41F9-9B99-A90DEA25CFAB}">
    <text>For this project automated cabinets are assumed to be a format used mainly by franchise not by Zembo own growth</text>
  </threadedComment>
  <threadedComment ref="P10" dT="2024-10-20T15:56:53.62" personId="{2E36E421-F0E0-44AD-9998-D8E56D331375}" id="{2F50BE6B-08A5-4E4C-8FE1-DFDB9303899F}">
    <text>Require more power from the grid, we assume a 35% increase. Source: Umeme Tariffs Reports.</text>
  </threadedComment>
  <threadedComment ref="B11" dT="2024-10-20T16:11:56.58" personId="{2E36E421-F0E0-44AD-9998-D8E56D331375}" id="{B7339F68-B7B7-4ADB-ACDF-5EBF16F7BA46}">
    <text>3PL per cubic when we ask for less than a whole container $200 (6-8)</text>
  </threadedComment>
  <threadedComment ref="P11" dT="2024-10-20T15:59:19.86" personId="{2E36E421-F0E0-44AD-9998-D8E56D331375}" id="{C8E0F80B-8082-40CE-BA52-2C627193A64A}">
    <text xml:space="preserve">It is assume an increase of 10% for the increase rent size and different installation for the grid. </text>
  </threadedComment>
  <threadedComment ref="L13" dT="2024-10-20T18:10:05.46" personId="{2E36E421-F0E0-44AD-9998-D8E56D331375}" id="{732C2FC1-5A61-4000-9FD4-C2548296B6DF}">
    <text>We assume each station will have 36 batteries to cover initial demand which is aim to increase if needed, although this is lower than the actual 45 daily rotation, 10 units shortage should be cover by the rotation.</text>
  </threadedComment>
  <threadedComment ref="P13" dT="2024-10-20T15:41:54.42" personId="{2E36E421-F0E0-44AD-9998-D8E56D331375}" id="{E1209166-A341-48F3-81FE-2465C7CB8A08}">
    <text>Since the grid stations will require less space we assume a reflecting 30% decrease from the base. Source: Local Real Estate Listing.</text>
  </threadedComment>
  <threadedComment ref="P14" dT="2024-10-20T15:54:23.17" personId="{2E36E421-F0E0-44AD-9998-D8E56D331375}" id="{1FE2F017-D8FB-4A8F-818A-E9154B2AF6A3}">
    <text>This take into account still some personal to check that the cabinet works properly for this type we assume only 25% of a full station. Source: Salary data base for Uganda</text>
  </threadedComment>
  <threadedComment ref="P15" dT="2024-10-20T15:56:53.62" personId="{2E36E421-F0E0-44AD-9998-D8E56D331375}" id="{F06904F5-A54F-4442-98C1-03AAB6320EA9}">
    <text>To follow Zembo’s social objective we aim for all the franchises cabinets to have a solar installation, and have similar energy costs as a hybrid station just reducing by 10%.</text>
  </threadedComment>
  <threadedComment ref="P16" dT="2024-10-20T15:59:19.86" personId="{2E36E421-F0E0-44AD-9998-D8E56D331375}" id="{D91EFA34-4D9F-431C-ACAF-87A17D10ED72}">
    <text>We assume only 10% decrease from the base hybrid costs</text>
  </threadedComment>
  <threadedComment ref="L17" dT="2024-11-05T21:34:16.21" personId="{2E36E421-F0E0-44AD-9998-D8E56D331375}" id="{F2479575-F5E7-427B-8427-AB02CBAE5DB0}">
    <text>Detail to a greater extent in our warehouse estimation</text>
  </threadedComment>
  <threadedComment ref="P18" dT="2024-09-20T02:03:33.56" personId="{2E36E421-F0E0-44AD-9998-D8E56D331375}" id="{1A7E145D-D99B-4133-94C3-62E5C2CCF184}">
    <text>Statista average 5 years</text>
  </threadedComment>
  <threadedComment ref="A39" dT="2024-10-20T23:24:54.99" personId="{2E36E421-F0E0-44AD-9998-D8E56D331375}" id="{E43C742D-F796-4058-9DA9-F01A2734A9F1}">
    <text>(33% from swaps our base revenue)</text>
  </threadedComment>
  <threadedComment ref="A40" dT="2024-10-20T23:25:09.09" personId="{2E36E421-F0E0-44AD-9998-D8E56D331375}" id="{FD0B51D9-438C-4855-8E28-DBFCFEFD4A49}">
    <text>(44% from swaps our base revenue)</text>
  </threadedComment>
</ThreadedComments>
</file>

<file path=xl/threadedComments/threadedComment2.xml><?xml version="1.0" encoding="utf-8"?>
<ThreadedComments xmlns="http://schemas.microsoft.com/office/spreadsheetml/2018/threadedcomments" xmlns:x="http://schemas.openxmlformats.org/spreadsheetml/2006/main">
  <threadedComment ref="B3" dT="2024-09-20T01:48:04.74" personId="{2E36E421-F0E0-44AD-9998-D8E56D331375}" id="{A975D4CD-D3DE-43E8-9A61-FF8585EBD3AD}">
    <text>Passport growth in transport expenditure for Uganda Passport (2024)</text>
  </threadedComment>
  <threadedComment ref="F3" dT="2024-09-28T01:33:32.43" personId="{2E36E421-F0E0-44AD-9998-D8E56D331375}" id="{F558DFFF-6D9D-4696-91C6-44CC82FBAE43}">
    <text xml:space="preserve">Uganda income tax (Uganda revenue authority)
</text>
  </threadedComment>
  <threadedComment ref="P8" dT="2024-10-20T15:41:54.42" personId="{2E36E421-F0E0-44AD-9998-D8E56D331375}" id="{7B056237-4F2D-46A4-99E0-9AD06641D088}">
    <text>Due to the increase space increase for grid station we assume a 30% increase for rent increase in square meter. Source: Local Real Estate Listing.</text>
  </threadedComment>
  <threadedComment ref="P9" dT="2024-10-20T15:54:23.17" personId="{2E36E421-F0E0-44AD-9998-D8E56D331375}" id="{67A4A313-9910-4DE2-993E-56EB96A17606}">
    <text>We increase the cost by 25% assuming at least one specialized staff for this type of installation. Source: Salary data base for Uganda</text>
  </threadedComment>
  <threadedComment ref="L10" dT="2024-10-20T18:06:20.24" personId="{2E36E421-F0E0-44AD-9998-D8E56D331375}" id="{076000A0-DB55-44C4-A3F5-5404EFC6B209}">
    <text>For this project automated cabinets are assumed to be a format used mainly by franchise not by Zembo own growth</text>
  </threadedComment>
  <threadedComment ref="P10" dT="2024-10-20T15:56:53.62" personId="{2E36E421-F0E0-44AD-9998-D8E56D331375}" id="{78266004-D9DB-47CE-888A-D6366A6C5427}">
    <text>Require more power from the grid, we assume a 35% increase. Source: Umeme Tariffs Reports.</text>
  </threadedComment>
  <threadedComment ref="B11" dT="2024-10-20T16:11:56.58" personId="{2E36E421-F0E0-44AD-9998-D8E56D331375}" id="{67832DC1-A08F-4EE5-99D8-F0962D23934A}">
    <text>3PL per cubic when we ask for less than a whole container $200 (6-8)</text>
  </threadedComment>
  <threadedComment ref="P11" dT="2024-10-20T15:59:19.86" personId="{2E36E421-F0E0-44AD-9998-D8E56D331375}" id="{BA715FD1-52C7-423C-A63B-6FD447F92654}">
    <text xml:space="preserve">It is assume an increase of 10% for the increase rent size and different installation for the grid. </text>
  </threadedComment>
  <threadedComment ref="L13" dT="2024-10-20T18:10:05.46" personId="{2E36E421-F0E0-44AD-9998-D8E56D331375}" id="{F9B45998-6C02-4570-B7BD-D00BC27701A8}">
    <text>We assume each station will have 36 batteries to cover initial demand which is aim to increase if needed, although this is lower than the actual 45 daily rotation, 10 units shortage should be cover by the rotation.</text>
  </threadedComment>
  <threadedComment ref="P13" dT="2024-10-20T15:41:54.42" personId="{2E36E421-F0E0-44AD-9998-D8E56D331375}" id="{76AA7F06-EA98-4C8E-89E0-A6362C330270}">
    <text>Since the grid stations will require less space we assume a reflecting 30% decrease from the base. Source: Local Real Estate Listing.</text>
  </threadedComment>
  <threadedComment ref="P14" dT="2024-10-20T15:54:23.17" personId="{2E36E421-F0E0-44AD-9998-D8E56D331375}" id="{192BD3E2-3A0F-4CEC-B96B-4824DEB1E359}">
    <text>This take into account still some personal to check that the cabinet works properly for this type we assume only 25% of a full station. Source: Salary data base for Uganda</text>
  </threadedComment>
  <threadedComment ref="P15" dT="2024-10-20T15:56:53.62" personId="{2E36E421-F0E0-44AD-9998-D8E56D331375}" id="{EFC68695-97C8-4EE7-92C9-AD0EB49E7DA3}">
    <text>To follow Zembo’s social objective we aim for all the franchises cabinets to have a solar installation, and have similar energy costs as a hybrid station just reducing by 10%.</text>
  </threadedComment>
  <threadedComment ref="P16" dT="2024-10-20T15:59:19.86" personId="{2E36E421-F0E0-44AD-9998-D8E56D331375}" id="{0F2FD3F7-A073-4106-9765-1F5F23C8D490}">
    <text>We assume only 10% decrease from the base hybrid costs</text>
  </threadedComment>
  <threadedComment ref="L17" dT="2024-11-05T21:34:16.21" personId="{2E36E421-F0E0-44AD-9998-D8E56D331375}" id="{838AFA17-2347-4E31-8775-10ED54F23CEA}">
    <text>Detail to a greater extent in our warehouse estimation</text>
  </threadedComment>
  <threadedComment ref="P18" dT="2024-09-20T02:03:33.56" personId="{2E36E421-F0E0-44AD-9998-D8E56D331375}" id="{D013613F-35C1-4E00-81E9-A15B7BE036BA}">
    <text>Statista average 5 years</text>
  </threadedComment>
  <threadedComment ref="A39" dT="2024-10-20T23:24:54.99" personId="{2E36E421-F0E0-44AD-9998-D8E56D331375}" id="{3FFE2D53-7D2B-4AC4-B609-6D38212BFB66}">
    <text>(33% from swaps our base revenue)</text>
  </threadedComment>
  <threadedComment ref="A40" dT="2024-10-20T23:25:09.09" personId="{2E36E421-F0E0-44AD-9998-D8E56D331375}" id="{B3F67FEC-70B7-4ECC-B390-AE3E31AE1613}">
    <text>(44% from swaps our base revenue)</text>
  </threadedComment>
</ThreadedComments>
</file>

<file path=xl/threadedComments/threadedComment3.xml><?xml version="1.0" encoding="utf-8"?>
<ThreadedComments xmlns="http://schemas.microsoft.com/office/spreadsheetml/2018/threadedcomments" xmlns:x="http://schemas.openxmlformats.org/spreadsheetml/2006/main">
  <threadedComment ref="B3" dT="2024-09-20T01:48:04.74" personId="{2E36E421-F0E0-44AD-9998-D8E56D331375}" id="{E4964910-177A-4085-AF4F-7967606E4D51}">
    <text>Passport growth in transport expenditure for Uganda Passport (2024)</text>
  </threadedComment>
  <threadedComment ref="F3" dT="2024-09-28T01:33:32.43" personId="{2E36E421-F0E0-44AD-9998-D8E56D331375}" id="{BEAEDF54-15B5-4586-8F6F-04DA3C0BD261}">
    <text xml:space="preserve">Uganda income tax (Uganda revenue authority)
</text>
  </threadedComment>
  <threadedComment ref="P8" dT="2024-10-20T15:41:54.42" personId="{2E36E421-F0E0-44AD-9998-D8E56D331375}" id="{F8218476-9191-454B-B5AB-C42FB5B21B73}">
    <text>Due to the increase space increase for grid station we assume a 30% increase for rent increase in square meter. Source: Local Real Estate Listing.</text>
  </threadedComment>
  <threadedComment ref="P9" dT="2024-10-20T15:54:23.17" personId="{2E36E421-F0E0-44AD-9998-D8E56D331375}" id="{24DF777E-0BA8-4637-B965-880C8EDEA097}">
    <text>We increase the cost by 25% assuming at least one specialized staff for this type of installation. Source: Salary data base for Uganda</text>
  </threadedComment>
  <threadedComment ref="L10" dT="2024-10-20T18:06:20.24" personId="{2E36E421-F0E0-44AD-9998-D8E56D331375}" id="{7458DF5E-DDCE-4CF9-B81E-8CB348F65BE4}">
    <text>For this project automated cabinets are assumed to be a format used mainly by franchise not by Zembo own growth</text>
  </threadedComment>
  <threadedComment ref="P10" dT="2024-10-20T15:56:53.62" personId="{2E36E421-F0E0-44AD-9998-D8E56D331375}" id="{50CA6336-A0EA-4AF0-AF17-4B2EDEC31A4B}">
    <text>Require more power from the grid, we assume a 35% increase. Source: Umeme Tariffs Reports.</text>
  </threadedComment>
  <threadedComment ref="B11" dT="2024-10-20T16:11:56.58" personId="{2E36E421-F0E0-44AD-9998-D8E56D331375}" id="{77F0C62C-750B-4861-ABFA-22B5BD0168DC}">
    <text>3PL per cubic when we ask for less than a whole container $200 (6-8)</text>
  </threadedComment>
  <threadedComment ref="P11" dT="2024-10-20T15:59:19.86" personId="{2E36E421-F0E0-44AD-9998-D8E56D331375}" id="{3115DA2E-7568-4485-B4FA-0FFA356EBEB3}">
    <text xml:space="preserve">It is assume an increase of 10% for the increase rent size and different installation for the grid. </text>
  </threadedComment>
  <threadedComment ref="L13" dT="2024-10-20T18:10:05.46" personId="{2E36E421-F0E0-44AD-9998-D8E56D331375}" id="{D2C3CF1F-956F-4FB5-888E-AE4194D9C975}">
    <text>We assume each station will have 36 batteries to cover initial demand which is aim to increase if needed, although this is lower than the actual 45 daily rotation, 10 units shortage should be cover by the rotation.</text>
  </threadedComment>
  <threadedComment ref="P13" dT="2024-10-20T15:41:54.42" personId="{2E36E421-F0E0-44AD-9998-D8E56D331375}" id="{0DDAF00B-70A9-4EEA-B120-F913C3A978F6}">
    <text>Since the grid stations will require less space we assume a reflecting 30% decrease from the base. Source: Local Real Estate Listing.</text>
  </threadedComment>
  <threadedComment ref="P14" dT="2024-10-20T15:54:23.17" personId="{2E36E421-F0E0-44AD-9998-D8E56D331375}" id="{9A501532-66D5-4F84-90D5-02249ECBC317}">
    <text>This take into account still some personal to check that the cabinet works properly for this type we assume only 25% of a full station. Source: Salary data base for Uganda</text>
  </threadedComment>
  <threadedComment ref="P15" dT="2024-10-20T15:56:53.62" personId="{2E36E421-F0E0-44AD-9998-D8E56D331375}" id="{2E4F6988-F079-4B04-BC21-728ADB01F933}">
    <text>To follow Zembo’s social objective we aim for all the franchises cabinets to have a solar installation, and have similar energy costs as a hybrid station just reducing by 10%.</text>
  </threadedComment>
  <threadedComment ref="P16" dT="2024-10-20T15:59:19.86" personId="{2E36E421-F0E0-44AD-9998-D8E56D331375}" id="{6B68F81C-B39D-44A4-AD72-A5568CB3B0C4}">
    <text>We assume only 10% decrease from the base hybrid costs</text>
  </threadedComment>
  <threadedComment ref="L17" dT="2024-11-05T21:34:16.21" personId="{2E36E421-F0E0-44AD-9998-D8E56D331375}" id="{5914DFEF-C2FC-4571-9A96-F00B070972F3}">
    <text>Detail to a greater extent in our warehouse estimation</text>
  </threadedComment>
  <threadedComment ref="P18" dT="2024-09-20T02:03:33.56" personId="{2E36E421-F0E0-44AD-9998-D8E56D331375}" id="{DB11C486-1B47-4AD3-9184-23BCBA4FEB2E}">
    <text>Statista average 5 years</text>
  </threadedComment>
  <threadedComment ref="A39" dT="2024-10-20T23:24:54.99" personId="{2E36E421-F0E0-44AD-9998-D8E56D331375}" id="{A0233F10-3912-45EA-9B2D-35858A8A86B5}">
    <text>(33% from swaps our base revenue)</text>
  </threadedComment>
  <threadedComment ref="A40" dT="2024-10-20T23:25:09.09" personId="{2E36E421-F0E0-44AD-9998-D8E56D331375}" id="{F7790367-27D9-4944-8FB7-279FB9E1A4AA}">
    <text>(44% from swaps our base revenue)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81C9F-F5FA-4C7E-A7EF-B2F096959703}">
  <dimension ref="A1:S87"/>
  <sheetViews>
    <sheetView showGridLines="0" tabSelected="1" zoomScale="75" workbookViewId="0">
      <selection activeCell="B83" sqref="B83"/>
    </sheetView>
  </sheetViews>
  <sheetFormatPr defaultRowHeight="15"/>
  <cols>
    <col min="1" max="1" width="55" customWidth="1"/>
    <col min="2" max="2" width="16" bestFit="1" customWidth="1"/>
    <col min="3" max="3" width="16.28515625" customWidth="1"/>
    <col min="4" max="4" width="16.140625" customWidth="1"/>
    <col min="5" max="5" width="18.5703125" customWidth="1"/>
    <col min="6" max="8" width="16" customWidth="1"/>
    <col min="9" max="9" width="16" bestFit="1" customWidth="1"/>
    <col min="10" max="10" width="11" bestFit="1" customWidth="1"/>
    <col min="11" max="11" width="35.28515625" bestFit="1" customWidth="1"/>
    <col min="12" max="12" width="16" bestFit="1" customWidth="1"/>
    <col min="14" max="14" width="15.5703125" bestFit="1" customWidth="1"/>
    <col min="15" max="15" width="44" bestFit="1" customWidth="1"/>
    <col min="16" max="16" width="13" bestFit="1" customWidth="1"/>
    <col min="17" max="17" width="17.5703125" bestFit="1" customWidth="1"/>
  </cols>
  <sheetData>
    <row r="1" spans="1:19">
      <c r="A1" s="1" t="s">
        <v>0</v>
      </c>
      <c r="B1" s="1" t="s">
        <v>1</v>
      </c>
      <c r="C1" s="2"/>
      <c r="D1" s="2"/>
      <c r="E1" s="2"/>
      <c r="F1" s="2"/>
      <c r="G1" s="2"/>
      <c r="H1" s="2"/>
      <c r="I1" s="2"/>
      <c r="J1" s="2"/>
      <c r="K1" s="2"/>
      <c r="L1" s="2"/>
      <c r="M1" s="2"/>
      <c r="N1" s="2"/>
      <c r="O1" s="2"/>
      <c r="P1" s="2"/>
      <c r="Q1" s="2"/>
      <c r="R1" s="2"/>
      <c r="S1" s="2"/>
    </row>
    <row r="2" spans="1:19" ht="23.25" customHeight="1">
      <c r="A2" s="30" t="s">
        <v>2</v>
      </c>
      <c r="B2" s="27">
        <v>1200000</v>
      </c>
      <c r="C2" s="2"/>
      <c r="D2" s="2"/>
      <c r="E2" s="63" t="s">
        <v>22</v>
      </c>
      <c r="F2" s="64"/>
      <c r="G2" s="2"/>
      <c r="H2" s="2"/>
      <c r="I2" s="2"/>
      <c r="J2" s="2"/>
      <c r="K2" s="63" t="s">
        <v>6</v>
      </c>
      <c r="L2" s="64"/>
      <c r="M2" s="2"/>
      <c r="N2" s="2"/>
      <c r="O2" s="63" t="s">
        <v>7</v>
      </c>
      <c r="P2" s="64"/>
      <c r="Q2" s="2"/>
      <c r="R2" s="2"/>
      <c r="S2" s="2"/>
    </row>
    <row r="3" spans="1:19">
      <c r="A3" s="30" t="s">
        <v>28</v>
      </c>
      <c r="B3" s="28">
        <v>0.1</v>
      </c>
      <c r="C3" s="2"/>
      <c r="D3" s="2"/>
      <c r="E3" s="30" t="s">
        <v>23</v>
      </c>
      <c r="F3" s="28">
        <v>0.3</v>
      </c>
      <c r="G3" s="2"/>
      <c r="H3" s="2"/>
      <c r="I3" s="2"/>
      <c r="J3" s="2"/>
      <c r="K3" s="30" t="s">
        <v>3</v>
      </c>
      <c r="L3" s="32">
        <v>6750</v>
      </c>
      <c r="M3" s="2"/>
      <c r="N3" s="2"/>
      <c r="O3" s="30" t="s">
        <v>76</v>
      </c>
      <c r="P3" s="27">
        <f>+$P$7*Q3</f>
        <v>208</v>
      </c>
      <c r="Q3" s="36">
        <v>0.16</v>
      </c>
      <c r="R3" s="2"/>
      <c r="S3" s="2"/>
    </row>
    <row r="4" spans="1:19">
      <c r="A4" s="30" t="s">
        <v>37</v>
      </c>
      <c r="B4" s="32">
        <f>+$B$2*C4</f>
        <v>276000</v>
      </c>
      <c r="C4" s="4" t="s">
        <v>5</v>
      </c>
      <c r="D4" s="2"/>
      <c r="E4" s="30" t="s">
        <v>27</v>
      </c>
      <c r="F4" s="28">
        <v>0.15</v>
      </c>
      <c r="G4" s="2" t="s">
        <v>61</v>
      </c>
      <c r="H4" s="2"/>
      <c r="I4" s="2"/>
      <c r="J4" s="2"/>
      <c r="K4" s="30" t="s">
        <v>4</v>
      </c>
      <c r="L4" s="32">
        <v>12500</v>
      </c>
      <c r="M4" s="2"/>
      <c r="O4" s="30" t="s">
        <v>77</v>
      </c>
      <c r="P4" s="27">
        <f>+$P$7*Q4</f>
        <v>454.99999999999994</v>
      </c>
      <c r="Q4" s="36">
        <v>0.35</v>
      </c>
      <c r="R4" s="2"/>
      <c r="S4" s="2"/>
    </row>
    <row r="5" spans="1:19">
      <c r="A5" s="30" t="s">
        <v>40</v>
      </c>
      <c r="B5" s="33">
        <v>1300</v>
      </c>
      <c r="C5" s="2"/>
      <c r="D5" s="2"/>
      <c r="E5" s="30" t="s">
        <v>25</v>
      </c>
      <c r="F5" s="28">
        <v>0.6</v>
      </c>
      <c r="G5" s="2"/>
      <c r="H5" s="2"/>
      <c r="I5" s="2"/>
      <c r="J5" s="2"/>
      <c r="K5" s="30" t="s">
        <v>87</v>
      </c>
      <c r="L5" s="27">
        <f>+L4/2</f>
        <v>6250</v>
      </c>
      <c r="M5" s="2"/>
      <c r="N5" s="2"/>
      <c r="O5" s="30" t="s">
        <v>78</v>
      </c>
      <c r="P5" s="27">
        <f>+$P$7*Q5</f>
        <v>533</v>
      </c>
      <c r="Q5" s="36">
        <v>0.41</v>
      </c>
      <c r="R5" s="2"/>
      <c r="S5" s="2"/>
    </row>
    <row r="6" spans="1:19">
      <c r="A6" s="30" t="s">
        <v>29</v>
      </c>
      <c r="B6" s="33">
        <v>29</v>
      </c>
      <c r="C6" s="2"/>
      <c r="D6" s="2"/>
      <c r="E6" s="30" t="s">
        <v>62</v>
      </c>
      <c r="F6" s="28">
        <v>0.25</v>
      </c>
      <c r="G6" s="2"/>
      <c r="H6" s="2"/>
      <c r="I6" s="2"/>
      <c r="J6" s="2"/>
      <c r="K6" s="30" t="s">
        <v>67</v>
      </c>
      <c r="L6" s="34">
        <v>18</v>
      </c>
      <c r="M6" s="2"/>
      <c r="N6" s="2"/>
      <c r="O6" s="30" t="s">
        <v>79</v>
      </c>
      <c r="P6" s="27">
        <f>+$P$7*Q6</f>
        <v>104</v>
      </c>
      <c r="Q6" s="36">
        <v>0.08</v>
      </c>
      <c r="R6" s="2"/>
      <c r="S6" s="2"/>
    </row>
    <row r="7" spans="1:19">
      <c r="A7" s="30" t="s">
        <v>30</v>
      </c>
      <c r="B7" s="29">
        <f>+B5/B6</f>
        <v>44.827586206896555</v>
      </c>
      <c r="C7" s="2" t="s">
        <v>41</v>
      </c>
      <c r="D7" s="2"/>
      <c r="E7" s="30" t="s">
        <v>26</v>
      </c>
      <c r="F7" s="28">
        <v>0.4</v>
      </c>
      <c r="G7" s="2"/>
      <c r="H7" s="2"/>
      <c r="I7" s="2"/>
      <c r="J7" s="2"/>
      <c r="K7" s="30" t="s">
        <v>68</v>
      </c>
      <c r="L7" s="34">
        <v>18</v>
      </c>
      <c r="M7" s="2"/>
      <c r="N7" s="2"/>
      <c r="O7" s="24" t="s">
        <v>83</v>
      </c>
      <c r="P7" s="35">
        <v>1300</v>
      </c>
      <c r="Q7" s="7"/>
      <c r="R7" s="2"/>
      <c r="S7" s="2"/>
    </row>
    <row r="8" spans="1:19">
      <c r="A8" s="30" t="s">
        <v>63</v>
      </c>
      <c r="B8" s="27">
        <f>+B4/B6/365/B7</f>
        <v>0.58166491043203372</v>
      </c>
      <c r="C8" s="2"/>
      <c r="D8" s="6"/>
      <c r="E8" s="24" t="s">
        <v>24</v>
      </c>
      <c r="F8" s="25">
        <v>0.16</v>
      </c>
      <c r="G8" s="2"/>
      <c r="H8" s="2"/>
      <c r="I8" s="2"/>
      <c r="J8" s="2"/>
      <c r="K8" s="30" t="s">
        <v>74</v>
      </c>
      <c r="L8" s="27">
        <f>+SUM(B10:B11)*SUM(L6:L7)</f>
        <v>19200</v>
      </c>
      <c r="M8" s="2"/>
      <c r="N8" s="2"/>
      <c r="O8" s="30" t="s">
        <v>76</v>
      </c>
      <c r="P8" s="27">
        <f>+P3*(1+Q8)</f>
        <v>270.40000000000003</v>
      </c>
      <c r="Q8" s="36">
        <v>0.3</v>
      </c>
      <c r="R8" s="2"/>
      <c r="S8" s="2"/>
    </row>
    <row r="9" spans="1:19">
      <c r="A9" s="30" t="s">
        <v>64</v>
      </c>
      <c r="B9" s="32">
        <v>1394</v>
      </c>
      <c r="C9" s="2"/>
      <c r="D9" s="2"/>
      <c r="E9" s="4"/>
      <c r="F9" s="4"/>
      <c r="G9" s="2"/>
      <c r="H9" s="2"/>
      <c r="I9" s="2"/>
      <c r="J9" s="2"/>
      <c r="K9" s="30" t="s">
        <v>69</v>
      </c>
      <c r="L9" s="32">
        <v>13500</v>
      </c>
      <c r="M9" s="2"/>
      <c r="N9" s="2"/>
      <c r="O9" s="30" t="s">
        <v>77</v>
      </c>
      <c r="P9" s="27">
        <f>+$P$4*(1+Q9)</f>
        <v>568.74999999999989</v>
      </c>
      <c r="Q9" s="37">
        <v>0.25</v>
      </c>
      <c r="R9" s="2"/>
      <c r="S9" s="2"/>
    </row>
    <row r="10" spans="1:19">
      <c r="A10" s="30" t="s">
        <v>65</v>
      </c>
      <c r="B10" s="32">
        <v>500</v>
      </c>
      <c r="C10" s="2"/>
      <c r="D10" s="2"/>
      <c r="E10" s="4" t="s">
        <v>32</v>
      </c>
      <c r="F10" s="31">
        <v>0</v>
      </c>
      <c r="G10" s="2"/>
      <c r="H10" s="2"/>
      <c r="I10" s="2"/>
      <c r="J10" s="2"/>
      <c r="K10" s="30" t="s">
        <v>88</v>
      </c>
      <c r="L10" s="29">
        <f>+SUM(B29)</f>
        <v>0</v>
      </c>
      <c r="M10" s="2"/>
      <c r="N10" s="2"/>
      <c r="O10" s="30" t="s">
        <v>78</v>
      </c>
      <c r="P10" s="27">
        <f>+$P$5*(1+Q10)</f>
        <v>719.55000000000007</v>
      </c>
      <c r="Q10" s="36">
        <v>0.35</v>
      </c>
      <c r="R10" s="2"/>
      <c r="S10" s="2"/>
    </row>
    <row r="11" spans="1:19">
      <c r="A11" s="30" t="s">
        <v>66</v>
      </c>
      <c r="B11" s="32">
        <v>33.333333333333336</v>
      </c>
      <c r="C11" s="2"/>
      <c r="D11" s="2"/>
      <c r="E11" s="4" t="s">
        <v>42</v>
      </c>
      <c r="F11" s="4">
        <v>1</v>
      </c>
      <c r="G11" s="2"/>
      <c r="H11" s="2"/>
      <c r="I11" s="2"/>
      <c r="J11" s="2"/>
      <c r="K11" s="30" t="s">
        <v>70</v>
      </c>
      <c r="L11" s="38">
        <f>+SUM(B27)</f>
        <v>30</v>
      </c>
      <c r="M11" s="2"/>
      <c r="N11" s="2"/>
      <c r="O11" s="30" t="s">
        <v>79</v>
      </c>
      <c r="P11" s="27">
        <f>+$P$6*Q11</f>
        <v>10.4</v>
      </c>
      <c r="Q11" s="36">
        <v>0.1</v>
      </c>
      <c r="R11" s="2"/>
      <c r="S11" s="2"/>
    </row>
    <row r="12" spans="1:19">
      <c r="A12" s="2"/>
      <c r="B12" s="2"/>
      <c r="C12" s="2"/>
      <c r="D12" s="2"/>
      <c r="E12" s="7"/>
      <c r="F12" s="7"/>
      <c r="G12" s="2"/>
      <c r="H12" s="2"/>
      <c r="I12" s="2"/>
      <c r="J12" s="2"/>
      <c r="K12" s="30" t="s">
        <v>71</v>
      </c>
      <c r="L12" s="38">
        <f>+SUM(B28)</f>
        <v>20</v>
      </c>
      <c r="M12" s="2"/>
      <c r="N12" s="2"/>
      <c r="O12" s="24" t="s">
        <v>85</v>
      </c>
      <c r="P12" s="26">
        <f>+SUM(P8:P11)</f>
        <v>1569.1</v>
      </c>
      <c r="Q12" s="7"/>
      <c r="R12" s="2"/>
      <c r="S12" s="2"/>
    </row>
    <row r="13" spans="1:19">
      <c r="A13" s="2"/>
      <c r="B13" s="2"/>
      <c r="C13" s="2"/>
      <c r="D13" s="2"/>
      <c r="E13" s="7"/>
      <c r="F13" s="7"/>
      <c r="G13" s="2"/>
      <c r="H13" s="2"/>
      <c r="I13" s="2"/>
      <c r="J13" s="2"/>
      <c r="K13" s="30" t="s">
        <v>96</v>
      </c>
      <c r="L13" s="27">
        <f>+SUM(L10:L12)*L8</f>
        <v>960000</v>
      </c>
      <c r="M13" s="2"/>
      <c r="N13" s="2"/>
      <c r="O13" s="30" t="s">
        <v>76</v>
      </c>
      <c r="P13" s="27">
        <f>+$P$3*Q13</f>
        <v>145.6</v>
      </c>
      <c r="Q13" s="36">
        <v>0.7</v>
      </c>
      <c r="R13" s="2"/>
      <c r="S13" s="2"/>
    </row>
    <row r="14" spans="1:19">
      <c r="A14" s="2"/>
      <c r="B14" s="2"/>
      <c r="C14" s="2"/>
      <c r="D14" s="7"/>
      <c r="E14" s="2"/>
      <c r="F14" s="2"/>
      <c r="G14" s="7"/>
      <c r="H14" s="2"/>
      <c r="I14" s="2"/>
      <c r="J14" s="2"/>
      <c r="K14" s="30" t="s">
        <v>72</v>
      </c>
      <c r="L14" s="27">
        <f>+(L3+L9)*L11</f>
        <v>607500</v>
      </c>
      <c r="M14" s="2"/>
      <c r="N14" s="2"/>
      <c r="O14" s="30" t="s">
        <v>77</v>
      </c>
      <c r="P14" s="27">
        <f>+$P$4*Q14</f>
        <v>113.74999999999999</v>
      </c>
      <c r="Q14" s="36">
        <v>0.25</v>
      </c>
      <c r="R14" s="2"/>
      <c r="S14" s="2"/>
    </row>
    <row r="15" spans="1:19">
      <c r="A15" s="2"/>
      <c r="B15" s="2"/>
      <c r="C15" s="2"/>
      <c r="D15" s="1" t="s">
        <v>93</v>
      </c>
      <c r="E15" s="1" t="s">
        <v>94</v>
      </c>
      <c r="F15" s="1" t="s">
        <v>43</v>
      </c>
      <c r="G15" s="1" t="s">
        <v>44</v>
      </c>
      <c r="H15" s="2"/>
      <c r="I15" s="2"/>
      <c r="J15" s="2"/>
      <c r="K15" s="30" t="s">
        <v>95</v>
      </c>
      <c r="L15" s="27">
        <f>+L12*L3</f>
        <v>135000</v>
      </c>
      <c r="M15" s="2"/>
      <c r="N15" s="2"/>
      <c r="O15" s="30" t="s">
        <v>78</v>
      </c>
      <c r="P15" s="27">
        <f>+$P$5*Q15</f>
        <v>479.7</v>
      </c>
      <c r="Q15" s="36">
        <v>0.9</v>
      </c>
      <c r="R15" s="2"/>
      <c r="S15" s="2"/>
    </row>
    <row r="16" spans="1:19">
      <c r="A16" s="2"/>
      <c r="B16" s="2"/>
      <c r="C16" s="6"/>
      <c r="D16" s="29">
        <f>+B6</f>
        <v>29</v>
      </c>
      <c r="E16" s="29">
        <f>+SUM(C20:I21)</f>
        <v>70</v>
      </c>
      <c r="F16" s="33">
        <v>80</v>
      </c>
      <c r="G16" s="29">
        <f>F16-D16-E16</f>
        <v>-19</v>
      </c>
      <c r="H16" s="2"/>
      <c r="I16" s="2"/>
      <c r="J16" s="2"/>
      <c r="K16" s="30" t="s">
        <v>73</v>
      </c>
      <c r="L16" s="27">
        <f>L10*(L5+L8/2)</f>
        <v>0</v>
      </c>
      <c r="M16" s="2"/>
      <c r="N16" s="2"/>
      <c r="O16" s="30" t="s">
        <v>79</v>
      </c>
      <c r="P16" s="27">
        <f>+$P$6*Q16</f>
        <v>93.600000000000009</v>
      </c>
      <c r="Q16" s="36">
        <v>0.9</v>
      </c>
      <c r="R16" s="2"/>
      <c r="S16" s="2"/>
    </row>
    <row r="17" spans="1:19">
      <c r="A17" s="2"/>
      <c r="B17" s="2"/>
      <c r="C17" s="6"/>
      <c r="D17" s="7"/>
      <c r="E17" s="7"/>
      <c r="F17" s="7"/>
      <c r="G17" s="7"/>
      <c r="H17" s="2"/>
      <c r="I17" s="2"/>
      <c r="J17" s="2"/>
      <c r="K17" s="60" t="s">
        <v>123</v>
      </c>
      <c r="L17" s="32">
        <v>100176</v>
      </c>
      <c r="M17" s="2"/>
      <c r="N17" s="2"/>
      <c r="O17" s="24" t="s">
        <v>80</v>
      </c>
      <c r="P17" s="26">
        <f>+SUM(P13:P16)</f>
        <v>832.65</v>
      </c>
      <c r="Q17" s="36"/>
      <c r="R17" s="2"/>
      <c r="S17" s="2"/>
    </row>
    <row r="18" spans="1:19">
      <c r="A18" s="65" t="s">
        <v>86</v>
      </c>
      <c r="B18" s="66"/>
      <c r="C18" s="66"/>
      <c r="D18" s="66"/>
      <c r="E18" s="66"/>
      <c r="F18" s="66"/>
      <c r="G18" s="66"/>
      <c r="H18" s="66"/>
      <c r="I18" s="67"/>
      <c r="J18" s="2"/>
      <c r="K18" s="24" t="s">
        <v>75</v>
      </c>
      <c r="L18" s="26">
        <f>+SUM(L13:L17)</f>
        <v>1802676</v>
      </c>
      <c r="M18" s="2"/>
      <c r="N18" s="2"/>
      <c r="O18" s="30" t="s">
        <v>34</v>
      </c>
      <c r="P18" s="28">
        <v>0.05</v>
      </c>
      <c r="Q18" s="36"/>
      <c r="R18" s="2"/>
      <c r="S18" s="2"/>
    </row>
    <row r="19" spans="1:19">
      <c r="A19" s="2"/>
      <c r="B19" s="15"/>
      <c r="C19" s="2"/>
      <c r="D19" s="2"/>
      <c r="E19" s="2"/>
      <c r="F19" s="2"/>
      <c r="G19" s="2"/>
      <c r="H19" s="2"/>
      <c r="I19" s="2"/>
      <c r="J19" s="2"/>
      <c r="K19" s="2"/>
      <c r="L19" s="2"/>
      <c r="M19" s="2"/>
      <c r="N19" s="2"/>
      <c r="O19" s="30" t="s">
        <v>35</v>
      </c>
      <c r="P19" s="28">
        <v>0.02</v>
      </c>
      <c r="Q19" s="36"/>
      <c r="R19" s="2"/>
      <c r="S19" s="2"/>
    </row>
    <row r="20" spans="1:19">
      <c r="A20" s="22" t="s">
        <v>92</v>
      </c>
      <c r="B20" s="8"/>
      <c r="C20" s="11">
        <f>+C33</f>
        <v>10</v>
      </c>
      <c r="D20" s="11">
        <f>+D33</f>
        <v>10</v>
      </c>
      <c r="E20" s="11">
        <f>+E33</f>
        <v>10</v>
      </c>
      <c r="F20" s="8">
        <f t="shared" ref="F20:I20" si="0">+F33</f>
        <v>10</v>
      </c>
      <c r="G20" s="8">
        <f t="shared" si="0"/>
        <v>10</v>
      </c>
      <c r="H20" s="8">
        <f t="shared" si="0"/>
        <v>0</v>
      </c>
      <c r="I20" s="8">
        <f t="shared" si="0"/>
        <v>0</v>
      </c>
      <c r="J20" s="2"/>
      <c r="K20" s="2"/>
      <c r="L20" s="2"/>
      <c r="M20" s="2"/>
      <c r="N20" s="2"/>
      <c r="O20" s="30" t="s">
        <v>60</v>
      </c>
      <c r="P20" s="32">
        <v>5000</v>
      </c>
      <c r="Q20" s="36"/>
      <c r="R20" s="2"/>
      <c r="S20" s="2"/>
    </row>
    <row r="21" spans="1:19">
      <c r="A21" s="22" t="s">
        <v>90</v>
      </c>
      <c r="B21" s="8"/>
      <c r="C21" s="9">
        <v>0</v>
      </c>
      <c r="D21" s="9">
        <v>3</v>
      </c>
      <c r="E21" s="9">
        <v>6</v>
      </c>
      <c r="F21" s="9">
        <v>11</v>
      </c>
      <c r="G21" s="9"/>
      <c r="H21" s="9"/>
      <c r="I21" s="9"/>
      <c r="J21" s="2"/>
      <c r="K21" s="2"/>
      <c r="L21" s="2"/>
      <c r="M21" s="2"/>
      <c r="N21" s="2"/>
      <c r="O21" s="30" t="s">
        <v>55</v>
      </c>
      <c r="P21" s="32">
        <v>1500</v>
      </c>
      <c r="Q21" s="36"/>
      <c r="R21" s="2"/>
      <c r="S21" s="2"/>
    </row>
    <row r="22" spans="1:19">
      <c r="A22" s="22" t="s">
        <v>59</v>
      </c>
      <c r="B22" s="8"/>
      <c r="C22" s="9"/>
      <c r="D22" s="9"/>
      <c r="E22" s="9"/>
      <c r="F22" s="9">
        <f>+D21</f>
        <v>3</v>
      </c>
      <c r="G22" s="9">
        <f>+F22+E21</f>
        <v>9</v>
      </c>
      <c r="H22" s="9">
        <f>+G22+F21</f>
        <v>20</v>
      </c>
      <c r="I22" s="9">
        <f>+H22+G21</f>
        <v>20</v>
      </c>
      <c r="J22" s="2"/>
      <c r="K22" s="2"/>
      <c r="L22" s="2"/>
      <c r="M22" s="2"/>
      <c r="N22" s="2"/>
      <c r="O22" s="2"/>
      <c r="P22" s="2"/>
      <c r="Q22" s="2"/>
      <c r="R22" s="2"/>
      <c r="S22" s="2"/>
    </row>
    <row r="23" spans="1:19">
      <c r="A23" s="39" t="s">
        <v>91</v>
      </c>
      <c r="B23" s="8"/>
      <c r="C23" s="10">
        <f>C21</f>
        <v>0</v>
      </c>
      <c r="D23" s="10">
        <f>C23+D21</f>
        <v>3</v>
      </c>
      <c r="E23" s="10">
        <f>+D23+E21</f>
        <v>9</v>
      </c>
      <c r="F23" s="10">
        <f>+E23+F21</f>
        <v>20</v>
      </c>
      <c r="G23" s="10">
        <f>+F23+G21</f>
        <v>20</v>
      </c>
      <c r="H23" s="10">
        <f>+G23+H21</f>
        <v>20</v>
      </c>
      <c r="I23" s="10">
        <f>+H23+I21</f>
        <v>20</v>
      </c>
      <c r="J23" s="2"/>
      <c r="K23" s="2"/>
      <c r="L23" s="2"/>
      <c r="M23" s="2"/>
      <c r="N23" s="2"/>
      <c r="O23" s="2"/>
      <c r="P23" s="2"/>
      <c r="Q23" s="2"/>
      <c r="R23" s="2"/>
      <c r="S23" s="2"/>
    </row>
    <row r="24" spans="1:19">
      <c r="A24" s="39" t="s">
        <v>51</v>
      </c>
      <c r="B24" s="8"/>
      <c r="C24" s="11">
        <f>+C20</f>
        <v>10</v>
      </c>
      <c r="D24" s="11">
        <f>+D20+C24</f>
        <v>20</v>
      </c>
      <c r="E24" s="11">
        <f t="shared" ref="E24:H24" si="1">+E20+D24</f>
        <v>30</v>
      </c>
      <c r="F24" s="11">
        <f t="shared" si="1"/>
        <v>40</v>
      </c>
      <c r="G24" s="11">
        <f>+G20+F24</f>
        <v>50</v>
      </c>
      <c r="H24" s="11">
        <f t="shared" si="1"/>
        <v>50</v>
      </c>
      <c r="I24" s="11">
        <f>+I20+H24</f>
        <v>50</v>
      </c>
      <c r="J24" s="2"/>
      <c r="K24" s="2"/>
      <c r="L24" s="2"/>
      <c r="M24" s="2"/>
      <c r="N24" s="2"/>
      <c r="O24" s="2"/>
      <c r="P24" s="2"/>
      <c r="Q24" s="2"/>
      <c r="R24" s="2"/>
      <c r="S24" s="2"/>
    </row>
    <row r="25" spans="1:19">
      <c r="A25" s="2"/>
      <c r="B25" s="2"/>
      <c r="C25" s="2"/>
      <c r="D25" s="2"/>
      <c r="E25" s="2"/>
      <c r="F25" s="2"/>
      <c r="G25" s="2"/>
      <c r="H25" s="2"/>
      <c r="I25" s="2"/>
      <c r="J25" s="2"/>
      <c r="K25" s="2"/>
      <c r="L25" s="2"/>
      <c r="M25" s="2"/>
      <c r="N25" s="2"/>
      <c r="O25" s="2"/>
      <c r="P25" s="2"/>
      <c r="Q25" s="2"/>
      <c r="R25" s="2"/>
      <c r="S25" s="2"/>
    </row>
    <row r="26" spans="1:19" ht="15.75" thickBot="1">
      <c r="A26" s="2"/>
      <c r="B26" s="12">
        <v>0</v>
      </c>
      <c r="C26" s="41">
        <v>1</v>
      </c>
      <c r="D26" s="41">
        <v>2</v>
      </c>
      <c r="E26" s="41">
        <v>3</v>
      </c>
      <c r="F26" s="41">
        <v>4</v>
      </c>
      <c r="G26" s="41">
        <v>5</v>
      </c>
      <c r="H26" s="41">
        <v>6</v>
      </c>
      <c r="I26" s="41">
        <v>7</v>
      </c>
      <c r="J26" s="2"/>
      <c r="K26" s="2"/>
      <c r="L26" s="2"/>
      <c r="M26" s="2"/>
      <c r="N26" s="2"/>
      <c r="O26" s="2"/>
      <c r="P26" s="2"/>
      <c r="Q26" s="2"/>
      <c r="R26" s="2"/>
      <c r="S26" s="2"/>
    </row>
    <row r="27" spans="1:19">
      <c r="A27" s="22" t="s">
        <v>81</v>
      </c>
      <c r="B27" s="40">
        <f>SUM(C27:I27)</f>
        <v>30</v>
      </c>
      <c r="C27" s="42">
        <v>10</v>
      </c>
      <c r="D27" s="43">
        <v>0</v>
      </c>
      <c r="E27" s="43">
        <v>10</v>
      </c>
      <c r="F27" s="43">
        <v>0</v>
      </c>
      <c r="G27" s="43">
        <v>10</v>
      </c>
      <c r="H27" s="43">
        <v>0</v>
      </c>
      <c r="I27" s="44">
        <v>0</v>
      </c>
      <c r="J27" s="2"/>
      <c r="K27" s="2"/>
      <c r="L27" s="2"/>
      <c r="M27" s="2"/>
      <c r="N27" s="2"/>
      <c r="O27" s="2"/>
      <c r="P27" s="2"/>
      <c r="Q27" s="2"/>
      <c r="R27" s="2"/>
      <c r="S27" s="2"/>
    </row>
    <row r="28" spans="1:19">
      <c r="A28" s="22" t="s">
        <v>84</v>
      </c>
      <c r="B28" s="40">
        <f>SUM(C28:I28)</f>
        <v>20</v>
      </c>
      <c r="C28" s="45">
        <v>0</v>
      </c>
      <c r="D28" s="3">
        <v>10</v>
      </c>
      <c r="E28" s="3">
        <v>0</v>
      </c>
      <c r="F28" s="3">
        <v>10</v>
      </c>
      <c r="G28" s="3">
        <v>0</v>
      </c>
      <c r="H28" s="3">
        <v>0</v>
      </c>
      <c r="I28" s="46">
        <v>0</v>
      </c>
      <c r="J28" s="2"/>
      <c r="K28" s="2"/>
      <c r="L28" s="2"/>
      <c r="M28" s="2"/>
      <c r="N28" s="2"/>
      <c r="O28" s="2"/>
      <c r="P28" s="2"/>
      <c r="Q28" s="2"/>
      <c r="R28" s="2"/>
      <c r="S28" s="2"/>
    </row>
    <row r="29" spans="1:19" ht="15.75" thickBot="1">
      <c r="A29" s="22" t="s">
        <v>82</v>
      </c>
      <c r="B29" s="40">
        <f>SUM(C29:I29)</f>
        <v>0</v>
      </c>
      <c r="C29" s="47">
        <v>0</v>
      </c>
      <c r="D29" s="48">
        <v>0</v>
      </c>
      <c r="E29" s="48">
        <v>0</v>
      </c>
      <c r="F29" s="48">
        <v>0</v>
      </c>
      <c r="G29" s="48">
        <v>0</v>
      </c>
      <c r="H29" s="48">
        <v>0</v>
      </c>
      <c r="I29" s="49">
        <v>0</v>
      </c>
      <c r="J29" s="2"/>
      <c r="K29" s="2"/>
      <c r="L29" s="2"/>
      <c r="M29" s="2"/>
      <c r="N29" s="2"/>
      <c r="O29" s="2"/>
      <c r="P29" s="2"/>
      <c r="Q29" s="2"/>
      <c r="R29" s="2"/>
      <c r="S29" s="2"/>
    </row>
    <row r="30" spans="1:19">
      <c r="A30" s="39" t="s">
        <v>97</v>
      </c>
      <c r="B30" s="5"/>
      <c r="C30" s="5">
        <f>+C27</f>
        <v>10</v>
      </c>
      <c r="D30" s="5">
        <f t="shared" ref="D30:I32" si="2">+C30+D27</f>
        <v>10</v>
      </c>
      <c r="E30" s="5">
        <f t="shared" si="2"/>
        <v>20</v>
      </c>
      <c r="F30" s="5">
        <f t="shared" si="2"/>
        <v>20</v>
      </c>
      <c r="G30" s="5">
        <f t="shared" si="2"/>
        <v>30</v>
      </c>
      <c r="H30" s="5">
        <f t="shared" si="2"/>
        <v>30</v>
      </c>
      <c r="I30" s="5">
        <f t="shared" si="2"/>
        <v>30</v>
      </c>
      <c r="J30" s="2"/>
      <c r="K30" s="2"/>
      <c r="L30" s="2"/>
      <c r="M30" s="2"/>
      <c r="N30" s="2"/>
      <c r="O30" s="2"/>
      <c r="P30" s="2"/>
      <c r="Q30" s="2"/>
      <c r="R30" s="2"/>
      <c r="S30" s="2"/>
    </row>
    <row r="31" spans="1:19">
      <c r="A31" s="39" t="s">
        <v>98</v>
      </c>
      <c r="B31" s="5"/>
      <c r="C31" s="5">
        <f>+C28</f>
        <v>0</v>
      </c>
      <c r="D31" s="5">
        <f t="shared" si="2"/>
        <v>10</v>
      </c>
      <c r="E31" s="5">
        <f t="shared" si="2"/>
        <v>10</v>
      </c>
      <c r="F31" s="5">
        <f t="shared" si="2"/>
        <v>20</v>
      </c>
      <c r="G31" s="5">
        <f t="shared" si="2"/>
        <v>20</v>
      </c>
      <c r="H31" s="5">
        <f t="shared" si="2"/>
        <v>20</v>
      </c>
      <c r="I31" s="5">
        <f t="shared" si="2"/>
        <v>20</v>
      </c>
      <c r="J31" s="2"/>
      <c r="K31" s="2"/>
      <c r="L31" s="2"/>
      <c r="M31" s="2"/>
      <c r="N31" s="2"/>
      <c r="O31" s="2"/>
      <c r="P31" s="2"/>
      <c r="Q31" s="2"/>
      <c r="R31" s="2"/>
      <c r="S31" s="2"/>
    </row>
    <row r="32" spans="1:19">
      <c r="A32" s="39" t="s">
        <v>99</v>
      </c>
      <c r="B32" s="5"/>
      <c r="C32" s="5">
        <f>+C29</f>
        <v>0</v>
      </c>
      <c r="D32" s="5">
        <f t="shared" si="2"/>
        <v>0</v>
      </c>
      <c r="E32" s="5">
        <f t="shared" si="2"/>
        <v>0</v>
      </c>
      <c r="F32" s="5">
        <f t="shared" si="2"/>
        <v>0</v>
      </c>
      <c r="G32" s="5">
        <f t="shared" si="2"/>
        <v>0</v>
      </c>
      <c r="H32" s="5">
        <f t="shared" si="2"/>
        <v>0</v>
      </c>
      <c r="I32" s="5">
        <f t="shared" si="2"/>
        <v>0</v>
      </c>
      <c r="J32" s="2"/>
      <c r="K32" s="2"/>
      <c r="L32" s="2"/>
      <c r="M32" s="2"/>
      <c r="N32" s="2"/>
      <c r="O32" s="2"/>
      <c r="P32" s="2"/>
      <c r="Q32" s="2"/>
      <c r="R32" s="2"/>
      <c r="S32" s="2"/>
    </row>
    <row r="33" spans="1:19">
      <c r="A33" s="22" t="s">
        <v>89</v>
      </c>
      <c r="B33" s="5">
        <f t="shared" ref="B33:I33" si="3">+SUM(B27:B29)</f>
        <v>50</v>
      </c>
      <c r="C33" s="5">
        <f t="shared" si="3"/>
        <v>10</v>
      </c>
      <c r="D33" s="5">
        <f t="shared" si="3"/>
        <v>10</v>
      </c>
      <c r="E33" s="5">
        <f t="shared" si="3"/>
        <v>10</v>
      </c>
      <c r="F33" s="5">
        <f t="shared" si="3"/>
        <v>10</v>
      </c>
      <c r="G33" s="5">
        <f t="shared" si="3"/>
        <v>10</v>
      </c>
      <c r="H33" s="5">
        <f t="shared" si="3"/>
        <v>0</v>
      </c>
      <c r="I33" s="5">
        <f t="shared" si="3"/>
        <v>0</v>
      </c>
      <c r="J33" s="2"/>
      <c r="K33" s="2"/>
      <c r="L33" s="2"/>
      <c r="M33" s="2"/>
      <c r="N33" s="2"/>
      <c r="O33" s="2"/>
      <c r="P33" s="2"/>
      <c r="Q33" s="2"/>
      <c r="R33" s="2"/>
      <c r="S33" s="2"/>
    </row>
    <row r="34" spans="1:19">
      <c r="A34" s="2"/>
      <c r="B34" s="2"/>
      <c r="C34" s="2"/>
      <c r="D34" s="2"/>
      <c r="E34" s="2"/>
      <c r="F34" s="2"/>
      <c r="G34" s="2"/>
      <c r="H34" s="2"/>
      <c r="I34" s="2"/>
      <c r="J34" s="2"/>
      <c r="K34" s="2"/>
      <c r="L34" s="2"/>
      <c r="M34" s="2"/>
      <c r="N34" s="2"/>
      <c r="O34" s="2"/>
      <c r="P34" s="2"/>
      <c r="Q34" s="2"/>
      <c r="R34" s="2"/>
      <c r="S34" s="2"/>
    </row>
    <row r="35" spans="1:19">
      <c r="A35" s="50" t="s">
        <v>8</v>
      </c>
      <c r="B35" s="50">
        <v>0</v>
      </c>
      <c r="C35" s="50">
        <v>1</v>
      </c>
      <c r="D35" s="50">
        <v>2</v>
      </c>
      <c r="E35" s="50">
        <v>3</v>
      </c>
      <c r="F35" s="50">
        <v>4</v>
      </c>
      <c r="G35" s="50">
        <v>5</v>
      </c>
      <c r="H35" s="50">
        <v>6</v>
      </c>
      <c r="I35" s="50">
        <v>7</v>
      </c>
      <c r="J35" s="54"/>
      <c r="K35" s="54"/>
      <c r="L35" s="54"/>
      <c r="M35" s="54"/>
      <c r="N35" s="2"/>
      <c r="O35" s="2"/>
      <c r="P35" s="2"/>
      <c r="Q35" s="2"/>
      <c r="R35" s="2"/>
      <c r="S35" s="2"/>
    </row>
    <row r="36" spans="1:19">
      <c r="A36" s="22" t="s">
        <v>21</v>
      </c>
      <c r="B36" s="51">
        <f>-L18</f>
        <v>-1802676</v>
      </c>
      <c r="C36" s="52"/>
      <c r="D36" s="52"/>
      <c r="E36" s="52"/>
      <c r="F36" s="52"/>
      <c r="G36" s="52"/>
      <c r="H36" s="52"/>
      <c r="I36" s="52"/>
      <c r="J36" s="2"/>
      <c r="K36" s="2"/>
      <c r="L36" s="2"/>
      <c r="M36" s="2"/>
      <c r="N36" s="2"/>
      <c r="O36" s="2"/>
      <c r="P36" s="2"/>
      <c r="Q36" s="2"/>
      <c r="R36" s="2"/>
      <c r="S36" s="2"/>
    </row>
    <row r="37" spans="1:19">
      <c r="A37" s="22" t="s">
        <v>46</v>
      </c>
      <c r="B37" s="52"/>
      <c r="C37" s="52">
        <v>0</v>
      </c>
      <c r="D37" s="52">
        <f>+$P$20*B21</f>
        <v>0</v>
      </c>
      <c r="E37" s="52">
        <f>+C21*($P$20/4)</f>
        <v>0</v>
      </c>
      <c r="F37" s="52">
        <f>+F22*($P$20/4)</f>
        <v>3750</v>
      </c>
      <c r="G37" s="52">
        <f>+G22*($P$20/4)</f>
        <v>11250</v>
      </c>
      <c r="H37" s="52">
        <f>+H22*($P$20/4)</f>
        <v>25000</v>
      </c>
      <c r="I37" s="52">
        <f>+I22*($P$20/4)</f>
        <v>25000</v>
      </c>
      <c r="J37" s="2"/>
      <c r="K37" s="2"/>
      <c r="L37" s="2"/>
      <c r="M37" s="2"/>
      <c r="N37" s="2"/>
      <c r="O37" s="2"/>
      <c r="P37" s="2"/>
      <c r="Q37" s="2"/>
      <c r="R37" s="2"/>
      <c r="S37" s="2"/>
    </row>
    <row r="38" spans="1:19">
      <c r="A38" s="22" t="s">
        <v>47</v>
      </c>
      <c r="B38" s="52"/>
      <c r="C38" s="52">
        <v>0</v>
      </c>
      <c r="D38" s="52">
        <f t="shared" ref="D38:I38" si="4">+$P$21*B23</f>
        <v>0</v>
      </c>
      <c r="E38" s="52">
        <f t="shared" si="4"/>
        <v>0</v>
      </c>
      <c r="F38" s="52">
        <f t="shared" si="4"/>
        <v>4500</v>
      </c>
      <c r="G38" s="52">
        <f t="shared" si="4"/>
        <v>13500</v>
      </c>
      <c r="H38" s="52">
        <f t="shared" si="4"/>
        <v>30000</v>
      </c>
      <c r="I38" s="52">
        <f t="shared" si="4"/>
        <v>30000</v>
      </c>
      <c r="J38" s="2"/>
      <c r="K38" s="2"/>
      <c r="L38" s="2"/>
      <c r="M38" s="2"/>
      <c r="N38" s="2"/>
      <c r="O38" s="2"/>
      <c r="P38" s="2"/>
      <c r="Q38" s="2"/>
      <c r="R38" s="2"/>
      <c r="S38" s="2"/>
    </row>
    <row r="39" spans="1:19">
      <c r="A39" s="22" t="s">
        <v>120</v>
      </c>
      <c r="B39" s="52"/>
      <c r="C39" s="53">
        <f>+C42*0.33</f>
        <v>31406.896551724145</v>
      </c>
      <c r="D39" s="53">
        <f>+C39*(1+$B$3)</f>
        <v>34547.586206896565</v>
      </c>
      <c r="E39" s="53">
        <f>+D39*(1+$B$3)</f>
        <v>38002.344827586225</v>
      </c>
      <c r="F39" s="53">
        <f t="shared" ref="F39:I39" si="5">+E39*(1+$B$3)</f>
        <v>41802.579310344852</v>
      </c>
      <c r="G39" s="53">
        <f t="shared" si="5"/>
        <v>45982.83724137934</v>
      </c>
      <c r="H39" s="53">
        <f t="shared" si="5"/>
        <v>50581.120965517279</v>
      </c>
      <c r="I39" s="53">
        <f t="shared" si="5"/>
        <v>55639.233062069012</v>
      </c>
      <c r="J39" s="2"/>
      <c r="K39" s="2"/>
      <c r="L39" s="2"/>
      <c r="M39" s="2"/>
      <c r="N39" s="2"/>
      <c r="O39" s="2"/>
      <c r="P39" s="2"/>
      <c r="Q39" s="2"/>
      <c r="R39" s="2"/>
      <c r="S39" s="2"/>
    </row>
    <row r="40" spans="1:19">
      <c r="A40" s="22" t="s">
        <v>121</v>
      </c>
      <c r="B40" s="52"/>
      <c r="C40" s="53">
        <f>+C42*0.44</f>
        <v>41875.862068965522</v>
      </c>
      <c r="D40" s="53">
        <f t="shared" ref="D40" si="6">+D42*0.44</f>
        <v>101339.58620689658</v>
      </c>
      <c r="E40" s="53">
        <f>+E42*0.44</f>
        <v>167210.31724137938</v>
      </c>
      <c r="F40" s="53">
        <f>+F42*0.44</f>
        <v>245241.79862068975</v>
      </c>
      <c r="G40" s="53">
        <f>+G42*0.44</f>
        <v>337207.47310344846</v>
      </c>
      <c r="H40" s="53">
        <f>+H42*0.44</f>
        <v>370928.22041379334</v>
      </c>
      <c r="I40" s="53">
        <f>+I42*0.44</f>
        <v>408021.04245517269</v>
      </c>
      <c r="J40" s="2"/>
      <c r="K40" s="2"/>
      <c r="L40" s="2"/>
      <c r="M40" s="2"/>
      <c r="N40" s="2"/>
      <c r="O40" s="2"/>
      <c r="P40" s="2"/>
      <c r="Q40" s="2"/>
      <c r="R40" s="2"/>
      <c r="S40" s="2"/>
    </row>
    <row r="41" spans="1:19">
      <c r="A41" s="22" t="s">
        <v>119</v>
      </c>
      <c r="B41" s="52"/>
      <c r="C41" s="52">
        <v>0</v>
      </c>
      <c r="D41" s="52">
        <v>0</v>
      </c>
      <c r="E41" s="53">
        <f>+'Expected sales for bikes'!J2*'Base scenario'!$B$9*(1-'Expected sales for bikes'!M4)</f>
        <v>351288</v>
      </c>
      <c r="F41" s="53">
        <f>+'Expected sales for bikes'!K2*'Base scenario'!$B$9*(1-'Expected sales for bikes'!M4)</f>
        <v>316786.5</v>
      </c>
      <c r="G41" s="53">
        <f>+'Expected sales for bikes'!L2*'Base scenario'!$B$9*(1-'Expected sales for bikes'!M4)</f>
        <v>288558</v>
      </c>
      <c r="H41" s="53">
        <f>+'Expected sales for bikes'!M2*'Base scenario'!$B$9</f>
        <v>351288</v>
      </c>
      <c r="I41" s="53">
        <f>+'Expected sales for bikes'!N2*'Base scenario'!$B$9</f>
        <v>710940</v>
      </c>
      <c r="J41" s="2"/>
      <c r="K41" s="2"/>
      <c r="L41" s="2"/>
      <c r="M41" s="2"/>
      <c r="N41" s="2"/>
      <c r="O41" s="2"/>
      <c r="P41" s="2"/>
      <c r="Q41" s="2"/>
      <c r="R41" s="2"/>
      <c r="S41" s="2"/>
    </row>
    <row r="42" spans="1:19">
      <c r="A42" s="22" t="s">
        <v>31</v>
      </c>
      <c r="B42" s="52"/>
      <c r="C42" s="53">
        <f>+($B$8*$B$7*365*C24)</f>
        <v>95172.413793103464</v>
      </c>
      <c r="D42" s="53">
        <f t="shared" ref="D42:I42" si="7">+($B$8*$B$7*365*D24)*((1+$B$3)^D35)</f>
        <v>230317.24137931041</v>
      </c>
      <c r="E42" s="53">
        <f t="shared" si="7"/>
        <v>380023.4482758622</v>
      </c>
      <c r="F42" s="53">
        <f t="shared" si="7"/>
        <v>557367.72413793125</v>
      </c>
      <c r="G42" s="53">
        <f t="shared" si="7"/>
        <v>766380.62068965554</v>
      </c>
      <c r="H42" s="53">
        <f>+($B$8*$B$7*365*H24)*((1+$B$3)^H35)</f>
        <v>843018.68275862117</v>
      </c>
      <c r="I42" s="53">
        <f t="shared" si="7"/>
        <v>927320.55103448336</v>
      </c>
      <c r="J42" s="2"/>
      <c r="K42" s="2"/>
      <c r="L42" s="2"/>
      <c r="M42" s="2"/>
      <c r="N42" s="2"/>
      <c r="O42" s="2"/>
      <c r="P42" s="2"/>
      <c r="Q42" s="2"/>
      <c r="R42" s="2"/>
      <c r="S42" s="2"/>
    </row>
    <row r="43" spans="1:19">
      <c r="A43" s="22" t="s">
        <v>9</v>
      </c>
      <c r="B43" s="52"/>
      <c r="C43" s="52">
        <f>+C36/$F$11</f>
        <v>0</v>
      </c>
      <c r="D43" s="52">
        <f>+C36/$F$11</f>
        <v>0</v>
      </c>
      <c r="E43" s="52">
        <f>+D36/$F$11</f>
        <v>0</v>
      </c>
      <c r="F43" s="52">
        <v>0</v>
      </c>
      <c r="G43" s="52">
        <v>0</v>
      </c>
      <c r="H43" s="52">
        <v>0</v>
      </c>
      <c r="I43" s="52">
        <v>0</v>
      </c>
      <c r="J43" s="2"/>
      <c r="K43" s="2"/>
      <c r="L43" s="2"/>
      <c r="M43" s="2"/>
      <c r="N43" s="2"/>
      <c r="O43" s="2"/>
      <c r="P43" s="2"/>
      <c r="Q43" s="2"/>
      <c r="R43" s="2"/>
      <c r="S43" s="2"/>
    </row>
    <row r="44" spans="1:19">
      <c r="A44" s="22" t="s">
        <v>38</v>
      </c>
      <c r="B44" s="54"/>
      <c r="C44" s="52">
        <f>-((C30*$P$7)+(C31*$P$12)+(C32*$P$17))*(1+$P$18)^C35</f>
        <v>-13650</v>
      </c>
      <c r="D44" s="52">
        <f>-((D30*$P$7)+(D31*$P$12)+(D32*$P$17))*(1+$P$18)^D35</f>
        <v>-31631.827499999999</v>
      </c>
      <c r="E44" s="52">
        <f>-((E30*$P$7)+(E31*$P$12)+(E32*$P$17))*(1+$P$18)^E35</f>
        <v>-48262.543875000003</v>
      </c>
      <c r="F44" s="52">
        <f>-((F30*$P$7)+(F31*$P$12)+(F32*$P$17))*(1+$P$18)^F35</f>
        <v>-69748.179637499998</v>
      </c>
      <c r="G44" s="52">
        <f t="shared" ref="G44:I44" si="8">-((G30*$P$7)+(G31*$P$12)+(G32*$P$17))*(1+$P$18)^G35</f>
        <v>-89827.248931875016</v>
      </c>
      <c r="H44" s="52">
        <f t="shared" si="8"/>
        <v>-94318.611378468748</v>
      </c>
      <c r="I44" s="52">
        <f t="shared" si="8"/>
        <v>-99034.541947392208</v>
      </c>
      <c r="J44" s="2"/>
      <c r="K44" s="2"/>
      <c r="L44" s="2"/>
      <c r="M44" s="2"/>
      <c r="N44" s="2"/>
      <c r="O44" s="2"/>
      <c r="P44" s="2"/>
      <c r="Q44" s="2"/>
      <c r="R44" s="2"/>
      <c r="S44" s="2"/>
    </row>
    <row r="45" spans="1:19">
      <c r="A45" s="22" t="s">
        <v>10</v>
      </c>
      <c r="B45" s="52">
        <f t="shared" ref="B45:I45" si="9">SUM(B36:B44)</f>
        <v>-1802676</v>
      </c>
      <c r="C45" s="52">
        <f t="shared" si="9"/>
        <v>154805.17241379313</v>
      </c>
      <c r="D45" s="52">
        <f t="shared" si="9"/>
        <v>334572.58629310352</v>
      </c>
      <c r="E45" s="52">
        <f t="shared" si="9"/>
        <v>888261.5664698279</v>
      </c>
      <c r="F45" s="52">
        <f t="shared" si="9"/>
        <v>1099700.4224314657</v>
      </c>
      <c r="G45" s="52">
        <f t="shared" si="9"/>
        <v>1373051.6821026085</v>
      </c>
      <c r="H45" s="52">
        <f t="shared" si="9"/>
        <v>1576497.4127594631</v>
      </c>
      <c r="I45" s="52">
        <f t="shared" si="9"/>
        <v>2057886.2846043329</v>
      </c>
      <c r="J45" s="2"/>
      <c r="K45" s="2"/>
      <c r="L45" s="2"/>
      <c r="M45" s="2"/>
      <c r="N45" s="2"/>
      <c r="O45" s="2"/>
      <c r="P45" s="2"/>
      <c r="Q45" s="2"/>
      <c r="R45" s="2"/>
      <c r="S45" s="2"/>
    </row>
    <row r="46" spans="1:19">
      <c r="A46" s="22" t="s">
        <v>11</v>
      </c>
      <c r="B46" s="52">
        <f>+IF(B45&gt;0,B45*$F$3,0)</f>
        <v>0</v>
      </c>
      <c r="C46" s="52">
        <f>-IF(C45&gt;0,C45*$F$3,0)</f>
        <v>-46441.551724137935</v>
      </c>
      <c r="D46" s="52">
        <f>-IF(D45&gt;0,D45*$F$3,0)</f>
        <v>-100371.77588793106</v>
      </c>
      <c r="E46" s="52">
        <f t="shared" ref="E46:I46" si="10">-IF(E45&gt;0,E45*$F$3,0)</f>
        <v>-266478.46994094836</v>
      </c>
      <c r="F46" s="52">
        <f t="shared" si="10"/>
        <v>-329910.12672943971</v>
      </c>
      <c r="G46" s="52">
        <f t="shared" si="10"/>
        <v>-411915.50463078253</v>
      </c>
      <c r="H46" s="52">
        <f t="shared" si="10"/>
        <v>-472949.2238278389</v>
      </c>
      <c r="I46" s="52">
        <f t="shared" si="10"/>
        <v>-617365.88538129989</v>
      </c>
      <c r="J46" s="2"/>
      <c r="K46" s="2"/>
      <c r="L46" s="2"/>
      <c r="M46" s="2"/>
      <c r="N46" s="2"/>
      <c r="O46" s="2"/>
      <c r="P46" s="2"/>
      <c r="Q46" s="2"/>
      <c r="R46" s="2"/>
      <c r="S46" s="2"/>
    </row>
    <row r="47" spans="1:19">
      <c r="A47" s="22" t="s">
        <v>12</v>
      </c>
      <c r="B47" s="52">
        <f>B45+B46</f>
        <v>-1802676</v>
      </c>
      <c r="C47" s="52">
        <f>C45+C46</f>
        <v>108363.62068965519</v>
      </c>
      <c r="D47" s="52">
        <f t="shared" ref="D47:I47" si="11">D45+D46</f>
        <v>234200.81040517247</v>
      </c>
      <c r="E47" s="52">
        <f t="shared" si="11"/>
        <v>621783.0965288796</v>
      </c>
      <c r="F47" s="52">
        <f t="shared" si="11"/>
        <v>769790.29570202599</v>
      </c>
      <c r="G47" s="52">
        <f t="shared" si="11"/>
        <v>961136.17747182597</v>
      </c>
      <c r="H47" s="52">
        <f t="shared" si="11"/>
        <v>1103548.1889316242</v>
      </c>
      <c r="I47" s="52">
        <f t="shared" si="11"/>
        <v>1440520.3992230329</v>
      </c>
      <c r="J47" s="2"/>
      <c r="K47" s="2"/>
      <c r="L47" s="2"/>
      <c r="M47" s="2"/>
      <c r="N47" s="2"/>
      <c r="O47" s="2"/>
      <c r="P47" s="2"/>
      <c r="Q47" s="2"/>
      <c r="R47" s="2"/>
      <c r="S47" s="2"/>
    </row>
    <row r="48" spans="1:19">
      <c r="A48" s="22" t="s">
        <v>13</v>
      </c>
      <c r="B48" s="55">
        <f>+B36</f>
        <v>-1802676</v>
      </c>
      <c r="C48" s="55">
        <f>+C47-C43</f>
        <v>108363.62068965519</v>
      </c>
      <c r="D48" s="55">
        <f t="shared" ref="D48:I48" si="12">+D47-D43</f>
        <v>234200.81040517247</v>
      </c>
      <c r="E48" s="55">
        <f t="shared" si="12"/>
        <v>621783.0965288796</v>
      </c>
      <c r="F48" s="55">
        <f t="shared" si="12"/>
        <v>769790.29570202599</v>
      </c>
      <c r="G48" s="55">
        <f t="shared" si="12"/>
        <v>961136.17747182597</v>
      </c>
      <c r="H48" s="55">
        <f t="shared" si="12"/>
        <v>1103548.1889316242</v>
      </c>
      <c r="I48" s="55">
        <f t="shared" si="12"/>
        <v>1440520.3992230329</v>
      </c>
      <c r="J48" s="2"/>
      <c r="K48" s="2"/>
      <c r="L48" s="2"/>
      <c r="M48" s="2"/>
      <c r="N48" s="2"/>
      <c r="O48" s="2"/>
      <c r="P48" s="2"/>
      <c r="Q48" s="2"/>
      <c r="R48" s="2"/>
      <c r="S48" s="2"/>
    </row>
    <row r="49" spans="1:19">
      <c r="A49" s="22" t="s">
        <v>14</v>
      </c>
      <c r="B49" s="52">
        <f>B48</f>
        <v>-1802676</v>
      </c>
      <c r="C49" s="52">
        <f>B49+C48</f>
        <v>-1694312.3793103448</v>
      </c>
      <c r="D49" s="52">
        <f>C49+D48</f>
        <v>-1460111.5689051724</v>
      </c>
      <c r="E49" s="52">
        <f t="shared" ref="E49:H49" si="13">D49+E48</f>
        <v>-838328.4723762928</v>
      </c>
      <c r="F49" s="52">
        <f t="shared" si="13"/>
        <v>-68538.176674266811</v>
      </c>
      <c r="G49" s="52">
        <f t="shared" si="13"/>
        <v>892598.00079755916</v>
      </c>
      <c r="H49" s="52">
        <f t="shared" si="13"/>
        <v>1996146.1897291834</v>
      </c>
      <c r="I49" s="52">
        <f>H49+I48</f>
        <v>3436666.5889522163</v>
      </c>
      <c r="J49" s="2"/>
      <c r="K49" s="2"/>
      <c r="L49" s="2"/>
      <c r="M49" s="2"/>
      <c r="N49" s="2"/>
      <c r="O49" s="2"/>
      <c r="P49" s="2"/>
      <c r="Q49" s="2"/>
      <c r="R49" s="2"/>
      <c r="S49" s="2"/>
    </row>
    <row r="50" spans="1:19">
      <c r="A50" s="22" t="s">
        <v>15</v>
      </c>
      <c r="B50" s="52">
        <f t="shared" ref="B50" si="14">B48/((1+$F$8)^B35)</f>
        <v>-1802676</v>
      </c>
      <c r="C50" s="52">
        <f t="shared" ref="C50:I50" si="15">C48/((1+$F$8)^C35)</f>
        <v>93416.914387633791</v>
      </c>
      <c r="D50" s="52">
        <f t="shared" si="15"/>
        <v>174049.35374938502</v>
      </c>
      <c r="E50" s="52">
        <f t="shared" si="15"/>
        <v>398350.11206952907</v>
      </c>
      <c r="F50" s="52">
        <f t="shared" si="15"/>
        <v>425148.32755100727</v>
      </c>
      <c r="G50" s="52">
        <f t="shared" si="15"/>
        <v>457609.44367979106</v>
      </c>
      <c r="H50" s="52">
        <f t="shared" si="15"/>
        <v>452942.80679923925</v>
      </c>
      <c r="I50" s="52">
        <f t="shared" si="15"/>
        <v>509698.65564785147</v>
      </c>
      <c r="J50" s="2"/>
      <c r="K50" s="2"/>
      <c r="L50" s="2"/>
      <c r="M50" s="2"/>
      <c r="N50" s="2"/>
      <c r="O50" s="2"/>
      <c r="P50" s="2"/>
      <c r="Q50" s="2"/>
      <c r="R50" s="2"/>
      <c r="S50" s="2"/>
    </row>
    <row r="51" spans="1:19">
      <c r="A51" s="22" t="s">
        <v>16</v>
      </c>
      <c r="B51" s="52">
        <f>+B50</f>
        <v>-1802676</v>
      </c>
      <c r="C51" s="52">
        <f t="shared" ref="C51:I51" si="16">+B51+C50</f>
        <v>-1709259.0856123662</v>
      </c>
      <c r="D51" s="52">
        <f t="shared" si="16"/>
        <v>-1535209.7318629811</v>
      </c>
      <c r="E51" s="52">
        <f t="shared" si="16"/>
        <v>-1136859.6197934521</v>
      </c>
      <c r="F51" s="52">
        <f t="shared" si="16"/>
        <v>-711711.29224244482</v>
      </c>
      <c r="G51" s="52">
        <f t="shared" si="16"/>
        <v>-254101.84856265376</v>
      </c>
      <c r="H51" s="52">
        <f t="shared" si="16"/>
        <v>198840.95823658549</v>
      </c>
      <c r="I51" s="52">
        <f t="shared" si="16"/>
        <v>708539.6138844369</v>
      </c>
      <c r="J51" s="2"/>
      <c r="K51" s="2"/>
      <c r="L51" s="2"/>
      <c r="M51" s="2"/>
      <c r="N51" s="2"/>
      <c r="O51" s="2"/>
      <c r="P51" s="2"/>
      <c r="Q51" s="2"/>
      <c r="R51" s="2"/>
      <c r="S51" s="2"/>
    </row>
    <row r="52" spans="1:19" ht="15.75" thickBot="1">
      <c r="A52" s="2"/>
      <c r="B52" s="2"/>
      <c r="C52" s="2"/>
      <c r="D52" s="2"/>
      <c r="E52" s="2"/>
      <c r="F52" s="2"/>
      <c r="G52" s="2"/>
      <c r="H52" s="2"/>
      <c r="I52" s="2"/>
      <c r="J52" s="2"/>
      <c r="K52" s="2"/>
      <c r="L52" s="2"/>
      <c r="M52" s="2"/>
      <c r="N52" s="2"/>
      <c r="O52" s="2"/>
      <c r="P52" s="2"/>
      <c r="Q52" s="2"/>
      <c r="R52" s="2"/>
      <c r="S52" s="2"/>
    </row>
    <row r="53" spans="1:19" ht="15.75" thickBot="1">
      <c r="A53" s="23" t="s">
        <v>17</v>
      </c>
      <c r="B53" s="14">
        <f>+SUM(B50:I50)</f>
        <v>708539.6138844369</v>
      </c>
      <c r="C53" s="15" t="s">
        <v>53</v>
      </c>
      <c r="D53" s="2"/>
      <c r="E53" s="2"/>
      <c r="F53" s="2"/>
      <c r="G53" s="2"/>
      <c r="H53" s="2"/>
      <c r="I53" s="2"/>
      <c r="J53" s="2"/>
      <c r="K53" s="2"/>
      <c r="L53" s="2"/>
      <c r="M53" s="2"/>
      <c r="N53" s="2"/>
      <c r="O53" s="2"/>
      <c r="P53" s="2"/>
      <c r="Q53" s="2"/>
      <c r="R53" s="2"/>
      <c r="S53" s="2"/>
    </row>
    <row r="54" spans="1:19" ht="15.75" thickBot="1">
      <c r="A54" s="23" t="s">
        <v>18</v>
      </c>
      <c r="B54" s="16">
        <f>+IRR(B48:I48)</f>
        <v>0.24597573470376233</v>
      </c>
      <c r="C54" s="15" t="s">
        <v>52</v>
      </c>
      <c r="D54" s="2"/>
      <c r="E54" s="2"/>
      <c r="F54" s="2"/>
      <c r="G54" s="2"/>
      <c r="H54" s="2"/>
      <c r="I54" s="2"/>
      <c r="J54" s="2"/>
      <c r="K54" s="2"/>
      <c r="L54" s="2"/>
      <c r="M54" s="2"/>
      <c r="N54" s="2"/>
      <c r="O54" s="2"/>
      <c r="P54" s="2"/>
      <c r="Q54" s="2"/>
      <c r="R54" s="2"/>
      <c r="S54" s="2"/>
    </row>
    <row r="55" spans="1:19" ht="15.75" thickBot="1">
      <c r="A55" s="23" t="s">
        <v>19</v>
      </c>
      <c r="B55" s="17">
        <f>+ABS(SUMIF(B50:I50,"&gt;0")/SUMIF(B50:I50,"&lt;0"))</f>
        <v>1.3930487862957275</v>
      </c>
      <c r="C55" s="15" t="s">
        <v>54</v>
      </c>
      <c r="D55" s="2"/>
      <c r="E55" s="2"/>
      <c r="F55" s="2"/>
      <c r="G55" s="2"/>
      <c r="H55" s="2"/>
      <c r="I55" s="2"/>
      <c r="J55" s="2"/>
      <c r="K55" s="2"/>
      <c r="L55" s="2"/>
      <c r="M55" s="2"/>
      <c r="N55" s="2"/>
      <c r="O55" s="2"/>
      <c r="P55" s="2"/>
      <c r="Q55" s="2"/>
      <c r="R55" s="2"/>
      <c r="S55" s="2"/>
    </row>
    <row r="56" spans="1:19" ht="15.75" thickBot="1">
      <c r="A56" s="23" t="s">
        <v>20</v>
      </c>
      <c r="B56" s="16">
        <f>+(SUM(C48:I48)+B48)/ABS(B48)</f>
        <v>1.9064249975881498</v>
      </c>
      <c r="C56" s="15" t="s">
        <v>56</v>
      </c>
      <c r="D56" s="2"/>
      <c r="E56" s="2"/>
      <c r="F56" s="2"/>
      <c r="G56" s="2"/>
      <c r="H56" s="2"/>
      <c r="I56" s="2"/>
      <c r="J56" s="2"/>
      <c r="K56" s="2"/>
      <c r="L56" s="2"/>
      <c r="M56" s="2"/>
      <c r="N56" s="2"/>
      <c r="O56" s="2"/>
      <c r="P56" s="2"/>
      <c r="Q56" s="2"/>
      <c r="R56" s="2"/>
      <c r="S56" s="2"/>
    </row>
    <row r="57" spans="1:19">
      <c r="A57" s="2"/>
      <c r="B57" s="2"/>
      <c r="C57" s="2"/>
      <c r="D57" s="2"/>
      <c r="E57" s="2"/>
      <c r="F57" s="2"/>
      <c r="G57" s="2"/>
      <c r="H57" s="2"/>
      <c r="I57" s="2"/>
      <c r="J57" s="2"/>
      <c r="K57" s="2"/>
      <c r="L57" s="2"/>
      <c r="M57" s="2"/>
      <c r="N57" s="2"/>
      <c r="O57" s="2"/>
      <c r="P57" s="2"/>
      <c r="Q57" s="2"/>
      <c r="R57" s="2"/>
      <c r="S57" s="2"/>
    </row>
    <row r="58" spans="1:19">
      <c r="A58" s="2"/>
      <c r="B58" s="2"/>
      <c r="C58" s="2"/>
      <c r="D58" s="2"/>
      <c r="E58" s="2"/>
      <c r="F58" s="2"/>
      <c r="G58" s="2"/>
      <c r="H58" s="2"/>
      <c r="I58" s="2"/>
      <c r="J58" s="2"/>
      <c r="K58" s="2"/>
      <c r="L58" s="2"/>
      <c r="M58" s="2"/>
      <c r="N58" s="2"/>
      <c r="O58" s="2"/>
      <c r="P58" s="2"/>
      <c r="Q58" s="2"/>
      <c r="R58" s="2"/>
      <c r="S58" s="2"/>
    </row>
    <row r="59" spans="1:19">
      <c r="A59" s="65" t="s">
        <v>39</v>
      </c>
      <c r="B59" s="66"/>
      <c r="C59" s="66"/>
      <c r="D59" s="66"/>
      <c r="E59" s="66"/>
      <c r="F59" s="66"/>
      <c r="G59" s="66"/>
      <c r="H59" s="66"/>
      <c r="I59" s="67"/>
      <c r="J59" s="2"/>
      <c r="K59" s="2"/>
      <c r="L59" s="2"/>
      <c r="M59" s="2"/>
      <c r="N59" s="2"/>
      <c r="O59" s="2"/>
      <c r="P59" s="2"/>
      <c r="Q59" s="2"/>
      <c r="R59" s="2"/>
      <c r="S59" s="2"/>
    </row>
    <row r="60" spans="1:19" ht="15" hidden="1" customHeight="1">
      <c r="A60" s="18" t="s">
        <v>36</v>
      </c>
      <c r="B60" s="2"/>
      <c r="C60" s="19">
        <f>+B3</f>
        <v>0.1</v>
      </c>
      <c r="D60" s="19">
        <f>+C60</f>
        <v>0.1</v>
      </c>
      <c r="E60" s="19">
        <f t="shared" ref="E60:F60" si="17">+D60</f>
        <v>0.1</v>
      </c>
      <c r="F60" s="19">
        <f t="shared" si="17"/>
        <v>0.1</v>
      </c>
      <c r="G60" s="2"/>
      <c r="H60" s="2"/>
      <c r="I60" s="2"/>
      <c r="J60" s="2"/>
      <c r="K60" s="2"/>
      <c r="L60" s="2"/>
      <c r="M60" s="2"/>
      <c r="N60" s="2"/>
      <c r="O60" s="2"/>
      <c r="P60" s="2"/>
      <c r="Q60" s="2"/>
      <c r="R60" s="2"/>
      <c r="S60" s="2"/>
    </row>
    <row r="61" spans="1:19" ht="15" customHeight="1">
      <c r="A61" s="18"/>
      <c r="B61" s="2"/>
      <c r="C61" s="19"/>
      <c r="D61" s="19"/>
      <c r="E61" s="19"/>
      <c r="F61" s="19"/>
      <c r="G61" s="2"/>
      <c r="H61" s="2"/>
      <c r="I61" s="2"/>
      <c r="J61" s="2"/>
      <c r="K61" s="2"/>
      <c r="L61" s="2"/>
      <c r="M61" s="2"/>
      <c r="N61" s="2"/>
      <c r="O61" s="2"/>
      <c r="P61" s="2"/>
      <c r="Q61" s="2"/>
      <c r="R61" s="2"/>
      <c r="S61" s="2"/>
    </row>
    <row r="62" spans="1:19">
      <c r="A62" s="12" t="s">
        <v>8</v>
      </c>
      <c r="B62" s="12">
        <v>0</v>
      </c>
      <c r="C62" s="12">
        <v>1</v>
      </c>
      <c r="D62" s="12">
        <v>2</v>
      </c>
      <c r="E62" s="12">
        <v>3</v>
      </c>
      <c r="F62" s="12">
        <v>4</v>
      </c>
      <c r="G62" s="12">
        <v>5</v>
      </c>
      <c r="H62" s="12">
        <v>6</v>
      </c>
      <c r="I62" s="12">
        <v>7</v>
      </c>
      <c r="J62" s="2"/>
      <c r="K62" s="2"/>
      <c r="L62" s="2"/>
      <c r="M62" s="2"/>
      <c r="N62" s="2"/>
      <c r="O62" s="2"/>
      <c r="P62" s="2"/>
      <c r="Q62" s="2"/>
      <c r="R62" s="2"/>
      <c r="S62" s="2"/>
    </row>
    <row r="63" spans="1:19">
      <c r="A63" s="22" t="s">
        <v>21</v>
      </c>
      <c r="B63" s="20">
        <f>-(L5+(L7*SUM(B10:B11)))</f>
        <v>-15850</v>
      </c>
      <c r="C63" s="13"/>
      <c r="D63" s="13"/>
      <c r="E63" s="13"/>
      <c r="F63" s="13"/>
      <c r="G63" s="13"/>
      <c r="H63" s="13"/>
      <c r="I63" s="13"/>
      <c r="J63" s="2"/>
      <c r="K63" s="2"/>
      <c r="L63" s="2"/>
      <c r="M63" s="2"/>
      <c r="N63" s="2"/>
      <c r="O63" s="2"/>
      <c r="P63" s="2"/>
      <c r="Q63" s="2"/>
      <c r="R63" s="2"/>
      <c r="S63" s="2"/>
    </row>
    <row r="64" spans="1:19">
      <c r="A64" s="22" t="s">
        <v>45</v>
      </c>
      <c r="B64" s="13"/>
      <c r="C64" s="13"/>
      <c r="D64" s="13">
        <f>-$P$20/4</f>
        <v>-1250</v>
      </c>
      <c r="E64" s="13">
        <f>-$P$20/4</f>
        <v>-1250</v>
      </c>
      <c r="F64" s="13">
        <f>-$P$20/4</f>
        <v>-1250</v>
      </c>
      <c r="G64" s="13">
        <f>-$P$20/4</f>
        <v>-1250</v>
      </c>
      <c r="H64" s="13"/>
      <c r="I64" s="13"/>
      <c r="J64" s="2"/>
      <c r="K64" s="2"/>
      <c r="L64" s="2"/>
      <c r="M64" s="2"/>
      <c r="N64" s="2"/>
      <c r="O64" s="2"/>
      <c r="P64" s="2"/>
      <c r="Q64" s="2"/>
      <c r="R64" s="2"/>
      <c r="S64" s="2"/>
    </row>
    <row r="65" spans="1:19">
      <c r="A65" s="22" t="s">
        <v>50</v>
      </c>
      <c r="B65" s="13"/>
      <c r="C65" s="13"/>
      <c r="D65" s="13">
        <f t="shared" ref="D65:I65" si="18">-$P$21</f>
        <v>-1500</v>
      </c>
      <c r="E65" s="13">
        <f t="shared" si="18"/>
        <v>-1500</v>
      </c>
      <c r="F65" s="13">
        <f t="shared" si="18"/>
        <v>-1500</v>
      </c>
      <c r="G65" s="13">
        <f t="shared" si="18"/>
        <v>-1500</v>
      </c>
      <c r="H65" s="13">
        <f t="shared" si="18"/>
        <v>-1500</v>
      </c>
      <c r="I65" s="13">
        <f t="shared" si="18"/>
        <v>-1500</v>
      </c>
      <c r="J65" s="2"/>
      <c r="K65" s="2"/>
      <c r="L65" s="2"/>
      <c r="M65" s="2"/>
      <c r="N65" s="2"/>
      <c r="O65" s="2"/>
      <c r="P65" s="2"/>
      <c r="Q65" s="2"/>
      <c r="R65" s="2"/>
      <c r="S65" s="2"/>
    </row>
    <row r="66" spans="1:19">
      <c r="A66" s="22" t="s">
        <v>48</v>
      </c>
      <c r="B66" s="13"/>
      <c r="C66" s="13"/>
      <c r="D66" s="13"/>
      <c r="E66" s="13"/>
      <c r="F66" s="13"/>
      <c r="G66" s="13"/>
      <c r="H66" s="13"/>
      <c r="I66" s="13"/>
      <c r="J66" s="2"/>
      <c r="K66" s="2"/>
      <c r="L66" s="2"/>
      <c r="M66" s="2"/>
      <c r="N66" s="2"/>
      <c r="O66" s="2"/>
      <c r="P66" s="2"/>
      <c r="Q66" s="2"/>
      <c r="R66" s="2"/>
      <c r="S66" s="2"/>
    </row>
    <row r="67" spans="1:19">
      <c r="A67" s="22" t="s">
        <v>49</v>
      </c>
      <c r="B67" s="13"/>
      <c r="C67" s="13"/>
      <c r="D67" s="13"/>
      <c r="E67" s="13"/>
      <c r="F67" s="13"/>
      <c r="G67" s="13"/>
      <c r="H67" s="13"/>
      <c r="I67" s="13"/>
      <c r="J67" s="2"/>
      <c r="K67" s="2"/>
      <c r="L67" s="2"/>
      <c r="M67" s="2"/>
      <c r="N67" s="2"/>
      <c r="O67" s="2"/>
      <c r="P67" s="2"/>
      <c r="Q67" s="2"/>
      <c r="R67" s="2"/>
      <c r="S67" s="2"/>
    </row>
    <row r="68" spans="1:19">
      <c r="A68" s="22" t="s">
        <v>31</v>
      </c>
      <c r="B68" s="13"/>
      <c r="C68" s="13">
        <f>($B$8*$B$7)*365*(1+$B$3)^C62</f>
        <v>10468.965517241382</v>
      </c>
      <c r="D68" s="13">
        <f t="shared" ref="D68:I68" si="19">($B$8*$B$7)*365*(1+$B$3)^D62</f>
        <v>11515.86206896552</v>
      </c>
      <c r="E68" s="13">
        <f t="shared" si="19"/>
        <v>12667.448275862074</v>
      </c>
      <c r="F68" s="13">
        <f t="shared" si="19"/>
        <v>13934.193103448282</v>
      </c>
      <c r="G68" s="13">
        <f t="shared" si="19"/>
        <v>15327.612413793111</v>
      </c>
      <c r="H68" s="13">
        <f t="shared" si="19"/>
        <v>16860.373655172425</v>
      </c>
      <c r="I68" s="13">
        <f t="shared" si="19"/>
        <v>18546.411020689669</v>
      </c>
      <c r="J68" s="2"/>
      <c r="K68" s="2"/>
      <c r="L68" s="2"/>
      <c r="M68" s="2"/>
      <c r="N68" s="2"/>
      <c r="O68" s="2"/>
      <c r="P68" s="2"/>
      <c r="Q68" s="2"/>
      <c r="R68" s="2"/>
      <c r="S68" s="2"/>
    </row>
    <row r="69" spans="1:19">
      <c r="A69" s="22" t="s">
        <v>9</v>
      </c>
      <c r="B69" s="13"/>
      <c r="C69" s="13">
        <f t="shared" ref="C69:I69" si="20">+C63/$F$11</f>
        <v>0</v>
      </c>
      <c r="D69" s="13">
        <f t="shared" si="20"/>
        <v>0</v>
      </c>
      <c r="E69" s="13">
        <f t="shared" si="20"/>
        <v>0</v>
      </c>
      <c r="F69" s="13">
        <f t="shared" si="20"/>
        <v>0</v>
      </c>
      <c r="G69" s="13">
        <f t="shared" si="20"/>
        <v>0</v>
      </c>
      <c r="H69" s="13">
        <f t="shared" si="20"/>
        <v>0</v>
      </c>
      <c r="I69" s="13">
        <f t="shared" si="20"/>
        <v>0</v>
      </c>
      <c r="J69" s="2"/>
      <c r="K69" s="2"/>
      <c r="L69" s="2"/>
      <c r="M69" s="2"/>
      <c r="N69" s="2"/>
      <c r="O69" s="2"/>
      <c r="P69" s="2"/>
      <c r="Q69" s="2"/>
      <c r="R69" s="2"/>
      <c r="S69" s="2"/>
    </row>
    <row r="70" spans="1:19">
      <c r="A70" s="22" t="s">
        <v>33</v>
      </c>
      <c r="B70" s="13"/>
      <c r="C70" s="13">
        <f>-P17</f>
        <v>-832.65</v>
      </c>
      <c r="D70" s="13">
        <f t="shared" ref="D70:I70" si="21">C70*(1+$B$3)</f>
        <v>-915.91500000000008</v>
      </c>
      <c r="E70" s="13">
        <f t="shared" si="21"/>
        <v>-1007.5065000000002</v>
      </c>
      <c r="F70" s="13">
        <f t="shared" si="21"/>
        <v>-1108.2571500000004</v>
      </c>
      <c r="G70" s="13">
        <f t="shared" si="21"/>
        <v>-1219.0828650000005</v>
      </c>
      <c r="H70" s="13">
        <f t="shared" si="21"/>
        <v>-1340.9911515000008</v>
      </c>
      <c r="I70" s="13">
        <f t="shared" si="21"/>
        <v>-1475.090266650001</v>
      </c>
      <c r="J70" s="2"/>
      <c r="K70" s="2"/>
      <c r="L70" s="2"/>
      <c r="M70" s="2"/>
      <c r="N70" s="2"/>
      <c r="O70" s="2"/>
      <c r="P70" s="2"/>
      <c r="Q70" s="2"/>
      <c r="R70" s="2"/>
      <c r="S70" s="2"/>
    </row>
    <row r="71" spans="1:19">
      <c r="A71" s="22" t="s">
        <v>10</v>
      </c>
      <c r="B71" s="13">
        <f t="shared" ref="B71" si="22">SUM(B63:B69)+B70</f>
        <v>-15850</v>
      </c>
      <c r="C71" s="13">
        <f t="shared" ref="C71:I71" si="23">SUM(C63:C69)+C70</f>
        <v>9636.3155172413826</v>
      </c>
      <c r="D71" s="13">
        <f t="shared" si="23"/>
        <v>7849.94706896552</v>
      </c>
      <c r="E71" s="13">
        <f t="shared" si="23"/>
        <v>8909.9417758620748</v>
      </c>
      <c r="F71" s="13">
        <f t="shared" si="23"/>
        <v>10075.935953448283</v>
      </c>
      <c r="G71" s="13">
        <f t="shared" si="23"/>
        <v>11358.529548793111</v>
      </c>
      <c r="H71" s="13">
        <f t="shared" si="23"/>
        <v>14019.382503672425</v>
      </c>
      <c r="I71" s="13">
        <f t="shared" si="23"/>
        <v>15571.320754039669</v>
      </c>
      <c r="J71" s="2"/>
      <c r="K71" s="2"/>
      <c r="L71" s="2"/>
      <c r="M71" s="2"/>
      <c r="N71" s="2"/>
      <c r="O71" s="2"/>
      <c r="P71" s="2"/>
      <c r="Q71" s="2"/>
      <c r="R71" s="2"/>
      <c r="S71" s="2"/>
    </row>
    <row r="72" spans="1:19">
      <c r="A72" s="22" t="s">
        <v>11</v>
      </c>
      <c r="B72" s="13">
        <f>+IF(B71&gt;0,B71*$F$3,0)</f>
        <v>0</v>
      </c>
      <c r="C72" s="13">
        <f>-IF(C71&gt;0,C71*$F$3,0)</f>
        <v>-2890.8946551724148</v>
      </c>
      <c r="D72" s="13">
        <f t="shared" ref="D72:F72" si="24">-IF(D71&gt;0,D71*$F$3,0)</f>
        <v>-2354.9841206896558</v>
      </c>
      <c r="E72" s="13">
        <f t="shared" si="24"/>
        <v>-2672.9825327586223</v>
      </c>
      <c r="F72" s="13">
        <f t="shared" si="24"/>
        <v>-3022.7807860344847</v>
      </c>
      <c r="G72" s="13">
        <f t="shared" ref="G72:I72" si="25">-IF(G71&gt;0,G71*$F$3,0)</f>
        <v>-3407.5588646379333</v>
      </c>
      <c r="H72" s="13">
        <f t="shared" si="25"/>
        <v>-4205.8147511017269</v>
      </c>
      <c r="I72" s="13">
        <f t="shared" si="25"/>
        <v>-4671.3962262119003</v>
      </c>
      <c r="J72" s="2"/>
      <c r="K72" s="2"/>
      <c r="L72" s="2"/>
      <c r="M72" s="2"/>
      <c r="N72" s="2"/>
      <c r="O72" s="2"/>
      <c r="P72" s="2"/>
      <c r="Q72" s="2"/>
      <c r="R72" s="2"/>
      <c r="S72" s="2"/>
    </row>
    <row r="73" spans="1:19">
      <c r="A73" s="22" t="s">
        <v>12</v>
      </c>
      <c r="B73" s="13">
        <f>B71+B72</f>
        <v>-15850</v>
      </c>
      <c r="C73" s="13">
        <f>C71+C72</f>
        <v>6745.4208620689678</v>
      </c>
      <c r="D73" s="13">
        <f>D71+D72</f>
        <v>5494.9629482758646</v>
      </c>
      <c r="E73" s="13">
        <f t="shared" ref="E73" si="26">E71+E72</f>
        <v>6236.9592431034525</v>
      </c>
      <c r="F73" s="13">
        <f>F71+F72</f>
        <v>7053.1551674137982</v>
      </c>
      <c r="G73" s="13">
        <f t="shared" ref="G73:I73" si="27">G71+G72</f>
        <v>7950.9706841551779</v>
      </c>
      <c r="H73" s="13">
        <f t="shared" si="27"/>
        <v>9813.5677525706978</v>
      </c>
      <c r="I73" s="13">
        <f t="shared" si="27"/>
        <v>10899.924527827769</v>
      </c>
      <c r="J73" s="2"/>
      <c r="K73" s="2"/>
      <c r="L73" s="2"/>
      <c r="M73" s="2"/>
      <c r="N73" s="2"/>
      <c r="O73" s="2"/>
      <c r="P73" s="2"/>
      <c r="Q73" s="2"/>
      <c r="R73" s="2"/>
      <c r="S73" s="2"/>
    </row>
    <row r="74" spans="1:19">
      <c r="A74" s="22" t="s">
        <v>13</v>
      </c>
      <c r="B74" s="13">
        <f>B73</f>
        <v>-15850</v>
      </c>
      <c r="C74" s="13">
        <f>C73</f>
        <v>6745.4208620689678</v>
      </c>
      <c r="D74" s="13">
        <f>D73</f>
        <v>5494.9629482758646</v>
      </c>
      <c r="E74" s="13">
        <f>E73</f>
        <v>6236.9592431034525</v>
      </c>
      <c r="F74" s="13">
        <f>F73</f>
        <v>7053.1551674137982</v>
      </c>
      <c r="G74" s="13">
        <f t="shared" ref="G74:I74" si="28">G73</f>
        <v>7950.9706841551779</v>
      </c>
      <c r="H74" s="13">
        <f t="shared" si="28"/>
        <v>9813.5677525706978</v>
      </c>
      <c r="I74" s="13">
        <f t="shared" si="28"/>
        <v>10899.924527827769</v>
      </c>
      <c r="J74" s="2"/>
      <c r="K74" s="2"/>
      <c r="L74" s="2"/>
      <c r="M74" s="2"/>
      <c r="N74" s="2"/>
      <c r="O74" s="2"/>
      <c r="P74" s="2"/>
      <c r="Q74" s="2"/>
      <c r="R74" s="2"/>
      <c r="S74" s="2"/>
    </row>
    <row r="75" spans="1:19">
      <c r="A75" s="22" t="s">
        <v>14</v>
      </c>
      <c r="B75" s="13">
        <f>B74</f>
        <v>-15850</v>
      </c>
      <c r="C75" s="13">
        <f>C74+B75</f>
        <v>-9104.5791379310322</v>
      </c>
      <c r="D75" s="13">
        <f>D74+C75</f>
        <v>-3609.6161896551675</v>
      </c>
      <c r="E75" s="13">
        <f>E74+D75</f>
        <v>2627.343053448285</v>
      </c>
      <c r="F75" s="13">
        <f>F74+E75</f>
        <v>9680.4982208620822</v>
      </c>
      <c r="G75" s="13">
        <f t="shared" ref="G75:I75" si="29">G74+F75</f>
        <v>17631.46890501726</v>
      </c>
      <c r="H75" s="13">
        <f t="shared" si="29"/>
        <v>27445.03665758796</v>
      </c>
      <c r="I75" s="13">
        <f t="shared" si="29"/>
        <v>38344.961185415727</v>
      </c>
      <c r="J75" s="2"/>
      <c r="K75" s="2"/>
      <c r="L75" s="2"/>
      <c r="M75" s="2"/>
      <c r="N75" s="2"/>
      <c r="O75" s="2"/>
      <c r="P75" s="2"/>
      <c r="Q75" s="2"/>
      <c r="R75" s="2"/>
      <c r="S75" s="2"/>
    </row>
    <row r="76" spans="1:19">
      <c r="A76" s="22" t="s">
        <v>15</v>
      </c>
      <c r="B76" s="13">
        <f>B74/((1+$F$8)^B62)</f>
        <v>-15850</v>
      </c>
      <c r="C76" s="13">
        <f>C74/((1+$F$8)^C62)</f>
        <v>5815.0179845422144</v>
      </c>
      <c r="D76" s="13">
        <f>D74/((1+$F$8)^D62)</f>
        <v>4083.6526072204706</v>
      </c>
      <c r="E76" s="13">
        <f>E74/((1+$F$8)^E62)</f>
        <v>3995.7557986588813</v>
      </c>
      <c r="F76" s="13">
        <f>F74/((1+$F$8)^F62)</f>
        <v>3895.3948109323105</v>
      </c>
      <c r="G76" s="13">
        <f t="shared" ref="G76:I76" si="30">G74/((1+$F$8)^G62)</f>
        <v>3785.5606279030453</v>
      </c>
      <c r="H76" s="13">
        <f t="shared" si="30"/>
        <v>4027.9028746965623</v>
      </c>
      <c r="I76" s="13">
        <f t="shared" si="30"/>
        <v>3856.7151714709466</v>
      </c>
      <c r="J76" s="2"/>
      <c r="K76" s="2"/>
      <c r="L76" s="2"/>
      <c r="M76" s="2"/>
      <c r="N76" s="2"/>
      <c r="O76" s="2"/>
      <c r="P76" s="2"/>
      <c r="Q76" s="2"/>
      <c r="R76" s="2"/>
      <c r="S76" s="2"/>
    </row>
    <row r="77" spans="1:19">
      <c r="A77" s="22" t="s">
        <v>16</v>
      </c>
      <c r="B77" s="13">
        <f>+B76</f>
        <v>-15850</v>
      </c>
      <c r="C77" s="13">
        <f>+B77+C76</f>
        <v>-10034.982015457786</v>
      </c>
      <c r="D77" s="13">
        <f>+C77+D76</f>
        <v>-5951.3294082373159</v>
      </c>
      <c r="E77" s="13">
        <f>+D77+E76</f>
        <v>-1955.5736095784346</v>
      </c>
      <c r="F77" s="13">
        <f>+E77+F76</f>
        <v>1939.8212013538759</v>
      </c>
      <c r="G77" s="13">
        <f t="shared" ref="G77:I77" si="31">+F77+G76</f>
        <v>5725.3818292569213</v>
      </c>
      <c r="H77" s="13">
        <f t="shared" si="31"/>
        <v>9753.2847039534827</v>
      </c>
      <c r="I77" s="13">
        <f t="shared" si="31"/>
        <v>13609.99987542443</v>
      </c>
      <c r="J77" s="2"/>
      <c r="K77" s="2"/>
      <c r="L77" s="2"/>
      <c r="M77" s="2"/>
      <c r="N77" s="2"/>
      <c r="O77" s="2"/>
      <c r="P77" s="2"/>
      <c r="Q77" s="2"/>
      <c r="R77" s="2"/>
      <c r="S77" s="2"/>
    </row>
    <row r="78" spans="1:19" ht="15" hidden="1" customHeight="1">
      <c r="A78" s="2"/>
      <c r="B78" s="2"/>
      <c r="C78" s="2"/>
      <c r="D78" s="2"/>
      <c r="E78" s="2"/>
      <c r="F78" s="2"/>
      <c r="G78" s="19"/>
      <c r="H78" s="19"/>
      <c r="I78" s="19"/>
      <c r="J78" s="2"/>
      <c r="K78" s="2"/>
      <c r="L78" s="2"/>
      <c r="M78" s="2"/>
      <c r="N78" s="2"/>
      <c r="O78" s="2"/>
      <c r="P78" s="2"/>
      <c r="Q78" s="2"/>
      <c r="R78" s="2"/>
      <c r="S78" s="2"/>
    </row>
    <row r="79" spans="1:19" ht="15" customHeight="1" thickBot="1">
      <c r="A79" s="2"/>
      <c r="B79" s="2"/>
      <c r="C79" s="2"/>
      <c r="D79" s="2"/>
      <c r="E79" s="2"/>
      <c r="F79" s="2"/>
      <c r="G79" s="19"/>
      <c r="H79" s="19"/>
      <c r="I79" s="19"/>
      <c r="J79" s="2"/>
      <c r="K79" s="2"/>
      <c r="L79" s="2"/>
      <c r="M79" s="2"/>
      <c r="N79" s="2"/>
      <c r="O79" s="2"/>
      <c r="P79" s="2"/>
      <c r="Q79" s="2"/>
      <c r="R79" s="2"/>
      <c r="S79" s="2"/>
    </row>
    <row r="80" spans="1:19" ht="15.75" thickBot="1">
      <c r="A80" s="23" t="s">
        <v>17</v>
      </c>
      <c r="B80" s="14">
        <f>+SUM(B76:I76)</f>
        <v>13609.99987542443</v>
      </c>
      <c r="C80" s="15" t="s">
        <v>53</v>
      </c>
      <c r="D80" s="6"/>
      <c r="E80" s="6"/>
      <c r="F80" s="6"/>
      <c r="G80" s="6"/>
      <c r="H80" s="6"/>
      <c r="I80" s="6"/>
      <c r="J80" s="2"/>
      <c r="K80" s="2"/>
      <c r="L80" s="2"/>
      <c r="M80" s="2"/>
      <c r="N80" s="2"/>
      <c r="O80" s="2"/>
      <c r="P80" s="2"/>
      <c r="Q80" s="2"/>
      <c r="R80" s="2"/>
      <c r="S80" s="2"/>
    </row>
    <row r="81" spans="1:19" ht="15.75" thickBot="1">
      <c r="A81" s="23" t="s">
        <v>18</v>
      </c>
      <c r="B81" s="16">
        <f>+IRR(B74:I74)</f>
        <v>0.39111350624577113</v>
      </c>
      <c r="C81" s="15" t="s">
        <v>52</v>
      </c>
      <c r="D81" s="2"/>
      <c r="E81" s="2"/>
      <c r="F81" s="2"/>
      <c r="G81" s="2"/>
      <c r="H81" s="2"/>
      <c r="I81" s="2"/>
      <c r="J81" s="2"/>
      <c r="K81" s="2"/>
      <c r="L81" s="2"/>
      <c r="M81" s="2"/>
      <c r="N81" s="2"/>
      <c r="O81" s="2"/>
      <c r="P81" s="2"/>
      <c r="Q81" s="2"/>
      <c r="R81" s="2"/>
      <c r="S81" s="2"/>
    </row>
    <row r="82" spans="1:19" ht="15.75" thickBot="1">
      <c r="A82" s="23" t="s">
        <v>19</v>
      </c>
      <c r="B82" s="17">
        <f>+ABS(SUMIF(B76:I76,"&gt;0")/SUMIF(B76:I76,"&lt;0"))</f>
        <v>1.8586750710046964</v>
      </c>
      <c r="C82" s="15" t="s">
        <v>54</v>
      </c>
      <c r="D82" s="2"/>
      <c r="E82" s="2"/>
      <c r="F82" s="2"/>
      <c r="G82" s="2"/>
      <c r="H82" s="2"/>
      <c r="I82" s="2"/>
      <c r="J82" s="2"/>
      <c r="K82" s="2"/>
      <c r="L82" s="2"/>
      <c r="M82" s="2"/>
      <c r="N82" s="2"/>
      <c r="O82" s="2"/>
      <c r="P82" s="2"/>
      <c r="Q82" s="2"/>
      <c r="R82" s="2"/>
      <c r="S82" s="2"/>
    </row>
    <row r="83" spans="1:19" ht="15.75" thickBot="1">
      <c r="A83" s="23" t="s">
        <v>20</v>
      </c>
      <c r="B83" s="16">
        <f>+(SUM(C74:I74)+B74)/ABS(B74)</f>
        <v>2.4192404533385314</v>
      </c>
      <c r="C83" s="15" t="s">
        <v>56</v>
      </c>
      <c r="D83" s="2"/>
      <c r="E83" s="2"/>
      <c r="F83" s="2"/>
      <c r="G83" s="2"/>
      <c r="H83" s="2"/>
      <c r="I83" s="2"/>
      <c r="J83" s="2"/>
      <c r="K83" s="2"/>
      <c r="L83" s="2"/>
      <c r="M83" s="2"/>
      <c r="N83" s="2"/>
      <c r="O83" s="2"/>
      <c r="P83" s="2"/>
      <c r="Q83" s="2"/>
      <c r="R83" s="2"/>
      <c r="S83" s="2"/>
    </row>
    <row r="84" spans="1:19" ht="15.75" thickBot="1">
      <c r="A84" s="23" t="s">
        <v>58</v>
      </c>
      <c r="B84" s="21">
        <f>F62-(SUM(C76:F76)+B76)/B76</f>
        <v>4.1223861956690149</v>
      </c>
      <c r="C84" s="15" t="s">
        <v>57</v>
      </c>
      <c r="D84" s="2"/>
      <c r="E84" s="2"/>
      <c r="F84" s="2"/>
      <c r="G84" s="2"/>
      <c r="H84" s="2"/>
      <c r="I84" s="2"/>
      <c r="J84" s="2"/>
      <c r="K84" s="2"/>
      <c r="L84" s="2"/>
      <c r="M84" s="2"/>
      <c r="N84" s="2"/>
      <c r="O84" s="2"/>
      <c r="P84" s="2"/>
      <c r="Q84" s="2"/>
      <c r="R84" s="2"/>
      <c r="S84" s="2"/>
    </row>
    <row r="87" spans="1:19" ht="15" hidden="1" customHeight="1"/>
  </sheetData>
  <mergeCells count="5">
    <mergeCell ref="K2:L2"/>
    <mergeCell ref="O2:P2"/>
    <mergeCell ref="E2:F2"/>
    <mergeCell ref="A59:I59"/>
    <mergeCell ref="A18:I18"/>
  </mergeCells>
  <conditionalFormatting sqref="B36:I51 J44:N44">
    <cfRule type="expression" dxfId="8" priority="1">
      <formula>"&lt;0"</formula>
    </cfRule>
  </conditionalFormatting>
  <conditionalFormatting sqref="B63:I77">
    <cfRule type="expression" dxfId="7" priority="17">
      <formula>"&lt;0"</formula>
    </cfRule>
  </conditionalFormatting>
  <conditionalFormatting sqref="D80:I80">
    <cfRule type="cellIs" dxfId="6" priority="19" operator="lessThan">
      <formula>0</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B50AF-6EEA-4F87-976B-29F1026003E3}">
  <dimension ref="A1:S87"/>
  <sheetViews>
    <sheetView showGridLines="0" topLeftCell="A10" zoomScale="75" workbookViewId="0">
      <selection activeCell="D15" sqref="D15"/>
    </sheetView>
  </sheetViews>
  <sheetFormatPr defaultRowHeight="15"/>
  <cols>
    <col min="1" max="1" width="55" customWidth="1"/>
    <col min="2" max="2" width="16" bestFit="1" customWidth="1"/>
    <col min="3" max="3" width="16.28515625" customWidth="1"/>
    <col min="4" max="4" width="16.140625" customWidth="1"/>
    <col min="5" max="5" width="18.5703125" customWidth="1"/>
    <col min="6" max="8" width="16" customWidth="1"/>
    <col min="9" max="9" width="16" bestFit="1" customWidth="1"/>
    <col min="10" max="10" width="11" bestFit="1" customWidth="1"/>
    <col min="11" max="11" width="35.28515625" bestFit="1" customWidth="1"/>
    <col min="12" max="12" width="16" bestFit="1" customWidth="1"/>
    <col min="14" max="14" width="15.5703125" bestFit="1" customWidth="1"/>
    <col min="15" max="15" width="44" bestFit="1" customWidth="1"/>
    <col min="16" max="16" width="13" bestFit="1" customWidth="1"/>
    <col min="17" max="17" width="17.5703125" bestFit="1" customWidth="1"/>
  </cols>
  <sheetData>
    <row r="1" spans="1:19">
      <c r="A1" s="1" t="s">
        <v>0</v>
      </c>
      <c r="B1" s="1" t="s">
        <v>1</v>
      </c>
      <c r="C1" s="2"/>
      <c r="D1" s="2"/>
      <c r="E1" s="2"/>
      <c r="F1" s="2"/>
      <c r="G1" s="2"/>
      <c r="H1" s="2"/>
      <c r="I1" s="2"/>
      <c r="J1" s="2"/>
      <c r="K1" s="2"/>
      <c r="L1" s="2"/>
      <c r="M1" s="2"/>
      <c r="N1" s="2"/>
      <c r="O1" s="2"/>
      <c r="P1" s="2"/>
      <c r="Q1" s="2"/>
      <c r="R1" s="2"/>
      <c r="S1" s="2"/>
    </row>
    <row r="2" spans="1:19" ht="23.25" customHeight="1">
      <c r="A2" s="30" t="s">
        <v>2</v>
      </c>
      <c r="B2" s="27">
        <v>1200000</v>
      </c>
      <c r="C2" s="2"/>
      <c r="D2" s="2"/>
      <c r="E2" s="63" t="s">
        <v>22</v>
      </c>
      <c r="F2" s="64"/>
      <c r="G2" s="2"/>
      <c r="H2" s="2"/>
      <c r="I2" s="2"/>
      <c r="J2" s="2"/>
      <c r="K2" s="63" t="s">
        <v>6</v>
      </c>
      <c r="L2" s="64"/>
      <c r="M2" s="2"/>
      <c r="N2" s="2"/>
      <c r="O2" s="63" t="s">
        <v>7</v>
      </c>
      <c r="P2" s="64"/>
      <c r="Q2" s="2"/>
      <c r="R2" s="2"/>
      <c r="S2" s="2"/>
    </row>
    <row r="3" spans="1:19">
      <c r="A3" s="30" t="s">
        <v>28</v>
      </c>
      <c r="B3" s="28">
        <v>0.12</v>
      </c>
      <c r="C3" s="2"/>
      <c r="D3" s="2"/>
      <c r="E3" s="30" t="s">
        <v>23</v>
      </c>
      <c r="F3" s="28">
        <v>0.3</v>
      </c>
      <c r="G3" s="2"/>
      <c r="H3" s="2"/>
      <c r="I3" s="2"/>
      <c r="J3" s="2"/>
      <c r="K3" s="30" t="s">
        <v>3</v>
      </c>
      <c r="L3" s="32">
        <v>6750</v>
      </c>
      <c r="M3" s="2"/>
      <c r="N3" s="2"/>
      <c r="O3" s="30" t="s">
        <v>76</v>
      </c>
      <c r="P3" s="27">
        <f>+$P$7*Q3</f>
        <v>208</v>
      </c>
      <c r="Q3" s="36">
        <v>0.16</v>
      </c>
      <c r="R3" s="2"/>
      <c r="S3" s="2"/>
    </row>
    <row r="4" spans="1:19">
      <c r="A4" s="30" t="s">
        <v>37</v>
      </c>
      <c r="B4" s="32">
        <f>+$B$2*C4</f>
        <v>276000</v>
      </c>
      <c r="C4" s="4" t="s">
        <v>5</v>
      </c>
      <c r="D4" s="2"/>
      <c r="E4" s="30" t="s">
        <v>27</v>
      </c>
      <c r="F4" s="28">
        <v>0.15</v>
      </c>
      <c r="G4" s="2" t="s">
        <v>61</v>
      </c>
      <c r="H4" s="2"/>
      <c r="I4" s="2"/>
      <c r="J4" s="2"/>
      <c r="K4" s="30" t="s">
        <v>4</v>
      </c>
      <c r="L4" s="32">
        <v>12500</v>
      </c>
      <c r="M4" s="2"/>
      <c r="O4" s="30" t="s">
        <v>77</v>
      </c>
      <c r="P4" s="27">
        <f>+$P$7*Q4</f>
        <v>454.99999999999994</v>
      </c>
      <c r="Q4" s="36">
        <v>0.35</v>
      </c>
      <c r="R4" s="2"/>
      <c r="S4" s="2"/>
    </row>
    <row r="5" spans="1:19">
      <c r="A5" s="30" t="s">
        <v>40</v>
      </c>
      <c r="B5" s="33">
        <v>1300</v>
      </c>
      <c r="C5" s="2"/>
      <c r="D5" s="2"/>
      <c r="E5" s="30" t="s">
        <v>25</v>
      </c>
      <c r="F5" s="28">
        <v>0.6</v>
      </c>
      <c r="G5" s="2"/>
      <c r="H5" s="2"/>
      <c r="I5" s="2"/>
      <c r="J5" s="2"/>
      <c r="K5" s="30" t="s">
        <v>87</v>
      </c>
      <c r="L5" s="27">
        <f>+L4/2</f>
        <v>6250</v>
      </c>
      <c r="M5" s="2"/>
      <c r="N5" s="2"/>
      <c r="O5" s="30" t="s">
        <v>78</v>
      </c>
      <c r="P5" s="27">
        <f>+$P$7*Q5</f>
        <v>533</v>
      </c>
      <c r="Q5" s="36">
        <v>0.41</v>
      </c>
      <c r="R5" s="2"/>
      <c r="S5" s="2"/>
    </row>
    <row r="6" spans="1:19">
      <c r="A6" s="30" t="s">
        <v>29</v>
      </c>
      <c r="B6" s="33">
        <v>29</v>
      </c>
      <c r="C6" s="2"/>
      <c r="D6" s="2"/>
      <c r="E6" s="30" t="s">
        <v>62</v>
      </c>
      <c r="F6" s="28">
        <v>0.25</v>
      </c>
      <c r="G6" s="2"/>
      <c r="H6" s="2"/>
      <c r="I6" s="2"/>
      <c r="J6" s="2"/>
      <c r="K6" s="30" t="s">
        <v>67</v>
      </c>
      <c r="L6" s="34">
        <v>18</v>
      </c>
      <c r="M6" s="2"/>
      <c r="N6" s="2"/>
      <c r="O6" s="30" t="s">
        <v>79</v>
      </c>
      <c r="P6" s="27">
        <f>+$P$7*Q6</f>
        <v>104</v>
      </c>
      <c r="Q6" s="36">
        <v>0.08</v>
      </c>
      <c r="R6" s="2"/>
      <c r="S6" s="2"/>
    </row>
    <row r="7" spans="1:19">
      <c r="A7" s="30" t="s">
        <v>30</v>
      </c>
      <c r="B7" s="29">
        <f>+B5/B6</f>
        <v>44.827586206896555</v>
      </c>
      <c r="C7" s="2" t="s">
        <v>41</v>
      </c>
      <c r="D7" s="2"/>
      <c r="E7" s="30" t="s">
        <v>26</v>
      </c>
      <c r="F7" s="28">
        <v>0.4</v>
      </c>
      <c r="G7" s="2"/>
      <c r="H7" s="2"/>
      <c r="I7" s="2"/>
      <c r="J7" s="2"/>
      <c r="K7" s="30" t="s">
        <v>68</v>
      </c>
      <c r="L7" s="34">
        <v>18</v>
      </c>
      <c r="M7" s="2"/>
      <c r="N7" s="2"/>
      <c r="O7" s="24" t="s">
        <v>83</v>
      </c>
      <c r="P7" s="35">
        <v>1300</v>
      </c>
      <c r="Q7" s="7"/>
      <c r="R7" s="2"/>
      <c r="S7" s="2"/>
    </row>
    <row r="8" spans="1:19">
      <c r="A8" s="30" t="s">
        <v>63</v>
      </c>
      <c r="B8" s="27">
        <f>+B4/B6/365/B7</f>
        <v>0.58166491043203372</v>
      </c>
      <c r="C8" s="2"/>
      <c r="D8" s="6"/>
      <c r="E8" s="24" t="s">
        <v>24</v>
      </c>
      <c r="F8" s="25">
        <f>+(F4*(1-F3)*F5)+(F7*F6)</f>
        <v>0.16300000000000001</v>
      </c>
      <c r="G8" s="2"/>
      <c r="H8" s="2"/>
      <c r="I8" s="2"/>
      <c r="J8" s="2"/>
      <c r="K8" s="30" t="s">
        <v>74</v>
      </c>
      <c r="L8" s="27">
        <f>+SUM(B10:B11)*SUM(L6:L7)</f>
        <v>19200</v>
      </c>
      <c r="M8" s="2"/>
      <c r="N8" s="2"/>
      <c r="O8" s="30" t="s">
        <v>76</v>
      </c>
      <c r="P8" s="27">
        <f>+P3*(1+Q8)</f>
        <v>270.40000000000003</v>
      </c>
      <c r="Q8" s="36">
        <v>0.3</v>
      </c>
      <c r="R8" s="2"/>
      <c r="S8" s="2"/>
    </row>
    <row r="9" spans="1:19">
      <c r="A9" s="30" t="s">
        <v>64</v>
      </c>
      <c r="B9" s="32">
        <v>1394</v>
      </c>
      <c r="C9" s="2"/>
      <c r="D9" s="2"/>
      <c r="E9" s="4"/>
      <c r="F9" s="4"/>
      <c r="G9" s="2"/>
      <c r="H9" s="2"/>
      <c r="I9" s="2"/>
      <c r="J9" s="2"/>
      <c r="K9" s="30" t="s">
        <v>69</v>
      </c>
      <c r="L9" s="32">
        <v>13500</v>
      </c>
      <c r="M9" s="2"/>
      <c r="N9" s="2"/>
      <c r="O9" s="30" t="s">
        <v>77</v>
      </c>
      <c r="P9" s="27">
        <f>+$P$4*(1+Q9)</f>
        <v>568.74999999999989</v>
      </c>
      <c r="Q9" s="37">
        <v>0.25</v>
      </c>
      <c r="R9" s="2"/>
      <c r="S9" s="2"/>
    </row>
    <row r="10" spans="1:19">
      <c r="A10" s="30" t="s">
        <v>65</v>
      </c>
      <c r="B10" s="32">
        <v>500</v>
      </c>
      <c r="C10" s="2"/>
      <c r="D10" s="2"/>
      <c r="E10" s="4" t="s">
        <v>32</v>
      </c>
      <c r="F10" s="31">
        <v>0</v>
      </c>
      <c r="G10" s="2"/>
      <c r="H10" s="2"/>
      <c r="I10" s="2"/>
      <c r="J10" s="2"/>
      <c r="K10" s="30" t="s">
        <v>88</v>
      </c>
      <c r="L10" s="29">
        <f>+SUM(B29)</f>
        <v>0</v>
      </c>
      <c r="M10" s="2"/>
      <c r="N10" s="2"/>
      <c r="O10" s="30" t="s">
        <v>78</v>
      </c>
      <c r="P10" s="27">
        <f>+$P$5*(1+Q10)</f>
        <v>719.55000000000007</v>
      </c>
      <c r="Q10" s="36">
        <v>0.35</v>
      </c>
      <c r="R10" s="2"/>
      <c r="S10" s="2"/>
    </row>
    <row r="11" spans="1:19">
      <c r="A11" s="30" t="s">
        <v>66</v>
      </c>
      <c r="B11" s="32">
        <v>33.333333333333336</v>
      </c>
      <c r="C11" s="2"/>
      <c r="D11" s="2"/>
      <c r="E11" s="4" t="s">
        <v>42</v>
      </c>
      <c r="F11" s="4">
        <v>1</v>
      </c>
      <c r="G11" s="2"/>
      <c r="H11" s="2"/>
      <c r="I11" s="2"/>
      <c r="J11" s="2"/>
      <c r="K11" s="30" t="s">
        <v>70</v>
      </c>
      <c r="L11" s="38">
        <f>+SUM(B27)</f>
        <v>30</v>
      </c>
      <c r="M11" s="2"/>
      <c r="N11" s="2"/>
      <c r="O11" s="30" t="s">
        <v>79</v>
      </c>
      <c r="P11" s="27">
        <f>+$P$6*Q11</f>
        <v>10.4</v>
      </c>
      <c r="Q11" s="36">
        <v>0.1</v>
      </c>
      <c r="R11" s="2"/>
      <c r="S11" s="2"/>
    </row>
    <row r="12" spans="1:19">
      <c r="A12" s="2"/>
      <c r="B12" s="2"/>
      <c r="C12" s="2"/>
      <c r="D12" s="2"/>
      <c r="E12" s="7"/>
      <c r="F12" s="7"/>
      <c r="G12" s="2"/>
      <c r="H12" s="2"/>
      <c r="I12" s="2"/>
      <c r="J12" s="2"/>
      <c r="K12" s="30" t="s">
        <v>71</v>
      </c>
      <c r="L12" s="38">
        <f>+SUM(B28)</f>
        <v>20</v>
      </c>
      <c r="M12" s="2"/>
      <c r="N12" s="2"/>
      <c r="O12" s="24" t="s">
        <v>85</v>
      </c>
      <c r="P12" s="26">
        <f>+SUM(P8:P11)</f>
        <v>1569.1</v>
      </c>
      <c r="Q12" s="7"/>
      <c r="R12" s="2"/>
      <c r="S12" s="2"/>
    </row>
    <row r="13" spans="1:19">
      <c r="A13" s="2"/>
      <c r="B13" s="2"/>
      <c r="C13" s="2"/>
      <c r="D13" s="2"/>
      <c r="E13" s="7"/>
      <c r="F13" s="7"/>
      <c r="G13" s="2"/>
      <c r="H13" s="2"/>
      <c r="I13" s="2"/>
      <c r="J13" s="2"/>
      <c r="K13" s="30" t="s">
        <v>96</v>
      </c>
      <c r="L13" s="27">
        <f>+SUM(L10:L12)*L8</f>
        <v>960000</v>
      </c>
      <c r="M13" s="2"/>
      <c r="N13" s="2"/>
      <c r="O13" s="30" t="s">
        <v>76</v>
      </c>
      <c r="P13" s="27">
        <f>+$P$3*Q13</f>
        <v>145.6</v>
      </c>
      <c r="Q13" s="36">
        <v>0.7</v>
      </c>
      <c r="R13" s="2"/>
      <c r="S13" s="2"/>
    </row>
    <row r="14" spans="1:19">
      <c r="A14" s="2"/>
      <c r="B14" s="2"/>
      <c r="C14" s="2"/>
      <c r="D14" s="7"/>
      <c r="E14" s="2"/>
      <c r="F14" s="2"/>
      <c r="G14" s="7"/>
      <c r="H14" s="2"/>
      <c r="I14" s="2"/>
      <c r="J14" s="2"/>
      <c r="K14" s="30" t="s">
        <v>72</v>
      </c>
      <c r="L14" s="27">
        <f>+(L3+L9)*L11</f>
        <v>607500</v>
      </c>
      <c r="M14" s="2"/>
      <c r="N14" s="2"/>
      <c r="O14" s="30" t="s">
        <v>77</v>
      </c>
      <c r="P14" s="27">
        <f>+$P$4*Q14</f>
        <v>113.74999999999999</v>
      </c>
      <c r="Q14" s="36">
        <v>0.25</v>
      </c>
      <c r="R14" s="2"/>
      <c r="S14" s="2"/>
    </row>
    <row r="15" spans="1:19">
      <c r="A15" s="2"/>
      <c r="B15" s="2"/>
      <c r="C15" s="2"/>
      <c r="D15" s="1" t="s">
        <v>93</v>
      </c>
      <c r="E15" s="1" t="s">
        <v>94</v>
      </c>
      <c r="F15" s="1" t="s">
        <v>43</v>
      </c>
      <c r="G15" s="1" t="s">
        <v>44</v>
      </c>
      <c r="H15" s="2"/>
      <c r="I15" s="2"/>
      <c r="J15" s="2"/>
      <c r="K15" s="30" t="s">
        <v>95</v>
      </c>
      <c r="L15" s="27">
        <f>+L12*L3</f>
        <v>135000</v>
      </c>
      <c r="M15" s="2"/>
      <c r="N15" s="2"/>
      <c r="O15" s="30" t="s">
        <v>78</v>
      </c>
      <c r="P15" s="27">
        <f>+$P$5*Q15</f>
        <v>479.7</v>
      </c>
      <c r="Q15" s="36">
        <v>0.9</v>
      </c>
      <c r="R15" s="2"/>
      <c r="S15" s="2"/>
    </row>
    <row r="16" spans="1:19">
      <c r="A16" s="2"/>
      <c r="B16" s="2"/>
      <c r="C16" s="6"/>
      <c r="D16" s="29">
        <f>+B6</f>
        <v>29</v>
      </c>
      <c r="E16" s="29">
        <f>+SUM(C20:I21)</f>
        <v>70</v>
      </c>
      <c r="F16" s="33">
        <v>80</v>
      </c>
      <c r="G16" s="29">
        <f>F16-D16-E16</f>
        <v>-19</v>
      </c>
      <c r="H16" s="2"/>
      <c r="I16" s="2"/>
      <c r="J16" s="2"/>
      <c r="K16" s="30" t="s">
        <v>73</v>
      </c>
      <c r="L16" s="27">
        <f>L10*(L5+L8/2)</f>
        <v>0</v>
      </c>
      <c r="M16" s="2"/>
      <c r="N16" s="2"/>
      <c r="O16" s="30" t="s">
        <v>79</v>
      </c>
      <c r="P16" s="27">
        <f>+$P$6*Q16</f>
        <v>93.600000000000009</v>
      </c>
      <c r="Q16" s="36">
        <v>0.9</v>
      </c>
      <c r="R16" s="2"/>
      <c r="S16" s="2"/>
    </row>
    <row r="17" spans="1:19">
      <c r="A17" s="2"/>
      <c r="B17" s="2"/>
      <c r="C17" s="6"/>
      <c r="D17" s="7"/>
      <c r="E17" s="7"/>
      <c r="F17" s="7"/>
      <c r="G17" s="7"/>
      <c r="H17" s="2"/>
      <c r="I17" s="2"/>
      <c r="J17" s="2"/>
      <c r="K17" s="60" t="s">
        <v>123</v>
      </c>
      <c r="L17" s="32">
        <v>100176</v>
      </c>
      <c r="M17" s="2"/>
      <c r="N17" s="2"/>
      <c r="O17" s="24" t="s">
        <v>80</v>
      </c>
      <c r="P17" s="26">
        <f>+SUM(P13:P16)</f>
        <v>832.65</v>
      </c>
      <c r="Q17" s="36"/>
      <c r="R17" s="2"/>
      <c r="S17" s="2"/>
    </row>
    <row r="18" spans="1:19">
      <c r="A18" s="65" t="s">
        <v>86</v>
      </c>
      <c r="B18" s="66"/>
      <c r="C18" s="66"/>
      <c r="D18" s="66"/>
      <c r="E18" s="66"/>
      <c r="F18" s="66"/>
      <c r="G18" s="66"/>
      <c r="H18" s="66"/>
      <c r="I18" s="67"/>
      <c r="J18" s="2"/>
      <c r="K18" s="24" t="s">
        <v>75</v>
      </c>
      <c r="L18" s="26">
        <f>+SUM(L13:L17)</f>
        <v>1802676</v>
      </c>
      <c r="M18" s="2"/>
      <c r="N18" s="2"/>
      <c r="O18" s="30" t="s">
        <v>34</v>
      </c>
      <c r="P18" s="28">
        <v>0.05</v>
      </c>
      <c r="Q18" s="36"/>
      <c r="R18" s="2"/>
      <c r="S18" s="2"/>
    </row>
    <row r="19" spans="1:19">
      <c r="A19" s="2"/>
      <c r="B19" s="15"/>
      <c r="C19" s="2"/>
      <c r="D19" s="2"/>
      <c r="E19" s="2"/>
      <c r="F19" s="2"/>
      <c r="G19" s="2"/>
      <c r="H19" s="2"/>
      <c r="I19" s="2"/>
      <c r="J19" s="2"/>
      <c r="K19" s="2"/>
      <c r="L19" s="2"/>
      <c r="M19" s="2"/>
      <c r="N19" s="2"/>
      <c r="O19" s="30" t="s">
        <v>35</v>
      </c>
      <c r="P19" s="28">
        <v>0.02</v>
      </c>
      <c r="Q19" s="36"/>
      <c r="R19" s="2"/>
      <c r="S19" s="2"/>
    </row>
    <row r="20" spans="1:19">
      <c r="A20" s="22" t="s">
        <v>92</v>
      </c>
      <c r="B20" s="8"/>
      <c r="C20" s="11">
        <f>+C33</f>
        <v>10</v>
      </c>
      <c r="D20" s="11">
        <f>+D33</f>
        <v>10</v>
      </c>
      <c r="E20" s="11">
        <f>+E33</f>
        <v>10</v>
      </c>
      <c r="F20" s="8">
        <f t="shared" ref="F20:I20" si="0">+F33</f>
        <v>10</v>
      </c>
      <c r="G20" s="8">
        <f t="shared" si="0"/>
        <v>10</v>
      </c>
      <c r="H20" s="8">
        <f t="shared" si="0"/>
        <v>0</v>
      </c>
      <c r="I20" s="8">
        <f t="shared" si="0"/>
        <v>0</v>
      </c>
      <c r="J20" s="2"/>
      <c r="K20" s="2"/>
      <c r="L20" s="2"/>
      <c r="M20" s="2"/>
      <c r="N20" s="2"/>
      <c r="O20" s="30" t="s">
        <v>60</v>
      </c>
      <c r="P20" s="32">
        <v>5000</v>
      </c>
      <c r="Q20" s="36"/>
      <c r="R20" s="2"/>
      <c r="S20" s="2"/>
    </row>
    <row r="21" spans="1:19">
      <c r="A21" s="22" t="s">
        <v>90</v>
      </c>
      <c r="B21" s="8"/>
      <c r="C21" s="9">
        <v>0</v>
      </c>
      <c r="D21" s="9">
        <v>3</v>
      </c>
      <c r="E21" s="9">
        <v>6</v>
      </c>
      <c r="F21" s="9">
        <v>11</v>
      </c>
      <c r="G21" s="9"/>
      <c r="H21" s="9"/>
      <c r="I21" s="9"/>
      <c r="J21" s="2"/>
      <c r="K21" s="2"/>
      <c r="L21" s="2"/>
      <c r="M21" s="2"/>
      <c r="N21" s="2"/>
      <c r="O21" s="30" t="s">
        <v>55</v>
      </c>
      <c r="P21" s="32">
        <v>1500</v>
      </c>
      <c r="Q21" s="36"/>
      <c r="R21" s="2"/>
      <c r="S21" s="2"/>
    </row>
    <row r="22" spans="1:19">
      <c r="A22" s="22" t="s">
        <v>59</v>
      </c>
      <c r="B22" s="8"/>
      <c r="C22" s="9"/>
      <c r="D22" s="9"/>
      <c r="E22" s="9"/>
      <c r="F22" s="9">
        <f>+D21</f>
        <v>3</v>
      </c>
      <c r="G22" s="9">
        <f>+F22+E21</f>
        <v>9</v>
      </c>
      <c r="H22" s="9">
        <f>+G22+F21</f>
        <v>20</v>
      </c>
      <c r="I22" s="9">
        <f>+H22+G21</f>
        <v>20</v>
      </c>
      <c r="J22" s="2"/>
      <c r="K22" s="2"/>
      <c r="L22" s="2"/>
      <c r="M22" s="2"/>
      <c r="N22" s="2"/>
      <c r="O22" s="2"/>
      <c r="P22" s="2"/>
      <c r="Q22" s="2"/>
      <c r="R22" s="2"/>
      <c r="S22" s="2"/>
    </row>
    <row r="23" spans="1:19">
      <c r="A23" s="39" t="s">
        <v>91</v>
      </c>
      <c r="B23" s="8"/>
      <c r="C23" s="10">
        <f>C21</f>
        <v>0</v>
      </c>
      <c r="D23" s="10">
        <f>C23+D21</f>
        <v>3</v>
      </c>
      <c r="E23" s="10">
        <f>+D23+E21</f>
        <v>9</v>
      </c>
      <c r="F23" s="10">
        <f>+E23+F21</f>
        <v>20</v>
      </c>
      <c r="G23" s="10">
        <f>+F23+G21</f>
        <v>20</v>
      </c>
      <c r="H23" s="10">
        <f>+G23+H21</f>
        <v>20</v>
      </c>
      <c r="I23" s="10">
        <f>+H23+I21</f>
        <v>20</v>
      </c>
      <c r="J23" s="2"/>
      <c r="K23" s="2"/>
      <c r="L23" s="2"/>
      <c r="M23" s="2"/>
      <c r="N23" s="2"/>
      <c r="O23" s="2"/>
      <c r="P23" s="2"/>
      <c r="Q23" s="2"/>
      <c r="R23" s="2"/>
      <c r="S23" s="2"/>
    </row>
    <row r="24" spans="1:19">
      <c r="A24" s="39" t="s">
        <v>51</v>
      </c>
      <c r="B24" s="8"/>
      <c r="C24" s="11">
        <f>+C20</f>
        <v>10</v>
      </c>
      <c r="D24" s="11">
        <f>+D20+C24</f>
        <v>20</v>
      </c>
      <c r="E24" s="11">
        <f t="shared" ref="E24:H24" si="1">+E20+D24</f>
        <v>30</v>
      </c>
      <c r="F24" s="11">
        <f t="shared" si="1"/>
        <v>40</v>
      </c>
      <c r="G24" s="11">
        <f>+G20+F24</f>
        <v>50</v>
      </c>
      <c r="H24" s="11">
        <f t="shared" si="1"/>
        <v>50</v>
      </c>
      <c r="I24" s="11">
        <f>+I20+H24</f>
        <v>50</v>
      </c>
      <c r="J24" s="2"/>
      <c r="K24" s="2"/>
      <c r="L24" s="2"/>
      <c r="M24" s="2"/>
      <c r="N24" s="2"/>
      <c r="O24" s="2"/>
      <c r="P24" s="2"/>
      <c r="Q24" s="2"/>
      <c r="R24" s="2"/>
      <c r="S24" s="2"/>
    </row>
    <row r="25" spans="1:19">
      <c r="A25" s="2"/>
      <c r="B25" s="2"/>
      <c r="C25" s="2"/>
      <c r="D25" s="2"/>
      <c r="E25" s="2"/>
      <c r="F25" s="2"/>
      <c r="G25" s="2"/>
      <c r="H25" s="2"/>
      <c r="I25" s="2"/>
      <c r="J25" s="2"/>
      <c r="K25" s="2"/>
      <c r="L25" s="2"/>
      <c r="M25" s="2"/>
      <c r="N25" s="2"/>
      <c r="O25" s="2"/>
      <c r="P25" s="2"/>
      <c r="Q25" s="2"/>
      <c r="R25" s="2"/>
      <c r="S25" s="2"/>
    </row>
    <row r="26" spans="1:19" ht="15.75" thickBot="1">
      <c r="A26" s="2"/>
      <c r="B26" s="12">
        <v>0</v>
      </c>
      <c r="C26" s="41">
        <v>1</v>
      </c>
      <c r="D26" s="41">
        <v>2</v>
      </c>
      <c r="E26" s="41">
        <v>3</v>
      </c>
      <c r="F26" s="41">
        <v>4</v>
      </c>
      <c r="G26" s="41">
        <v>5</v>
      </c>
      <c r="H26" s="41">
        <v>6</v>
      </c>
      <c r="I26" s="41">
        <v>7</v>
      </c>
      <c r="J26" s="2"/>
      <c r="K26" s="2"/>
      <c r="L26" s="2"/>
      <c r="M26" s="2"/>
      <c r="N26" s="2"/>
      <c r="O26" s="2"/>
      <c r="P26" s="2"/>
      <c r="Q26" s="2"/>
      <c r="R26" s="2"/>
      <c r="S26" s="2"/>
    </row>
    <row r="27" spans="1:19">
      <c r="A27" s="22" t="s">
        <v>81</v>
      </c>
      <c r="B27" s="40">
        <f>SUM(C27:I27)</f>
        <v>30</v>
      </c>
      <c r="C27" s="42">
        <v>10</v>
      </c>
      <c r="D27" s="43">
        <v>0</v>
      </c>
      <c r="E27" s="43">
        <v>10</v>
      </c>
      <c r="F27" s="43">
        <v>0</v>
      </c>
      <c r="G27" s="43">
        <v>10</v>
      </c>
      <c r="H27" s="43">
        <v>0</v>
      </c>
      <c r="I27" s="44">
        <v>0</v>
      </c>
      <c r="J27" s="2"/>
      <c r="K27" s="2"/>
      <c r="L27" s="2"/>
      <c r="M27" s="2"/>
      <c r="N27" s="2"/>
      <c r="O27" s="2"/>
      <c r="P27" s="2"/>
      <c r="Q27" s="2"/>
      <c r="R27" s="2"/>
      <c r="S27" s="2"/>
    </row>
    <row r="28" spans="1:19">
      <c r="A28" s="22" t="s">
        <v>84</v>
      </c>
      <c r="B28" s="40">
        <f>SUM(C28:I28)</f>
        <v>20</v>
      </c>
      <c r="C28" s="45">
        <v>0</v>
      </c>
      <c r="D28" s="3">
        <v>10</v>
      </c>
      <c r="E28" s="3">
        <v>0</v>
      </c>
      <c r="F28" s="3">
        <v>10</v>
      </c>
      <c r="G28" s="3">
        <v>0</v>
      </c>
      <c r="H28" s="3">
        <v>0</v>
      </c>
      <c r="I28" s="46">
        <v>0</v>
      </c>
      <c r="J28" s="2"/>
      <c r="K28" s="2"/>
      <c r="L28" s="2"/>
      <c r="M28" s="2"/>
      <c r="N28" s="2"/>
      <c r="O28" s="2"/>
      <c r="P28" s="2"/>
      <c r="Q28" s="2"/>
      <c r="R28" s="2"/>
      <c r="S28" s="2"/>
    </row>
    <row r="29" spans="1:19" ht="15.75" thickBot="1">
      <c r="A29" s="22" t="s">
        <v>82</v>
      </c>
      <c r="B29" s="40">
        <f>SUM(C29:I29)</f>
        <v>0</v>
      </c>
      <c r="C29" s="47">
        <v>0</v>
      </c>
      <c r="D29" s="48">
        <v>0</v>
      </c>
      <c r="E29" s="48">
        <v>0</v>
      </c>
      <c r="F29" s="48">
        <v>0</v>
      </c>
      <c r="G29" s="48">
        <v>0</v>
      </c>
      <c r="H29" s="48">
        <v>0</v>
      </c>
      <c r="I29" s="49">
        <v>0</v>
      </c>
      <c r="J29" s="2"/>
      <c r="K29" s="2"/>
      <c r="L29" s="2"/>
      <c r="M29" s="2"/>
      <c r="N29" s="2"/>
      <c r="O29" s="2"/>
      <c r="P29" s="2"/>
      <c r="Q29" s="2"/>
      <c r="R29" s="2"/>
      <c r="S29" s="2"/>
    </row>
    <row r="30" spans="1:19">
      <c r="A30" s="39" t="s">
        <v>97</v>
      </c>
      <c r="B30" s="5"/>
      <c r="C30" s="5">
        <f>+C27</f>
        <v>10</v>
      </c>
      <c r="D30" s="5">
        <f t="shared" ref="D30:I32" si="2">+C30+D27</f>
        <v>10</v>
      </c>
      <c r="E30" s="5">
        <f t="shared" si="2"/>
        <v>20</v>
      </c>
      <c r="F30" s="5">
        <f t="shared" si="2"/>
        <v>20</v>
      </c>
      <c r="G30" s="5">
        <f t="shared" si="2"/>
        <v>30</v>
      </c>
      <c r="H30" s="5">
        <f t="shared" si="2"/>
        <v>30</v>
      </c>
      <c r="I30" s="5">
        <f t="shared" si="2"/>
        <v>30</v>
      </c>
      <c r="J30" s="2"/>
      <c r="K30" s="2"/>
      <c r="L30" s="2"/>
      <c r="M30" s="2"/>
      <c r="N30" s="2"/>
      <c r="O30" s="2"/>
      <c r="P30" s="2"/>
      <c r="Q30" s="2"/>
      <c r="R30" s="2"/>
      <c r="S30" s="2"/>
    </row>
    <row r="31" spans="1:19">
      <c r="A31" s="39" t="s">
        <v>98</v>
      </c>
      <c r="B31" s="5"/>
      <c r="C31" s="5">
        <f>+C28</f>
        <v>0</v>
      </c>
      <c r="D31" s="5">
        <f t="shared" si="2"/>
        <v>10</v>
      </c>
      <c r="E31" s="5">
        <f t="shared" si="2"/>
        <v>10</v>
      </c>
      <c r="F31" s="5">
        <f t="shared" si="2"/>
        <v>20</v>
      </c>
      <c r="G31" s="5">
        <f t="shared" si="2"/>
        <v>20</v>
      </c>
      <c r="H31" s="5">
        <f t="shared" si="2"/>
        <v>20</v>
      </c>
      <c r="I31" s="5">
        <f t="shared" si="2"/>
        <v>20</v>
      </c>
      <c r="J31" s="2"/>
      <c r="K31" s="2"/>
      <c r="L31" s="2"/>
      <c r="M31" s="2"/>
      <c r="N31" s="2"/>
      <c r="O31" s="2"/>
      <c r="P31" s="2"/>
      <c r="Q31" s="2"/>
      <c r="R31" s="2"/>
      <c r="S31" s="2"/>
    </row>
    <row r="32" spans="1:19">
      <c r="A32" s="39" t="s">
        <v>99</v>
      </c>
      <c r="B32" s="5"/>
      <c r="C32" s="5">
        <f>+C29</f>
        <v>0</v>
      </c>
      <c r="D32" s="5">
        <f t="shared" si="2"/>
        <v>0</v>
      </c>
      <c r="E32" s="5">
        <f t="shared" si="2"/>
        <v>0</v>
      </c>
      <c r="F32" s="5">
        <f t="shared" si="2"/>
        <v>0</v>
      </c>
      <c r="G32" s="5">
        <f t="shared" si="2"/>
        <v>0</v>
      </c>
      <c r="H32" s="5">
        <f t="shared" si="2"/>
        <v>0</v>
      </c>
      <c r="I32" s="5">
        <f t="shared" si="2"/>
        <v>0</v>
      </c>
      <c r="J32" s="2"/>
      <c r="K32" s="2"/>
      <c r="L32" s="2"/>
      <c r="M32" s="2"/>
      <c r="N32" s="2"/>
      <c r="O32" s="2"/>
      <c r="P32" s="2"/>
      <c r="Q32" s="2"/>
      <c r="R32" s="2"/>
      <c r="S32" s="2"/>
    </row>
    <row r="33" spans="1:19">
      <c r="A33" s="22" t="s">
        <v>89</v>
      </c>
      <c r="B33" s="5">
        <f t="shared" ref="B33:I33" si="3">+SUM(B27:B29)</f>
        <v>50</v>
      </c>
      <c r="C33" s="5">
        <f t="shared" si="3"/>
        <v>10</v>
      </c>
      <c r="D33" s="5">
        <f t="shared" si="3"/>
        <v>10</v>
      </c>
      <c r="E33" s="5">
        <f t="shared" si="3"/>
        <v>10</v>
      </c>
      <c r="F33" s="5">
        <f t="shared" si="3"/>
        <v>10</v>
      </c>
      <c r="G33" s="5">
        <f t="shared" si="3"/>
        <v>10</v>
      </c>
      <c r="H33" s="5">
        <f t="shared" si="3"/>
        <v>0</v>
      </c>
      <c r="I33" s="5">
        <f t="shared" si="3"/>
        <v>0</v>
      </c>
      <c r="J33" s="2"/>
      <c r="K33" s="2"/>
      <c r="L33" s="2"/>
      <c r="M33" s="2"/>
      <c r="N33" s="2"/>
      <c r="O33" s="2"/>
      <c r="P33" s="2"/>
      <c r="Q33" s="2"/>
      <c r="R33" s="2"/>
      <c r="S33" s="2"/>
    </row>
    <row r="34" spans="1:19">
      <c r="A34" s="2"/>
      <c r="B34" s="2"/>
      <c r="C34" s="2"/>
      <c r="D34" s="2"/>
      <c r="E34" s="2"/>
      <c r="F34" s="2"/>
      <c r="G34" s="2"/>
      <c r="H34" s="2"/>
      <c r="I34" s="2"/>
      <c r="J34" s="2"/>
      <c r="K34" s="2"/>
      <c r="L34" s="2"/>
      <c r="M34" s="2"/>
      <c r="N34" s="2"/>
      <c r="O34" s="2"/>
      <c r="P34" s="2"/>
      <c r="Q34" s="2"/>
      <c r="R34" s="2"/>
      <c r="S34" s="2"/>
    </row>
    <row r="35" spans="1:19">
      <c r="A35" s="50" t="s">
        <v>8</v>
      </c>
      <c r="B35" s="50">
        <v>0</v>
      </c>
      <c r="C35" s="50">
        <v>1</v>
      </c>
      <c r="D35" s="50">
        <v>2</v>
      </c>
      <c r="E35" s="50">
        <v>3</v>
      </c>
      <c r="F35" s="50">
        <v>4</v>
      </c>
      <c r="G35" s="50">
        <v>5</v>
      </c>
      <c r="H35" s="50">
        <v>6</v>
      </c>
      <c r="I35" s="50">
        <v>7</v>
      </c>
      <c r="J35" s="54"/>
      <c r="K35" s="54"/>
      <c r="L35" s="54"/>
      <c r="M35" s="54"/>
      <c r="N35" s="2"/>
      <c r="O35" s="2"/>
      <c r="P35" s="2"/>
      <c r="Q35" s="2"/>
      <c r="R35" s="2"/>
      <c r="S35" s="2"/>
    </row>
    <row r="36" spans="1:19">
      <c r="A36" s="22" t="s">
        <v>21</v>
      </c>
      <c r="B36" s="51">
        <f>-L18</f>
        <v>-1802676</v>
      </c>
      <c r="C36" s="52"/>
      <c r="D36" s="52"/>
      <c r="E36" s="52"/>
      <c r="F36" s="52"/>
      <c r="G36" s="52"/>
      <c r="H36" s="52"/>
      <c r="I36" s="52"/>
      <c r="J36" s="2"/>
      <c r="K36" s="2"/>
      <c r="L36" s="2"/>
      <c r="M36" s="2"/>
      <c r="N36" s="2"/>
      <c r="O36" s="2"/>
      <c r="P36" s="2"/>
      <c r="Q36" s="2"/>
      <c r="R36" s="2"/>
      <c r="S36" s="2"/>
    </row>
    <row r="37" spans="1:19">
      <c r="A37" s="22" t="s">
        <v>46</v>
      </c>
      <c r="B37" s="52"/>
      <c r="C37" s="52">
        <v>0</v>
      </c>
      <c r="D37" s="52">
        <f>+$P$20*B21</f>
        <v>0</v>
      </c>
      <c r="E37" s="52">
        <f>+C21*($P$20/4)</f>
        <v>0</v>
      </c>
      <c r="F37" s="52">
        <f>+F22*($P$20/4)</f>
        <v>3750</v>
      </c>
      <c r="G37" s="52">
        <f>+G22*($P$20/4)</f>
        <v>11250</v>
      </c>
      <c r="H37" s="52">
        <f>+H22*($P$20/4)</f>
        <v>25000</v>
      </c>
      <c r="I37" s="52">
        <f>+I22*($P$20/4)</f>
        <v>25000</v>
      </c>
      <c r="J37" s="2"/>
      <c r="K37" s="2"/>
      <c r="L37" s="2"/>
      <c r="M37" s="2"/>
      <c r="N37" s="2"/>
      <c r="O37" s="2"/>
      <c r="P37" s="2"/>
      <c r="Q37" s="2"/>
      <c r="R37" s="2"/>
      <c r="S37" s="2"/>
    </row>
    <row r="38" spans="1:19">
      <c r="A38" s="22" t="s">
        <v>47</v>
      </c>
      <c r="B38" s="52"/>
      <c r="C38" s="52">
        <v>0</v>
      </c>
      <c r="D38" s="52">
        <f t="shared" ref="D38:I38" si="4">+$P$21*B23</f>
        <v>0</v>
      </c>
      <c r="E38" s="52">
        <f t="shared" si="4"/>
        <v>0</v>
      </c>
      <c r="F38" s="52">
        <f t="shared" si="4"/>
        <v>4500</v>
      </c>
      <c r="G38" s="52">
        <f t="shared" si="4"/>
        <v>13500</v>
      </c>
      <c r="H38" s="52">
        <f t="shared" si="4"/>
        <v>30000</v>
      </c>
      <c r="I38" s="52">
        <f t="shared" si="4"/>
        <v>30000</v>
      </c>
      <c r="J38" s="2"/>
      <c r="K38" s="2"/>
      <c r="L38" s="2"/>
      <c r="M38" s="2"/>
      <c r="N38" s="2"/>
      <c r="O38" s="2"/>
      <c r="P38" s="2"/>
      <c r="Q38" s="2"/>
      <c r="R38" s="2"/>
      <c r="S38" s="2"/>
    </row>
    <row r="39" spans="1:19">
      <c r="A39" s="22" t="s">
        <v>120</v>
      </c>
      <c r="B39" s="52"/>
      <c r="C39" s="53">
        <f>+C42*0.33</f>
        <v>31406.896551724145</v>
      </c>
      <c r="D39" s="53">
        <f>+C39*(1+$B$3)</f>
        <v>35175.724137931044</v>
      </c>
      <c r="E39" s="53">
        <f>+D39*(1+$B$3)</f>
        <v>39396.811034482773</v>
      </c>
      <c r="F39" s="53">
        <f t="shared" ref="F39:I39" si="5">+E39*(1+$B$3)</f>
        <v>44124.428358620709</v>
      </c>
      <c r="G39" s="53">
        <f t="shared" si="5"/>
        <v>49419.3597616552</v>
      </c>
      <c r="H39" s="53">
        <f t="shared" si="5"/>
        <v>55349.682933053831</v>
      </c>
      <c r="I39" s="53">
        <f t="shared" si="5"/>
        <v>61991.644885020294</v>
      </c>
      <c r="J39" s="2"/>
      <c r="K39" s="2"/>
      <c r="L39" s="2"/>
      <c r="M39" s="2"/>
      <c r="N39" s="2"/>
      <c r="O39" s="2"/>
      <c r="P39" s="2"/>
      <c r="Q39" s="2"/>
      <c r="R39" s="2"/>
      <c r="S39" s="2"/>
    </row>
    <row r="40" spans="1:19">
      <c r="A40" s="22" t="s">
        <v>121</v>
      </c>
      <c r="B40" s="52"/>
      <c r="C40" s="53">
        <f>+C42*0.44</f>
        <v>41875.862068965522</v>
      </c>
      <c r="D40" s="53">
        <f t="shared" ref="D40" si="6">+D42*0.44</f>
        <v>105058.16275862072</v>
      </c>
      <c r="E40" s="53">
        <f>+E42*0.44</f>
        <v>176497.71343448284</v>
      </c>
      <c r="F40" s="53">
        <f>+F42*0.44</f>
        <v>263569.91872882767</v>
      </c>
      <c r="G40" s="53">
        <f>+G42*0.44</f>
        <v>368997.88622035872</v>
      </c>
      <c r="H40" s="53">
        <f>+H42*0.44</f>
        <v>413277.63256680185</v>
      </c>
      <c r="I40" s="53">
        <f>+I42*0.44</f>
        <v>462870.94847481808</v>
      </c>
      <c r="J40" s="2"/>
      <c r="K40" s="2"/>
      <c r="L40" s="2"/>
      <c r="M40" s="2"/>
      <c r="N40" s="2"/>
      <c r="O40" s="2"/>
      <c r="P40" s="2"/>
      <c r="Q40" s="2"/>
      <c r="R40" s="2"/>
      <c r="S40" s="2"/>
    </row>
    <row r="41" spans="1:19">
      <c r="A41" s="22" t="s">
        <v>119</v>
      </c>
      <c r="B41" s="52"/>
      <c r="C41" s="52">
        <v>0</v>
      </c>
      <c r="D41" s="52">
        <v>0</v>
      </c>
      <c r="E41" s="53">
        <f>+('Expected sales for bikes'!J2*'Optimistic scenario'!$B$9*(1-'Expected sales for bikes'!M4))*1.15</f>
        <v>403981.19999999995</v>
      </c>
      <c r="F41" s="53">
        <f>+('Expected sales for bikes'!K2*'Optimistic scenario'!$B$9*(1-'Expected sales for bikes'!M4))*1.15</f>
        <v>364304.47499999998</v>
      </c>
      <c r="G41" s="53">
        <f>+('Expected sales for bikes'!L2*'Optimistic scenario'!$B$9*(1-'Expected sales for bikes'!M4))*1.15</f>
        <v>331841.69999999995</v>
      </c>
      <c r="H41" s="53">
        <f>+('Expected sales for bikes'!M2*'Optimistic scenario'!$B$9)*1.15</f>
        <v>403981.19999999995</v>
      </c>
      <c r="I41" s="53">
        <f>+('Expected sales for bikes'!N2*'Optimistic scenario'!$B$9)*1.15</f>
        <v>817580.99999999988</v>
      </c>
      <c r="J41" s="2"/>
      <c r="K41" s="2"/>
      <c r="L41" s="2"/>
      <c r="M41" s="2"/>
      <c r="N41" s="2"/>
      <c r="O41" s="2"/>
      <c r="P41" s="2"/>
      <c r="Q41" s="2"/>
      <c r="R41" s="2"/>
      <c r="S41" s="2"/>
    </row>
    <row r="42" spans="1:19">
      <c r="A42" s="22" t="s">
        <v>31</v>
      </c>
      <c r="B42" s="52"/>
      <c r="C42" s="53">
        <f>+($B$8*$B$7*365*C24)</f>
        <v>95172.413793103464</v>
      </c>
      <c r="D42" s="53">
        <f t="shared" ref="D42:I42" si="7">+($B$8*$B$7*365*D24)*((1+$B$3)^D35)</f>
        <v>238768.551724138</v>
      </c>
      <c r="E42" s="53">
        <f t="shared" si="7"/>
        <v>401131.16689655191</v>
      </c>
      <c r="F42" s="53">
        <f t="shared" si="7"/>
        <v>599022.54256551748</v>
      </c>
      <c r="G42" s="53">
        <f t="shared" si="7"/>
        <v>838631.55959172442</v>
      </c>
      <c r="H42" s="53">
        <f>+($B$8*$B$7*365*H24)*((1+$B$3)^H35)</f>
        <v>939267.34674273152</v>
      </c>
      <c r="I42" s="53">
        <f t="shared" si="7"/>
        <v>1051979.4283518593</v>
      </c>
      <c r="J42" s="2"/>
      <c r="K42" s="2"/>
      <c r="L42" s="2"/>
      <c r="M42" s="2"/>
      <c r="N42" s="2"/>
      <c r="O42" s="2"/>
      <c r="P42" s="2"/>
      <c r="Q42" s="2"/>
      <c r="R42" s="2"/>
      <c r="S42" s="2"/>
    </row>
    <row r="43" spans="1:19">
      <c r="A43" s="22" t="s">
        <v>9</v>
      </c>
      <c r="B43" s="52"/>
      <c r="C43" s="52">
        <f>+C36/$F$11</f>
        <v>0</v>
      </c>
      <c r="D43" s="52">
        <f>+C36/$F$11</f>
        <v>0</v>
      </c>
      <c r="E43" s="52">
        <f>+D36/$F$11</f>
        <v>0</v>
      </c>
      <c r="F43" s="52">
        <v>0</v>
      </c>
      <c r="G43" s="52">
        <v>0</v>
      </c>
      <c r="H43" s="52">
        <v>0</v>
      </c>
      <c r="I43" s="52">
        <v>0</v>
      </c>
      <c r="J43" s="2"/>
      <c r="K43" s="2"/>
      <c r="L43" s="2"/>
      <c r="M43" s="2"/>
      <c r="N43" s="2"/>
      <c r="O43" s="2"/>
      <c r="P43" s="2"/>
      <c r="Q43" s="2"/>
      <c r="R43" s="2"/>
      <c r="S43" s="2"/>
    </row>
    <row r="44" spans="1:19">
      <c r="A44" s="22" t="s">
        <v>38</v>
      </c>
      <c r="B44" s="54"/>
      <c r="C44" s="52">
        <f>-((C30*$P$7)+(C31*$P$12)+(C32*$P$17))*(1+$P$18)^C35</f>
        <v>-13650</v>
      </c>
      <c r="D44" s="52">
        <f>-((D30*$P$7)+(D31*$P$12)+(D32*$P$17))*(1+$P$18)^D35</f>
        <v>-31631.827499999999</v>
      </c>
      <c r="E44" s="52">
        <f>-((E30*$P$7)+(E31*$P$12)+(E32*$P$17))*(1+$P$18)^E35</f>
        <v>-48262.543875000003</v>
      </c>
      <c r="F44" s="52">
        <f>-((F30*$P$7)+(F31*$P$12)+(F32*$P$17))*(1+$P$18)^F35</f>
        <v>-69748.179637499998</v>
      </c>
      <c r="G44" s="52">
        <f t="shared" ref="G44:I44" si="8">-((G30*$P$7)+(G31*$P$12)+(G32*$P$17))*(1+$P$18)^G35</f>
        <v>-89827.248931875016</v>
      </c>
      <c r="H44" s="52">
        <f t="shared" si="8"/>
        <v>-94318.611378468748</v>
      </c>
      <c r="I44" s="52">
        <f t="shared" si="8"/>
        <v>-99034.541947392208</v>
      </c>
      <c r="J44" s="2"/>
      <c r="K44" s="2"/>
      <c r="L44" s="2"/>
      <c r="M44" s="2"/>
      <c r="N44" s="2"/>
      <c r="O44" s="2"/>
      <c r="P44" s="2"/>
      <c r="Q44" s="2"/>
      <c r="R44" s="2"/>
      <c r="S44" s="2"/>
    </row>
    <row r="45" spans="1:19">
      <c r="A45" s="22" t="s">
        <v>10</v>
      </c>
      <c r="B45" s="52">
        <f t="shared" ref="B45:I45" si="9">SUM(B36:B44)</f>
        <v>-1802676</v>
      </c>
      <c r="C45" s="52">
        <f t="shared" si="9"/>
        <v>154805.17241379313</v>
      </c>
      <c r="D45" s="52">
        <f t="shared" si="9"/>
        <v>347370.61112068978</v>
      </c>
      <c r="E45" s="52">
        <f t="shared" si="9"/>
        <v>972744.34749051742</v>
      </c>
      <c r="F45" s="52">
        <f t="shared" si="9"/>
        <v>1209523.1850154656</v>
      </c>
      <c r="G45" s="52">
        <f t="shared" si="9"/>
        <v>1523813.2566418634</v>
      </c>
      <c r="H45" s="52">
        <f t="shared" si="9"/>
        <v>1772557.2508641183</v>
      </c>
      <c r="I45" s="52">
        <f t="shared" si="9"/>
        <v>2350388.4797643055</v>
      </c>
      <c r="J45" s="2"/>
      <c r="K45" s="2"/>
      <c r="L45" s="2"/>
      <c r="M45" s="2"/>
      <c r="N45" s="2"/>
      <c r="O45" s="2"/>
      <c r="P45" s="2"/>
      <c r="Q45" s="2"/>
      <c r="R45" s="2"/>
      <c r="S45" s="2"/>
    </row>
    <row r="46" spans="1:19">
      <c r="A46" s="22" t="s">
        <v>11</v>
      </c>
      <c r="B46" s="52">
        <f>+IF(B45&gt;0,B45*$F$3,0)</f>
        <v>0</v>
      </c>
      <c r="C46" s="52">
        <f>-IF(C45&gt;0,C45*$F$3,0)</f>
        <v>-46441.551724137935</v>
      </c>
      <c r="D46" s="52">
        <f>-IF(D45&gt;0,D45*$F$3,0)</f>
        <v>-104211.18333620693</v>
      </c>
      <c r="E46" s="52">
        <f t="shared" ref="E46:I46" si="10">-IF(E45&gt;0,E45*$F$3,0)</f>
        <v>-291823.3042471552</v>
      </c>
      <c r="F46" s="52">
        <f t="shared" si="10"/>
        <v>-362856.95550463966</v>
      </c>
      <c r="G46" s="52">
        <f t="shared" si="10"/>
        <v>-457143.97699255898</v>
      </c>
      <c r="H46" s="52">
        <f t="shared" si="10"/>
        <v>-531767.17525923543</v>
      </c>
      <c r="I46" s="52">
        <f t="shared" si="10"/>
        <v>-705116.54392929166</v>
      </c>
      <c r="J46" s="2"/>
      <c r="K46" s="2"/>
      <c r="L46" s="2"/>
      <c r="M46" s="2"/>
      <c r="N46" s="2"/>
      <c r="O46" s="2"/>
      <c r="P46" s="2"/>
      <c r="Q46" s="2"/>
      <c r="R46" s="2"/>
      <c r="S46" s="2"/>
    </row>
    <row r="47" spans="1:19">
      <c r="A47" s="22" t="s">
        <v>12</v>
      </c>
      <c r="B47" s="52">
        <f>B45+B46</f>
        <v>-1802676</v>
      </c>
      <c r="C47" s="52">
        <f>C45+C46</f>
        <v>108363.62068965519</v>
      </c>
      <c r="D47" s="52">
        <f t="shared" ref="D47:I47" si="11">D45+D46</f>
        <v>243159.42778448283</v>
      </c>
      <c r="E47" s="52">
        <f t="shared" si="11"/>
        <v>680921.04324336222</v>
      </c>
      <c r="F47" s="52">
        <f t="shared" si="11"/>
        <v>846666.22951082594</v>
      </c>
      <c r="G47" s="52">
        <f t="shared" si="11"/>
        <v>1066669.2796493045</v>
      </c>
      <c r="H47" s="52">
        <f t="shared" si="11"/>
        <v>1240790.075604883</v>
      </c>
      <c r="I47" s="52">
        <f t="shared" si="11"/>
        <v>1645271.9358350139</v>
      </c>
      <c r="J47" s="2"/>
      <c r="K47" s="2"/>
      <c r="L47" s="2"/>
      <c r="M47" s="2"/>
      <c r="N47" s="2"/>
      <c r="O47" s="2"/>
      <c r="P47" s="2"/>
      <c r="Q47" s="2"/>
      <c r="R47" s="2"/>
      <c r="S47" s="2"/>
    </row>
    <row r="48" spans="1:19">
      <c r="A48" s="22" t="s">
        <v>13</v>
      </c>
      <c r="B48" s="55">
        <f>+B36</f>
        <v>-1802676</v>
      </c>
      <c r="C48" s="55">
        <f>+C47-C43</f>
        <v>108363.62068965519</v>
      </c>
      <c r="D48" s="55">
        <f t="shared" ref="D48:I48" si="12">+D47-D43</f>
        <v>243159.42778448283</v>
      </c>
      <c r="E48" s="55">
        <f t="shared" si="12"/>
        <v>680921.04324336222</v>
      </c>
      <c r="F48" s="55">
        <f t="shared" si="12"/>
        <v>846666.22951082594</v>
      </c>
      <c r="G48" s="55">
        <f t="shared" si="12"/>
        <v>1066669.2796493045</v>
      </c>
      <c r="H48" s="55">
        <f t="shared" si="12"/>
        <v>1240790.075604883</v>
      </c>
      <c r="I48" s="55">
        <f t="shared" si="12"/>
        <v>1645271.9358350139</v>
      </c>
      <c r="J48" s="2"/>
      <c r="K48" s="2"/>
      <c r="L48" s="2"/>
      <c r="M48" s="2"/>
      <c r="N48" s="2"/>
      <c r="O48" s="2"/>
      <c r="P48" s="2"/>
      <c r="Q48" s="2"/>
      <c r="R48" s="2"/>
      <c r="S48" s="2"/>
    </row>
    <row r="49" spans="1:19">
      <c r="A49" s="22" t="s">
        <v>14</v>
      </c>
      <c r="B49" s="52">
        <f>B48</f>
        <v>-1802676</v>
      </c>
      <c r="C49" s="52">
        <f>B49+C48</f>
        <v>-1694312.3793103448</v>
      </c>
      <c r="D49" s="52">
        <f>C49+D48</f>
        <v>-1451152.9515258619</v>
      </c>
      <c r="E49" s="52">
        <f t="shared" ref="E49:H49" si="13">D49+E48</f>
        <v>-770231.90828249964</v>
      </c>
      <c r="F49" s="52">
        <f t="shared" si="13"/>
        <v>76434.321228326298</v>
      </c>
      <c r="G49" s="52">
        <f t="shared" si="13"/>
        <v>1143103.6008776308</v>
      </c>
      <c r="H49" s="52">
        <f t="shared" si="13"/>
        <v>2383893.6764825135</v>
      </c>
      <c r="I49" s="52">
        <f>H49+I48</f>
        <v>4029165.6123175276</v>
      </c>
      <c r="J49" s="2"/>
      <c r="K49" s="2"/>
      <c r="L49" s="2"/>
      <c r="M49" s="2"/>
      <c r="N49" s="2"/>
      <c r="O49" s="2"/>
      <c r="P49" s="2"/>
      <c r="Q49" s="2"/>
      <c r="R49" s="2"/>
      <c r="S49" s="2"/>
    </row>
    <row r="50" spans="1:19">
      <c r="A50" s="22" t="s">
        <v>15</v>
      </c>
      <c r="B50" s="52">
        <f t="shared" ref="B50:I50" si="14">B48/((1+$F$8)^B35)</f>
        <v>-1802676</v>
      </c>
      <c r="C50" s="52">
        <f t="shared" si="14"/>
        <v>93175.942123521221</v>
      </c>
      <c r="D50" s="52">
        <f t="shared" si="14"/>
        <v>179775.98760912221</v>
      </c>
      <c r="E50" s="52">
        <f t="shared" si="14"/>
        <v>432870.12313720543</v>
      </c>
      <c r="F50" s="52">
        <f t="shared" si="14"/>
        <v>462800.03033788863</v>
      </c>
      <c r="G50" s="52">
        <f t="shared" si="14"/>
        <v>501338.68071534549</v>
      </c>
      <c r="H50" s="52">
        <f t="shared" si="14"/>
        <v>501441.21000592527</v>
      </c>
      <c r="I50" s="52">
        <f t="shared" si="14"/>
        <v>571715.13141248352</v>
      </c>
      <c r="J50" s="2"/>
      <c r="K50" s="2"/>
      <c r="L50" s="2"/>
      <c r="M50" s="2"/>
      <c r="N50" s="2"/>
      <c r="O50" s="2"/>
      <c r="P50" s="2"/>
      <c r="Q50" s="2"/>
      <c r="R50" s="2"/>
      <c r="S50" s="2"/>
    </row>
    <row r="51" spans="1:19">
      <c r="A51" s="22" t="s">
        <v>16</v>
      </c>
      <c r="B51" s="52">
        <f>+B50</f>
        <v>-1802676</v>
      </c>
      <c r="C51" s="52">
        <f t="shared" ref="C51:I51" si="15">+B51+C50</f>
        <v>-1709500.0578764789</v>
      </c>
      <c r="D51" s="52">
        <f t="shared" si="15"/>
        <v>-1529724.0702673567</v>
      </c>
      <c r="E51" s="52">
        <f t="shared" si="15"/>
        <v>-1096853.9471301513</v>
      </c>
      <c r="F51" s="52">
        <f t="shared" si="15"/>
        <v>-634053.91679226269</v>
      </c>
      <c r="G51" s="52">
        <f t="shared" si="15"/>
        <v>-132715.23607691721</v>
      </c>
      <c r="H51" s="52">
        <f t="shared" si="15"/>
        <v>368725.97392900806</v>
      </c>
      <c r="I51" s="52">
        <f t="shared" si="15"/>
        <v>940441.10534149152</v>
      </c>
      <c r="J51" s="2"/>
      <c r="K51" s="2"/>
      <c r="L51" s="2"/>
      <c r="M51" s="2"/>
      <c r="N51" s="2"/>
      <c r="O51" s="2"/>
      <c r="P51" s="2"/>
      <c r="Q51" s="2"/>
      <c r="R51" s="2"/>
      <c r="S51" s="2"/>
    </row>
    <row r="52" spans="1:19" ht="15.75" thickBot="1">
      <c r="A52" s="2"/>
      <c r="B52" s="2"/>
      <c r="C52" s="2"/>
      <c r="D52" s="2"/>
      <c r="E52" s="2"/>
      <c r="F52" s="2"/>
      <c r="G52" s="2"/>
      <c r="H52" s="2"/>
      <c r="I52" s="2"/>
      <c r="J52" s="2"/>
      <c r="K52" s="2"/>
      <c r="L52" s="2"/>
      <c r="M52" s="2"/>
      <c r="N52" s="2"/>
      <c r="O52" s="2"/>
      <c r="P52" s="2"/>
      <c r="Q52" s="2"/>
      <c r="R52" s="2"/>
      <c r="S52" s="2"/>
    </row>
    <row r="53" spans="1:19" ht="15.75" thickBot="1">
      <c r="A53" s="23" t="s">
        <v>17</v>
      </c>
      <c r="B53" s="14">
        <f>+SUM(B50:I50)</f>
        <v>940441.10534149152</v>
      </c>
      <c r="C53" s="15" t="s">
        <v>53</v>
      </c>
      <c r="D53" s="2"/>
      <c r="E53" s="2"/>
      <c r="F53" s="2"/>
      <c r="G53" s="2"/>
      <c r="H53" s="2"/>
      <c r="I53" s="2"/>
      <c r="J53" s="2"/>
      <c r="K53" s="2"/>
      <c r="L53" s="2"/>
      <c r="M53" s="2"/>
      <c r="N53" s="2"/>
      <c r="O53" s="2"/>
      <c r="P53" s="2"/>
      <c r="Q53" s="2"/>
      <c r="R53" s="2"/>
      <c r="S53" s="2"/>
    </row>
    <row r="54" spans="1:19" ht="15.75" thickBot="1">
      <c r="A54" s="23" t="s">
        <v>18</v>
      </c>
      <c r="B54" s="16">
        <f>+IRR(B48:I48)</f>
        <v>0.27289081108828173</v>
      </c>
      <c r="C54" s="15" t="s">
        <v>52</v>
      </c>
      <c r="D54" s="2"/>
      <c r="E54" s="2"/>
      <c r="F54" s="2"/>
      <c r="G54" s="2"/>
      <c r="H54" s="2"/>
      <c r="I54" s="2"/>
      <c r="J54" s="2"/>
      <c r="K54" s="2"/>
      <c r="L54" s="2"/>
      <c r="M54" s="2"/>
      <c r="N54" s="2"/>
      <c r="O54" s="2"/>
      <c r="P54" s="2"/>
      <c r="Q54" s="2"/>
      <c r="R54" s="2"/>
      <c r="S54" s="2"/>
    </row>
    <row r="55" spans="1:19" ht="15.75" thickBot="1">
      <c r="A55" s="23" t="s">
        <v>19</v>
      </c>
      <c r="B55" s="17">
        <f>+ABS(SUMIF(B50:I50,"&gt;0")/SUMIF(B50:I50,"&lt;0"))</f>
        <v>1.5216916990859657</v>
      </c>
      <c r="C55" s="15" t="s">
        <v>54</v>
      </c>
      <c r="D55" s="2"/>
      <c r="E55" s="2"/>
      <c r="F55" s="2"/>
      <c r="G55" s="2"/>
      <c r="H55" s="2"/>
      <c r="I55" s="2"/>
      <c r="J55" s="2"/>
      <c r="K55" s="2"/>
      <c r="L55" s="2"/>
      <c r="M55" s="2"/>
      <c r="N55" s="2"/>
      <c r="O55" s="2"/>
      <c r="P55" s="2"/>
      <c r="Q55" s="2"/>
      <c r="R55" s="2"/>
      <c r="S55" s="2"/>
    </row>
    <row r="56" spans="1:19" ht="15.75" thickBot="1">
      <c r="A56" s="23" t="s">
        <v>20</v>
      </c>
      <c r="B56" s="16">
        <f>+(SUM(C48:I48)+B48)/ABS(B48)</f>
        <v>2.2351024878111918</v>
      </c>
      <c r="C56" s="15" t="s">
        <v>56</v>
      </c>
      <c r="D56" s="2"/>
      <c r="E56" s="2"/>
      <c r="F56" s="2"/>
      <c r="G56" s="2"/>
      <c r="H56" s="2"/>
      <c r="I56" s="2"/>
      <c r="J56" s="2"/>
      <c r="K56" s="2"/>
      <c r="L56" s="2"/>
      <c r="M56" s="2"/>
      <c r="N56" s="2"/>
      <c r="O56" s="2"/>
      <c r="P56" s="2"/>
      <c r="Q56" s="2"/>
      <c r="R56" s="2"/>
      <c r="S56" s="2"/>
    </row>
    <row r="57" spans="1:19">
      <c r="A57" s="2"/>
      <c r="B57" s="2"/>
      <c r="C57" s="2"/>
      <c r="D57" s="2"/>
      <c r="E57" s="2"/>
      <c r="F57" s="2"/>
      <c r="G57" s="2"/>
      <c r="H57" s="2"/>
      <c r="I57" s="2"/>
      <c r="J57" s="2"/>
      <c r="K57" s="2"/>
      <c r="L57" s="2"/>
      <c r="M57" s="2"/>
      <c r="N57" s="2"/>
      <c r="O57" s="2"/>
      <c r="P57" s="2"/>
      <c r="Q57" s="2"/>
      <c r="R57" s="2"/>
      <c r="S57" s="2"/>
    </row>
    <row r="58" spans="1:19">
      <c r="A58" s="2"/>
      <c r="B58" s="2"/>
      <c r="C58" s="2"/>
      <c r="D58" s="2"/>
      <c r="E58" s="2"/>
      <c r="F58" s="2"/>
      <c r="G58" s="2"/>
      <c r="H58" s="2"/>
      <c r="I58" s="2"/>
      <c r="J58" s="2"/>
      <c r="K58" s="2"/>
      <c r="L58" s="2"/>
      <c r="M58" s="2"/>
      <c r="N58" s="2"/>
      <c r="O58" s="2"/>
      <c r="P58" s="2"/>
      <c r="Q58" s="2"/>
      <c r="R58" s="2"/>
      <c r="S58" s="2"/>
    </row>
    <row r="59" spans="1:19">
      <c r="A59" s="65" t="s">
        <v>39</v>
      </c>
      <c r="B59" s="66"/>
      <c r="C59" s="66"/>
      <c r="D59" s="66"/>
      <c r="E59" s="66"/>
      <c r="F59" s="66"/>
      <c r="G59" s="66"/>
      <c r="H59" s="66"/>
      <c r="I59" s="67"/>
      <c r="J59" s="2"/>
      <c r="K59" s="2"/>
      <c r="L59" s="2"/>
      <c r="M59" s="2"/>
      <c r="N59" s="2"/>
      <c r="O59" s="2"/>
      <c r="P59" s="2"/>
      <c r="Q59" s="2"/>
      <c r="R59" s="2"/>
      <c r="S59" s="2"/>
    </row>
    <row r="60" spans="1:19" ht="15" hidden="1" customHeight="1">
      <c r="A60" s="18" t="s">
        <v>36</v>
      </c>
      <c r="B60" s="2"/>
      <c r="C60" s="19">
        <f>+B3</f>
        <v>0.12</v>
      </c>
      <c r="D60" s="19">
        <f>+C60</f>
        <v>0.12</v>
      </c>
      <c r="E60" s="19">
        <f t="shared" ref="E60:F60" si="16">+D60</f>
        <v>0.12</v>
      </c>
      <c r="F60" s="19">
        <f t="shared" si="16"/>
        <v>0.12</v>
      </c>
      <c r="G60" s="2"/>
      <c r="H60" s="2"/>
      <c r="I60" s="2"/>
      <c r="J60" s="2"/>
      <c r="K60" s="2"/>
      <c r="L60" s="2"/>
      <c r="M60" s="2"/>
      <c r="N60" s="2"/>
      <c r="O60" s="2"/>
      <c r="P60" s="2"/>
      <c r="Q60" s="2"/>
      <c r="R60" s="2"/>
      <c r="S60" s="2"/>
    </row>
    <row r="61" spans="1:19" ht="15" customHeight="1">
      <c r="A61" s="18"/>
      <c r="B61" s="2"/>
      <c r="C61" s="19"/>
      <c r="D61" s="19"/>
      <c r="E61" s="19"/>
      <c r="F61" s="19"/>
      <c r="G61" s="2"/>
      <c r="H61" s="2"/>
      <c r="I61" s="2"/>
      <c r="J61" s="2"/>
      <c r="K61" s="2"/>
      <c r="L61" s="2"/>
      <c r="M61" s="2"/>
      <c r="N61" s="2"/>
      <c r="O61" s="2"/>
      <c r="P61" s="2"/>
      <c r="Q61" s="2"/>
      <c r="R61" s="2"/>
      <c r="S61" s="2"/>
    </row>
    <row r="62" spans="1:19">
      <c r="A62" s="12" t="s">
        <v>8</v>
      </c>
      <c r="B62" s="12">
        <v>0</v>
      </c>
      <c r="C62" s="12">
        <v>1</v>
      </c>
      <c r="D62" s="12">
        <v>2</v>
      </c>
      <c r="E62" s="12">
        <v>3</v>
      </c>
      <c r="F62" s="12">
        <v>4</v>
      </c>
      <c r="G62" s="12">
        <v>5</v>
      </c>
      <c r="H62" s="12">
        <v>6</v>
      </c>
      <c r="I62" s="12">
        <v>7</v>
      </c>
      <c r="J62" s="2"/>
      <c r="K62" s="2"/>
      <c r="L62" s="2"/>
      <c r="M62" s="2"/>
      <c r="N62" s="2"/>
      <c r="O62" s="2"/>
      <c r="P62" s="2"/>
      <c r="Q62" s="2"/>
      <c r="R62" s="2"/>
      <c r="S62" s="2"/>
    </row>
    <row r="63" spans="1:19">
      <c r="A63" s="22" t="s">
        <v>21</v>
      </c>
      <c r="B63" s="20">
        <f>-(L5+(L7*SUM(B10:B11)))</f>
        <v>-15850</v>
      </c>
      <c r="C63" s="13"/>
      <c r="D63" s="13"/>
      <c r="E63" s="13"/>
      <c r="F63" s="13"/>
      <c r="G63" s="13"/>
      <c r="H63" s="13"/>
      <c r="I63" s="13"/>
      <c r="J63" s="2"/>
      <c r="K63" s="2"/>
      <c r="L63" s="2"/>
      <c r="M63" s="2"/>
      <c r="N63" s="2"/>
      <c r="O63" s="2"/>
      <c r="P63" s="2"/>
      <c r="Q63" s="2"/>
      <c r="R63" s="2"/>
      <c r="S63" s="2"/>
    </row>
    <row r="64" spans="1:19">
      <c r="A64" s="22" t="s">
        <v>45</v>
      </c>
      <c r="B64" s="13"/>
      <c r="C64" s="13"/>
      <c r="D64" s="13">
        <f>-$P$20/4</f>
        <v>-1250</v>
      </c>
      <c r="E64" s="13">
        <f>-$P$20/4</f>
        <v>-1250</v>
      </c>
      <c r="F64" s="13">
        <f>-$P$20/4</f>
        <v>-1250</v>
      </c>
      <c r="G64" s="13">
        <f>-$P$20/4</f>
        <v>-1250</v>
      </c>
      <c r="H64" s="13"/>
      <c r="I64" s="13"/>
      <c r="J64" s="2"/>
      <c r="K64" s="2"/>
      <c r="L64" s="2"/>
      <c r="M64" s="2"/>
      <c r="N64" s="2"/>
      <c r="O64" s="2"/>
      <c r="P64" s="2"/>
      <c r="Q64" s="2"/>
      <c r="R64" s="2"/>
      <c r="S64" s="2"/>
    </row>
    <row r="65" spans="1:19">
      <c r="A65" s="22" t="s">
        <v>50</v>
      </c>
      <c r="B65" s="13"/>
      <c r="C65" s="13"/>
      <c r="D65" s="13">
        <f t="shared" ref="D65:I65" si="17">-$P$21</f>
        <v>-1500</v>
      </c>
      <c r="E65" s="13">
        <f t="shared" si="17"/>
        <v>-1500</v>
      </c>
      <c r="F65" s="13">
        <f t="shared" si="17"/>
        <v>-1500</v>
      </c>
      <c r="G65" s="13">
        <f t="shared" si="17"/>
        <v>-1500</v>
      </c>
      <c r="H65" s="13">
        <f t="shared" si="17"/>
        <v>-1500</v>
      </c>
      <c r="I65" s="13">
        <f t="shared" si="17"/>
        <v>-1500</v>
      </c>
      <c r="J65" s="2"/>
      <c r="K65" s="2"/>
      <c r="L65" s="2"/>
      <c r="M65" s="2"/>
      <c r="N65" s="2"/>
      <c r="O65" s="2"/>
      <c r="P65" s="2"/>
      <c r="Q65" s="2"/>
      <c r="R65" s="2"/>
      <c r="S65" s="2"/>
    </row>
    <row r="66" spans="1:19">
      <c r="A66" s="22" t="s">
        <v>48</v>
      </c>
      <c r="B66" s="13"/>
      <c r="C66" s="13"/>
      <c r="D66" s="13"/>
      <c r="E66" s="13"/>
      <c r="F66" s="13"/>
      <c r="G66" s="13"/>
      <c r="H66" s="13"/>
      <c r="I66" s="13"/>
      <c r="J66" s="2"/>
      <c r="K66" s="2"/>
      <c r="L66" s="2"/>
      <c r="M66" s="2"/>
      <c r="N66" s="2"/>
      <c r="O66" s="2"/>
      <c r="P66" s="2"/>
      <c r="Q66" s="2"/>
      <c r="R66" s="2"/>
      <c r="S66" s="2"/>
    </row>
    <row r="67" spans="1:19">
      <c r="A67" s="22" t="s">
        <v>49</v>
      </c>
      <c r="B67" s="13"/>
      <c r="C67" s="13"/>
      <c r="D67" s="13"/>
      <c r="E67" s="13"/>
      <c r="F67" s="13"/>
      <c r="G67" s="13"/>
      <c r="H67" s="13"/>
      <c r="I67" s="13"/>
      <c r="J67" s="2"/>
      <c r="K67" s="2"/>
      <c r="L67" s="2"/>
      <c r="M67" s="2"/>
      <c r="N67" s="2"/>
      <c r="O67" s="2"/>
      <c r="P67" s="2"/>
      <c r="Q67" s="2"/>
      <c r="R67" s="2"/>
      <c r="S67" s="2"/>
    </row>
    <row r="68" spans="1:19">
      <c r="A68" s="22" t="s">
        <v>31</v>
      </c>
      <c r="B68" s="13"/>
      <c r="C68" s="13">
        <f>($B$8*$B$7)*365*(1+$B$3)^C62</f>
        <v>10659.310344827589</v>
      </c>
      <c r="D68" s="13">
        <f t="shared" ref="D68:I68" si="18">($B$8*$B$7)*365*(1+$B$3)^D62</f>
        <v>11938.427586206899</v>
      </c>
      <c r="E68" s="13">
        <f t="shared" si="18"/>
        <v>13371.03889655173</v>
      </c>
      <c r="F68" s="13">
        <f t="shared" si="18"/>
        <v>14975.563564137936</v>
      </c>
      <c r="G68" s="13">
        <f t="shared" si="18"/>
        <v>16772.631191834491</v>
      </c>
      <c r="H68" s="13">
        <f t="shared" si="18"/>
        <v>18785.346934854631</v>
      </c>
      <c r="I68" s="13">
        <f t="shared" si="18"/>
        <v>21039.588567037186</v>
      </c>
      <c r="J68" s="2"/>
      <c r="K68" s="2"/>
      <c r="L68" s="2"/>
      <c r="M68" s="2"/>
      <c r="N68" s="2"/>
      <c r="O68" s="2"/>
      <c r="P68" s="2"/>
      <c r="Q68" s="2"/>
      <c r="R68" s="2"/>
      <c r="S68" s="2"/>
    </row>
    <row r="69" spans="1:19">
      <c r="A69" s="22" t="s">
        <v>9</v>
      </c>
      <c r="B69" s="13"/>
      <c r="C69" s="13">
        <f t="shared" ref="C69:I69" si="19">+C63/$F$11</f>
        <v>0</v>
      </c>
      <c r="D69" s="13">
        <f t="shared" si="19"/>
        <v>0</v>
      </c>
      <c r="E69" s="13">
        <f t="shared" si="19"/>
        <v>0</v>
      </c>
      <c r="F69" s="13">
        <f t="shared" si="19"/>
        <v>0</v>
      </c>
      <c r="G69" s="13">
        <f t="shared" si="19"/>
        <v>0</v>
      </c>
      <c r="H69" s="13">
        <f t="shared" si="19"/>
        <v>0</v>
      </c>
      <c r="I69" s="13">
        <f t="shared" si="19"/>
        <v>0</v>
      </c>
      <c r="J69" s="2"/>
      <c r="K69" s="2"/>
      <c r="L69" s="2"/>
      <c r="M69" s="2"/>
      <c r="N69" s="2"/>
      <c r="O69" s="2"/>
      <c r="P69" s="2"/>
      <c r="Q69" s="2"/>
      <c r="R69" s="2"/>
      <c r="S69" s="2"/>
    </row>
    <row r="70" spans="1:19">
      <c r="A70" s="22" t="s">
        <v>33</v>
      </c>
      <c r="B70" s="13"/>
      <c r="C70" s="13">
        <f>-P17</f>
        <v>-832.65</v>
      </c>
      <c r="D70" s="13">
        <f t="shared" ref="D70:I70" si="20">C70*(1+$B$3)</f>
        <v>-932.5680000000001</v>
      </c>
      <c r="E70" s="13">
        <f t="shared" si="20"/>
        <v>-1044.4761600000002</v>
      </c>
      <c r="F70" s="13">
        <f t="shared" si="20"/>
        <v>-1169.8132992000003</v>
      </c>
      <c r="G70" s="13">
        <f t="shared" si="20"/>
        <v>-1310.1908951040004</v>
      </c>
      <c r="H70" s="13">
        <f t="shared" si="20"/>
        <v>-1467.4138025164807</v>
      </c>
      <c r="I70" s="13">
        <f t="shared" si="20"/>
        <v>-1643.5034588184585</v>
      </c>
      <c r="J70" s="2"/>
      <c r="K70" s="2"/>
      <c r="L70" s="2"/>
      <c r="M70" s="2"/>
      <c r="N70" s="2"/>
      <c r="O70" s="2"/>
      <c r="P70" s="2"/>
      <c r="Q70" s="2"/>
      <c r="R70" s="2"/>
      <c r="S70" s="2"/>
    </row>
    <row r="71" spans="1:19">
      <c r="A71" s="22" t="s">
        <v>10</v>
      </c>
      <c r="B71" s="13">
        <f t="shared" ref="B71" si="21">SUM(B63:B69)+B70</f>
        <v>-15850</v>
      </c>
      <c r="C71" s="13">
        <f t="shared" ref="C71:I71" si="22">SUM(C63:C69)+C70</f>
        <v>9826.6603448275891</v>
      </c>
      <c r="D71" s="13">
        <f t="shared" si="22"/>
        <v>8255.8595862068996</v>
      </c>
      <c r="E71" s="13">
        <f t="shared" si="22"/>
        <v>9576.5627365517303</v>
      </c>
      <c r="F71" s="13">
        <f t="shared" si="22"/>
        <v>11055.750264937935</v>
      </c>
      <c r="G71" s="13">
        <f t="shared" si="22"/>
        <v>12712.44029673049</v>
      </c>
      <c r="H71" s="13">
        <f t="shared" si="22"/>
        <v>15817.93313233815</v>
      </c>
      <c r="I71" s="13">
        <f t="shared" si="22"/>
        <v>17896.085108218729</v>
      </c>
      <c r="J71" s="2"/>
      <c r="K71" s="2"/>
      <c r="L71" s="2"/>
      <c r="M71" s="2"/>
      <c r="N71" s="2"/>
      <c r="O71" s="2"/>
      <c r="P71" s="2"/>
      <c r="Q71" s="2"/>
      <c r="R71" s="2"/>
      <c r="S71" s="2"/>
    </row>
    <row r="72" spans="1:19">
      <c r="A72" s="22" t="s">
        <v>11</v>
      </c>
      <c r="B72" s="13">
        <f>+IF(B71&gt;0,B71*$F$3,0)</f>
        <v>0</v>
      </c>
      <c r="C72" s="13">
        <f>-IF(C71&gt;0,C71*$F$3,0)</f>
        <v>-2947.9981034482767</v>
      </c>
      <c r="D72" s="13">
        <f t="shared" ref="D72:I72" si="23">-IF(D71&gt;0,D71*$F$3,0)</f>
        <v>-2476.7578758620698</v>
      </c>
      <c r="E72" s="13">
        <f t="shared" si="23"/>
        <v>-2872.9688209655192</v>
      </c>
      <c r="F72" s="13">
        <f t="shared" si="23"/>
        <v>-3316.7250794813804</v>
      </c>
      <c r="G72" s="13">
        <f t="shared" si="23"/>
        <v>-3813.7320890191468</v>
      </c>
      <c r="H72" s="13">
        <f t="shared" si="23"/>
        <v>-4745.3799397014445</v>
      </c>
      <c r="I72" s="13">
        <f t="shared" si="23"/>
        <v>-5368.8255324656184</v>
      </c>
      <c r="J72" s="2"/>
      <c r="K72" s="2"/>
      <c r="L72" s="2"/>
      <c r="M72" s="2"/>
      <c r="N72" s="2"/>
      <c r="O72" s="2"/>
      <c r="P72" s="2"/>
      <c r="Q72" s="2"/>
      <c r="R72" s="2"/>
      <c r="S72" s="2"/>
    </row>
    <row r="73" spans="1:19">
      <c r="A73" s="22" t="s">
        <v>12</v>
      </c>
      <c r="B73" s="13">
        <f>B71+B72</f>
        <v>-15850</v>
      </c>
      <c r="C73" s="13">
        <f>C71+C72</f>
        <v>6878.662241379312</v>
      </c>
      <c r="D73" s="13">
        <f>D71+D72</f>
        <v>5779.1017103448303</v>
      </c>
      <c r="E73" s="13">
        <f t="shared" ref="E73" si="24">E71+E72</f>
        <v>6703.5939155862106</v>
      </c>
      <c r="F73" s="13">
        <f>F71+F72</f>
        <v>7739.025185456554</v>
      </c>
      <c r="G73" s="13">
        <f t="shared" ref="G73:I73" si="25">G71+G72</f>
        <v>8898.7082077113446</v>
      </c>
      <c r="H73" s="13">
        <f t="shared" si="25"/>
        <v>11072.553192636706</v>
      </c>
      <c r="I73" s="13">
        <f t="shared" si="25"/>
        <v>12527.259575753111</v>
      </c>
      <c r="J73" s="2"/>
      <c r="K73" s="2"/>
      <c r="L73" s="2"/>
      <c r="M73" s="2"/>
      <c r="N73" s="2"/>
      <c r="O73" s="2"/>
      <c r="P73" s="2"/>
      <c r="Q73" s="2"/>
      <c r="R73" s="2"/>
      <c r="S73" s="2"/>
    </row>
    <row r="74" spans="1:19">
      <c r="A74" s="22" t="s">
        <v>13</v>
      </c>
      <c r="B74" s="13">
        <f>B73</f>
        <v>-15850</v>
      </c>
      <c r="C74" s="13">
        <f>C73</f>
        <v>6878.662241379312</v>
      </c>
      <c r="D74" s="13">
        <f>D73</f>
        <v>5779.1017103448303</v>
      </c>
      <c r="E74" s="13">
        <f>E73</f>
        <v>6703.5939155862106</v>
      </c>
      <c r="F74" s="13">
        <f>F73</f>
        <v>7739.025185456554</v>
      </c>
      <c r="G74" s="13">
        <f t="shared" ref="G74:I74" si="26">G73</f>
        <v>8898.7082077113446</v>
      </c>
      <c r="H74" s="13">
        <f t="shared" si="26"/>
        <v>11072.553192636706</v>
      </c>
      <c r="I74" s="13">
        <f t="shared" si="26"/>
        <v>12527.259575753111</v>
      </c>
      <c r="J74" s="2"/>
      <c r="K74" s="2"/>
      <c r="L74" s="2"/>
      <c r="M74" s="2"/>
      <c r="N74" s="2"/>
      <c r="O74" s="2"/>
      <c r="P74" s="2"/>
      <c r="Q74" s="2"/>
      <c r="R74" s="2"/>
      <c r="S74" s="2"/>
    </row>
    <row r="75" spans="1:19">
      <c r="A75" s="22" t="s">
        <v>14</v>
      </c>
      <c r="B75" s="13">
        <f>B74</f>
        <v>-15850</v>
      </c>
      <c r="C75" s="13">
        <f>C74+B75</f>
        <v>-8971.337758620688</v>
      </c>
      <c r="D75" s="13">
        <f>D74+C75</f>
        <v>-3192.2360482758577</v>
      </c>
      <c r="E75" s="13">
        <f>E74+D75</f>
        <v>3511.357867310353</v>
      </c>
      <c r="F75" s="13">
        <f>F74+E75</f>
        <v>11250.383052766907</v>
      </c>
      <c r="G75" s="13">
        <f t="shared" ref="G75:I75" si="27">G74+F75</f>
        <v>20149.09126047825</v>
      </c>
      <c r="H75" s="13">
        <f t="shared" si="27"/>
        <v>31221.644453114954</v>
      </c>
      <c r="I75" s="13">
        <f t="shared" si="27"/>
        <v>43748.904028868063</v>
      </c>
      <c r="J75" s="2"/>
      <c r="K75" s="2"/>
      <c r="L75" s="2"/>
      <c r="M75" s="2"/>
      <c r="N75" s="2"/>
      <c r="O75" s="2"/>
      <c r="P75" s="2"/>
      <c r="Q75" s="2"/>
      <c r="R75" s="2"/>
      <c r="S75" s="2"/>
    </row>
    <row r="76" spans="1:19">
      <c r="A76" s="22" t="s">
        <v>15</v>
      </c>
      <c r="B76" s="13">
        <f>B74/((1+$F$8)^B62)</f>
        <v>-15850</v>
      </c>
      <c r="C76" s="13">
        <f>C74/((1+$F$8)^C62)</f>
        <v>5914.5849023037936</v>
      </c>
      <c r="D76" s="13">
        <f>D74/((1+$F$8)^D62)</f>
        <v>4272.6853198208964</v>
      </c>
      <c r="E76" s="13">
        <f>E74/((1+$F$8)^E62)</f>
        <v>4261.5594752070565</v>
      </c>
      <c r="F76" s="13">
        <f>F74/((1+$F$8)^F62)</f>
        <v>4230.2633148416853</v>
      </c>
      <c r="G76" s="13">
        <f t="shared" ref="G76:I76" si="28">G74/((1+$F$8)^G62)</f>
        <v>4182.4272227954107</v>
      </c>
      <c r="H76" s="13">
        <f t="shared" si="28"/>
        <v>4474.757317883943</v>
      </c>
      <c r="I76" s="13">
        <f t="shared" si="28"/>
        <v>4353.0942810102015</v>
      </c>
      <c r="J76" s="2"/>
      <c r="K76" s="2"/>
      <c r="L76" s="2"/>
      <c r="M76" s="2"/>
      <c r="N76" s="2"/>
      <c r="O76" s="2"/>
      <c r="P76" s="2"/>
      <c r="Q76" s="2"/>
      <c r="R76" s="2"/>
      <c r="S76" s="2"/>
    </row>
    <row r="77" spans="1:19">
      <c r="A77" s="22" t="s">
        <v>16</v>
      </c>
      <c r="B77" s="13">
        <f>+B76</f>
        <v>-15850</v>
      </c>
      <c r="C77" s="13">
        <f>+B77+C76</f>
        <v>-9935.4150976962064</v>
      </c>
      <c r="D77" s="13">
        <f>+C77+D76</f>
        <v>-5662.72977787531</v>
      </c>
      <c r="E77" s="13">
        <f>+D77+E76</f>
        <v>-1401.1703026682535</v>
      </c>
      <c r="F77" s="13">
        <f>+E77+F76</f>
        <v>2829.0930121734318</v>
      </c>
      <c r="G77" s="13">
        <f t="shared" ref="G77:I77" si="29">+F77+G76</f>
        <v>7011.5202349688425</v>
      </c>
      <c r="H77" s="13">
        <f t="shared" si="29"/>
        <v>11486.277552852785</v>
      </c>
      <c r="I77" s="13">
        <f t="shared" si="29"/>
        <v>15839.371833862988</v>
      </c>
      <c r="J77" s="2"/>
      <c r="K77" s="2"/>
      <c r="L77" s="2"/>
      <c r="M77" s="2"/>
      <c r="N77" s="2"/>
      <c r="O77" s="2"/>
      <c r="P77" s="2"/>
      <c r="Q77" s="2"/>
      <c r="R77" s="2"/>
      <c r="S77" s="2"/>
    </row>
    <row r="78" spans="1:19" ht="15" hidden="1" customHeight="1">
      <c r="A78" s="2"/>
      <c r="B78" s="2"/>
      <c r="C78" s="2"/>
      <c r="D78" s="2"/>
      <c r="E78" s="2"/>
      <c r="F78" s="2"/>
      <c r="G78" s="19"/>
      <c r="H78" s="19"/>
      <c r="I78" s="19"/>
      <c r="J78" s="2"/>
      <c r="K78" s="2"/>
      <c r="L78" s="2"/>
      <c r="M78" s="2"/>
      <c r="N78" s="2"/>
      <c r="O78" s="2"/>
      <c r="P78" s="2"/>
      <c r="Q78" s="2"/>
      <c r="R78" s="2"/>
      <c r="S78" s="2"/>
    </row>
    <row r="79" spans="1:19" ht="15" customHeight="1" thickBot="1">
      <c r="A79" s="2"/>
      <c r="B79" s="2"/>
      <c r="C79" s="2"/>
      <c r="D79" s="2"/>
      <c r="E79" s="2"/>
      <c r="F79" s="2"/>
      <c r="G79" s="19"/>
      <c r="H79" s="19"/>
      <c r="I79" s="19"/>
      <c r="J79" s="2"/>
      <c r="K79" s="2"/>
      <c r="L79" s="2"/>
      <c r="M79" s="2"/>
      <c r="N79" s="2"/>
      <c r="O79" s="2"/>
      <c r="P79" s="2"/>
      <c r="Q79" s="2"/>
      <c r="R79" s="2"/>
      <c r="S79" s="2"/>
    </row>
    <row r="80" spans="1:19" ht="15.75" thickBot="1">
      <c r="A80" s="23" t="s">
        <v>17</v>
      </c>
      <c r="B80" s="14">
        <f>+SUM(B76:I76)</f>
        <v>15839.371833862988</v>
      </c>
      <c r="C80" s="15" t="s">
        <v>53</v>
      </c>
      <c r="D80" s="6"/>
      <c r="E80" s="6"/>
      <c r="F80" s="6"/>
      <c r="G80" s="6"/>
      <c r="H80" s="6"/>
      <c r="I80" s="6"/>
      <c r="J80" s="2"/>
      <c r="K80" s="2"/>
      <c r="L80" s="2"/>
      <c r="M80" s="2"/>
      <c r="N80" s="2"/>
      <c r="O80" s="2"/>
      <c r="P80" s="2"/>
      <c r="Q80" s="2"/>
      <c r="R80" s="2"/>
      <c r="S80" s="2"/>
    </row>
    <row r="81" spans="1:19" ht="15.75" thickBot="1">
      <c r="A81" s="23" t="s">
        <v>18</v>
      </c>
      <c r="B81" s="16">
        <f>+IRR(B74:I74)</f>
        <v>0.42213571095152114</v>
      </c>
      <c r="C81" s="15" t="s">
        <v>52</v>
      </c>
      <c r="D81" s="2"/>
      <c r="E81" s="2"/>
      <c r="F81" s="2"/>
      <c r="G81" s="2"/>
      <c r="H81" s="2"/>
      <c r="I81" s="2"/>
      <c r="J81" s="2"/>
      <c r="K81" s="2"/>
      <c r="L81" s="2"/>
      <c r="M81" s="2"/>
      <c r="N81" s="2"/>
      <c r="O81" s="2"/>
      <c r="P81" s="2"/>
      <c r="Q81" s="2"/>
      <c r="R81" s="2"/>
      <c r="S81" s="2"/>
    </row>
    <row r="82" spans="1:19" ht="15.75" thickBot="1">
      <c r="A82" s="23" t="s">
        <v>19</v>
      </c>
      <c r="B82" s="17">
        <f>+ABS(SUMIF(B76:I76,"&gt;0")/SUMIF(B76:I76,"&lt;0"))</f>
        <v>1.999329453240567</v>
      </c>
      <c r="C82" s="15" t="s">
        <v>54</v>
      </c>
      <c r="D82" s="2"/>
      <c r="E82" s="2"/>
      <c r="F82" s="2"/>
      <c r="G82" s="2"/>
      <c r="H82" s="2"/>
      <c r="I82" s="2"/>
      <c r="J82" s="2"/>
      <c r="K82" s="2"/>
      <c r="L82" s="2"/>
      <c r="M82" s="2"/>
      <c r="N82" s="2"/>
      <c r="O82" s="2"/>
      <c r="P82" s="2"/>
      <c r="Q82" s="2"/>
      <c r="R82" s="2"/>
      <c r="S82" s="2"/>
    </row>
    <row r="83" spans="1:19" ht="15.75" thickBot="1">
      <c r="A83" s="23" t="s">
        <v>20</v>
      </c>
      <c r="B83" s="16">
        <f>+(SUM(C75:I75)+B75)/ABS(B75)</f>
        <v>5.165161315813374</v>
      </c>
      <c r="C83" s="15" t="s">
        <v>56</v>
      </c>
      <c r="D83" s="2"/>
      <c r="E83" s="2"/>
      <c r="F83" s="2"/>
      <c r="G83" s="2"/>
      <c r="H83" s="2"/>
      <c r="I83" s="2"/>
      <c r="J83" s="2"/>
      <c r="K83" s="2"/>
      <c r="L83" s="2"/>
      <c r="M83" s="2"/>
      <c r="N83" s="2"/>
      <c r="O83" s="2"/>
      <c r="P83" s="2"/>
      <c r="Q83" s="2"/>
      <c r="R83" s="2"/>
      <c r="S83" s="2"/>
    </row>
    <row r="84" spans="1:19" ht="15.75" thickBot="1">
      <c r="A84" s="23" t="s">
        <v>58</v>
      </c>
      <c r="B84" s="21">
        <f>F62-(SUM(C76:F76)+B76)/B76</f>
        <v>4.1784916726923305</v>
      </c>
      <c r="C84" s="15" t="s">
        <v>57</v>
      </c>
      <c r="D84" s="2"/>
      <c r="E84" s="2"/>
      <c r="F84" s="2"/>
      <c r="G84" s="2"/>
      <c r="H84" s="2"/>
      <c r="I84" s="2"/>
      <c r="J84" s="2"/>
      <c r="K84" s="2"/>
      <c r="L84" s="2"/>
      <c r="M84" s="2"/>
      <c r="N84" s="2"/>
      <c r="O84" s="2"/>
      <c r="P84" s="2"/>
      <c r="Q84" s="2"/>
      <c r="R84" s="2"/>
      <c r="S84" s="2"/>
    </row>
    <row r="87" spans="1:19" ht="15" hidden="1" customHeight="1"/>
  </sheetData>
  <mergeCells count="5">
    <mergeCell ref="E2:F2"/>
    <mergeCell ref="K2:L2"/>
    <mergeCell ref="O2:P2"/>
    <mergeCell ref="A18:I18"/>
    <mergeCell ref="A59:I59"/>
  </mergeCells>
  <conditionalFormatting sqref="B36:I51 J44:N44">
    <cfRule type="expression" dxfId="5" priority="1">
      <formula>"&lt;0"</formula>
    </cfRule>
  </conditionalFormatting>
  <conditionalFormatting sqref="B63:I77">
    <cfRule type="expression" dxfId="4" priority="2">
      <formula>"&lt;0"</formula>
    </cfRule>
  </conditionalFormatting>
  <conditionalFormatting sqref="D80:I80">
    <cfRule type="cellIs" dxfId="3" priority="3" operator="lessThan">
      <formula>0</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9B25A-262E-436B-9B03-796778F347D6}">
  <dimension ref="A1:S87"/>
  <sheetViews>
    <sheetView showGridLines="0" topLeftCell="A55" zoomScale="75" workbookViewId="0">
      <selection activeCell="A81" sqref="A81"/>
    </sheetView>
  </sheetViews>
  <sheetFormatPr defaultRowHeight="15"/>
  <cols>
    <col min="1" max="1" width="55" customWidth="1"/>
    <col min="2" max="2" width="16" bestFit="1" customWidth="1"/>
    <col min="3" max="3" width="16.28515625" customWidth="1"/>
    <col min="4" max="4" width="16.140625" customWidth="1"/>
    <col min="5" max="5" width="18.5703125" customWidth="1"/>
    <col min="6" max="8" width="16" customWidth="1"/>
    <col min="9" max="9" width="16" bestFit="1" customWidth="1"/>
    <col min="10" max="10" width="11" bestFit="1" customWidth="1"/>
    <col min="11" max="11" width="35.28515625" bestFit="1" customWidth="1"/>
    <col min="12" max="12" width="16" bestFit="1" customWidth="1"/>
    <col min="14" max="14" width="15.5703125" bestFit="1" customWidth="1"/>
    <col min="15" max="15" width="44" bestFit="1" customWidth="1"/>
    <col min="16" max="16" width="13" bestFit="1" customWidth="1"/>
    <col min="17" max="17" width="17.5703125" bestFit="1" customWidth="1"/>
  </cols>
  <sheetData>
    <row r="1" spans="1:19">
      <c r="A1" s="1" t="s">
        <v>0</v>
      </c>
      <c r="B1" s="1" t="s">
        <v>1</v>
      </c>
      <c r="C1" s="2"/>
      <c r="D1" s="2"/>
      <c r="E1" s="2"/>
      <c r="F1" s="2"/>
      <c r="G1" s="2"/>
      <c r="H1" s="2"/>
      <c r="I1" s="2"/>
      <c r="J1" s="2"/>
      <c r="K1" s="2"/>
      <c r="L1" s="2"/>
      <c r="M1" s="2"/>
      <c r="N1" s="2"/>
      <c r="O1" s="2"/>
      <c r="P1" s="2"/>
      <c r="Q1" s="2"/>
      <c r="R1" s="2"/>
      <c r="S1" s="2"/>
    </row>
    <row r="2" spans="1:19" ht="23.25" customHeight="1">
      <c r="A2" s="30" t="s">
        <v>2</v>
      </c>
      <c r="B2" s="27">
        <v>1200000</v>
      </c>
      <c r="C2" s="2"/>
      <c r="D2" s="2"/>
      <c r="E2" s="63" t="s">
        <v>22</v>
      </c>
      <c r="F2" s="64"/>
      <c r="G2" s="2"/>
      <c r="H2" s="2"/>
      <c r="I2" s="2"/>
      <c r="J2" s="2"/>
      <c r="K2" s="63" t="s">
        <v>6</v>
      </c>
      <c r="L2" s="64"/>
      <c r="M2" s="2"/>
      <c r="N2" s="2"/>
      <c r="O2" s="63" t="s">
        <v>7</v>
      </c>
      <c r="P2" s="64"/>
      <c r="Q2" s="2"/>
      <c r="R2" s="2"/>
      <c r="S2" s="2"/>
    </row>
    <row r="3" spans="1:19">
      <c r="A3" s="30" t="s">
        <v>28</v>
      </c>
      <c r="B3" s="28">
        <v>0.08</v>
      </c>
      <c r="C3" s="2"/>
      <c r="D3" s="2"/>
      <c r="E3" s="30" t="s">
        <v>23</v>
      </c>
      <c r="F3" s="28">
        <v>0.4</v>
      </c>
      <c r="G3" s="2"/>
      <c r="H3" s="2"/>
      <c r="I3" s="2"/>
      <c r="J3" s="2"/>
      <c r="K3" s="30" t="s">
        <v>3</v>
      </c>
      <c r="L3" s="32">
        <v>6750</v>
      </c>
      <c r="M3" s="2"/>
      <c r="N3" s="2"/>
      <c r="O3" s="30" t="s">
        <v>76</v>
      </c>
      <c r="P3" s="27">
        <f>+$P$7*Q3</f>
        <v>208</v>
      </c>
      <c r="Q3" s="36">
        <v>0.16</v>
      </c>
      <c r="R3" s="2"/>
      <c r="S3" s="2"/>
    </row>
    <row r="4" spans="1:19">
      <c r="A4" s="30" t="s">
        <v>37</v>
      </c>
      <c r="B4" s="32">
        <f>+$B$2*C4</f>
        <v>276000</v>
      </c>
      <c r="C4" s="4" t="s">
        <v>5</v>
      </c>
      <c r="D4" s="2"/>
      <c r="E4" s="30" t="s">
        <v>27</v>
      </c>
      <c r="F4" s="28">
        <v>0.15</v>
      </c>
      <c r="G4" s="2" t="s">
        <v>61</v>
      </c>
      <c r="H4" s="2"/>
      <c r="I4" s="2"/>
      <c r="J4" s="2"/>
      <c r="K4" s="30" t="s">
        <v>4</v>
      </c>
      <c r="L4" s="32">
        <v>12500</v>
      </c>
      <c r="M4" s="2"/>
      <c r="O4" s="30" t="s">
        <v>77</v>
      </c>
      <c r="P4" s="27">
        <f>+$P$7*Q4</f>
        <v>454.99999999999994</v>
      </c>
      <c r="Q4" s="36">
        <v>0.35</v>
      </c>
      <c r="R4" s="2"/>
      <c r="S4" s="2"/>
    </row>
    <row r="5" spans="1:19">
      <c r="A5" s="30" t="s">
        <v>40</v>
      </c>
      <c r="B5" s="33">
        <v>1300</v>
      </c>
      <c r="C5" s="2"/>
      <c r="D5" s="2"/>
      <c r="E5" s="30" t="s">
        <v>25</v>
      </c>
      <c r="F5" s="28">
        <v>0.6</v>
      </c>
      <c r="G5" s="2"/>
      <c r="H5" s="2"/>
      <c r="I5" s="2"/>
      <c r="J5" s="2"/>
      <c r="K5" s="30" t="s">
        <v>87</v>
      </c>
      <c r="L5" s="27">
        <f>+L4/2</f>
        <v>6250</v>
      </c>
      <c r="M5" s="2"/>
      <c r="N5" s="2"/>
      <c r="O5" s="30" t="s">
        <v>78</v>
      </c>
      <c r="P5" s="27">
        <f>+$P$7*Q5</f>
        <v>533</v>
      </c>
      <c r="Q5" s="36">
        <v>0.41</v>
      </c>
      <c r="R5" s="2"/>
      <c r="S5" s="2"/>
    </row>
    <row r="6" spans="1:19">
      <c r="A6" s="30" t="s">
        <v>29</v>
      </c>
      <c r="B6" s="33">
        <v>29</v>
      </c>
      <c r="C6" s="2"/>
      <c r="D6" s="2"/>
      <c r="E6" s="30" t="s">
        <v>62</v>
      </c>
      <c r="F6" s="28">
        <v>0.25</v>
      </c>
      <c r="G6" s="2"/>
      <c r="H6" s="2"/>
      <c r="I6" s="2"/>
      <c r="J6" s="2"/>
      <c r="K6" s="30" t="s">
        <v>67</v>
      </c>
      <c r="L6" s="34">
        <v>18</v>
      </c>
      <c r="M6" s="2"/>
      <c r="N6" s="2"/>
      <c r="O6" s="30" t="s">
        <v>79</v>
      </c>
      <c r="P6" s="27">
        <f>+$P$7*Q6</f>
        <v>104</v>
      </c>
      <c r="Q6" s="36">
        <v>0.08</v>
      </c>
      <c r="R6" s="2"/>
      <c r="S6" s="2"/>
    </row>
    <row r="7" spans="1:19">
      <c r="A7" s="30" t="s">
        <v>30</v>
      </c>
      <c r="B7" s="29">
        <f>+B5/B6</f>
        <v>44.827586206896555</v>
      </c>
      <c r="C7" s="2" t="s">
        <v>41</v>
      </c>
      <c r="D7" s="2"/>
      <c r="E7" s="30" t="s">
        <v>26</v>
      </c>
      <c r="F7" s="28">
        <v>0.4</v>
      </c>
      <c r="G7" s="2"/>
      <c r="H7" s="2"/>
      <c r="I7" s="2"/>
      <c r="J7" s="2"/>
      <c r="K7" s="30" t="s">
        <v>68</v>
      </c>
      <c r="L7" s="34">
        <v>18</v>
      </c>
      <c r="M7" s="2"/>
      <c r="N7" s="2"/>
      <c r="O7" s="24" t="s">
        <v>83</v>
      </c>
      <c r="P7" s="35">
        <v>1300</v>
      </c>
      <c r="Q7" s="7"/>
      <c r="R7" s="2"/>
      <c r="S7" s="2"/>
    </row>
    <row r="8" spans="1:19">
      <c r="A8" s="30" t="s">
        <v>63</v>
      </c>
      <c r="B8" s="27">
        <f>+B4/B6/365/B7</f>
        <v>0.58166491043203372</v>
      </c>
      <c r="C8" s="2"/>
      <c r="D8" s="6"/>
      <c r="E8" s="24" t="s">
        <v>24</v>
      </c>
      <c r="F8" s="25">
        <f>+(F4*(1-F3)*F5)+(F7*F6)</f>
        <v>0.154</v>
      </c>
      <c r="G8" s="2"/>
      <c r="H8" s="2"/>
      <c r="I8" s="2"/>
      <c r="J8" s="2"/>
      <c r="K8" s="30" t="s">
        <v>74</v>
      </c>
      <c r="L8" s="27">
        <f>+SUM(B10:B11)*SUM(L6:L7)</f>
        <v>19200</v>
      </c>
      <c r="M8" s="2"/>
      <c r="N8" s="2"/>
      <c r="O8" s="30" t="s">
        <v>76</v>
      </c>
      <c r="P8" s="27">
        <f>+P3*(1+Q8)</f>
        <v>270.40000000000003</v>
      </c>
      <c r="Q8" s="36">
        <v>0.3</v>
      </c>
      <c r="R8" s="2"/>
      <c r="S8" s="2"/>
    </row>
    <row r="9" spans="1:19">
      <c r="A9" s="30" t="s">
        <v>64</v>
      </c>
      <c r="B9" s="32">
        <v>1394</v>
      </c>
      <c r="C9" s="2"/>
      <c r="D9" s="2"/>
      <c r="E9" s="4"/>
      <c r="F9" s="4"/>
      <c r="G9" s="2"/>
      <c r="H9" s="2"/>
      <c r="I9" s="2"/>
      <c r="J9" s="2"/>
      <c r="K9" s="30" t="s">
        <v>69</v>
      </c>
      <c r="L9" s="32">
        <v>13500</v>
      </c>
      <c r="M9" s="2"/>
      <c r="N9" s="2"/>
      <c r="O9" s="30" t="s">
        <v>77</v>
      </c>
      <c r="P9" s="27">
        <f>+$P$4*(1+Q9)</f>
        <v>568.74999999999989</v>
      </c>
      <c r="Q9" s="37">
        <v>0.25</v>
      </c>
      <c r="R9" s="2"/>
      <c r="S9" s="2"/>
    </row>
    <row r="10" spans="1:19">
      <c r="A10" s="30" t="s">
        <v>65</v>
      </c>
      <c r="B10" s="32">
        <v>500</v>
      </c>
      <c r="C10" s="2"/>
      <c r="D10" s="2"/>
      <c r="E10" s="4" t="s">
        <v>32</v>
      </c>
      <c r="F10" s="31">
        <v>0</v>
      </c>
      <c r="G10" s="2"/>
      <c r="H10" s="2"/>
      <c r="I10" s="2"/>
      <c r="J10" s="2"/>
      <c r="K10" s="30" t="s">
        <v>88</v>
      </c>
      <c r="L10" s="29">
        <f>+SUM(B29)</f>
        <v>0</v>
      </c>
      <c r="M10" s="2"/>
      <c r="N10" s="2"/>
      <c r="O10" s="30" t="s">
        <v>78</v>
      </c>
      <c r="P10" s="27">
        <f>+$P$5*(1+Q10)</f>
        <v>719.55000000000007</v>
      </c>
      <c r="Q10" s="36">
        <v>0.35</v>
      </c>
      <c r="R10" s="2"/>
      <c r="S10" s="2"/>
    </row>
    <row r="11" spans="1:19">
      <c r="A11" s="30" t="s">
        <v>66</v>
      </c>
      <c r="B11" s="32">
        <v>33.333333333333336</v>
      </c>
      <c r="C11" s="2"/>
      <c r="D11" s="2"/>
      <c r="E11" s="4" t="s">
        <v>42</v>
      </c>
      <c r="F11" s="4">
        <v>1</v>
      </c>
      <c r="G11" s="2"/>
      <c r="H11" s="2"/>
      <c r="I11" s="2"/>
      <c r="J11" s="2"/>
      <c r="K11" s="30" t="s">
        <v>70</v>
      </c>
      <c r="L11" s="38">
        <f>+SUM(B27)</f>
        <v>30</v>
      </c>
      <c r="M11" s="2"/>
      <c r="N11" s="2"/>
      <c r="O11" s="30" t="s">
        <v>79</v>
      </c>
      <c r="P11" s="27">
        <f>+$P$6*Q11</f>
        <v>10.4</v>
      </c>
      <c r="Q11" s="36">
        <v>0.1</v>
      </c>
      <c r="R11" s="2"/>
      <c r="S11" s="2"/>
    </row>
    <row r="12" spans="1:19">
      <c r="A12" s="2"/>
      <c r="B12" s="2"/>
      <c r="C12" s="2"/>
      <c r="D12" s="2"/>
      <c r="E12" s="7"/>
      <c r="F12" s="7"/>
      <c r="G12" s="2"/>
      <c r="H12" s="2"/>
      <c r="I12" s="2"/>
      <c r="J12" s="2"/>
      <c r="K12" s="30" t="s">
        <v>71</v>
      </c>
      <c r="L12" s="38">
        <f>+SUM(B28)</f>
        <v>20</v>
      </c>
      <c r="M12" s="2"/>
      <c r="N12" s="2"/>
      <c r="O12" s="24" t="s">
        <v>85</v>
      </c>
      <c r="P12" s="26">
        <f>+SUM(P8:P11)</f>
        <v>1569.1</v>
      </c>
      <c r="Q12" s="7"/>
      <c r="R12" s="2"/>
      <c r="S12" s="2"/>
    </row>
    <row r="13" spans="1:19">
      <c r="A13" s="2"/>
      <c r="B13" s="2"/>
      <c r="C13" s="2"/>
      <c r="D13" s="2"/>
      <c r="E13" s="7"/>
      <c r="F13" s="7"/>
      <c r="G13" s="2"/>
      <c r="H13" s="2"/>
      <c r="I13" s="2"/>
      <c r="J13" s="2"/>
      <c r="K13" s="30" t="s">
        <v>96</v>
      </c>
      <c r="L13" s="27">
        <f>+SUM(L10:L12)*L8</f>
        <v>960000</v>
      </c>
      <c r="M13" s="2"/>
      <c r="N13" s="2"/>
      <c r="O13" s="30" t="s">
        <v>76</v>
      </c>
      <c r="P13" s="27">
        <f>+$P$3*Q13</f>
        <v>145.6</v>
      </c>
      <c r="Q13" s="36">
        <v>0.7</v>
      </c>
      <c r="R13" s="2"/>
      <c r="S13" s="2"/>
    </row>
    <row r="14" spans="1:19">
      <c r="A14" s="2"/>
      <c r="B14" s="2"/>
      <c r="C14" s="2"/>
      <c r="D14" s="7"/>
      <c r="E14" s="2"/>
      <c r="F14" s="2"/>
      <c r="G14" s="7"/>
      <c r="H14" s="2"/>
      <c r="I14" s="2"/>
      <c r="J14" s="2"/>
      <c r="K14" s="30" t="s">
        <v>72</v>
      </c>
      <c r="L14" s="27">
        <f>+(L3+L9)*L11</f>
        <v>607500</v>
      </c>
      <c r="M14" s="2"/>
      <c r="N14" s="2"/>
      <c r="O14" s="30" t="s">
        <v>77</v>
      </c>
      <c r="P14" s="27">
        <f>+$P$4*Q14</f>
        <v>113.74999999999999</v>
      </c>
      <c r="Q14" s="36">
        <v>0.25</v>
      </c>
      <c r="R14" s="2"/>
      <c r="S14" s="2"/>
    </row>
    <row r="15" spans="1:19">
      <c r="A15" s="2"/>
      <c r="B15" s="2"/>
      <c r="C15" s="2"/>
      <c r="D15" s="1" t="s">
        <v>93</v>
      </c>
      <c r="E15" s="1" t="s">
        <v>94</v>
      </c>
      <c r="F15" s="1" t="s">
        <v>43</v>
      </c>
      <c r="G15" s="1" t="s">
        <v>44</v>
      </c>
      <c r="H15" s="2"/>
      <c r="I15" s="2"/>
      <c r="J15" s="2"/>
      <c r="K15" s="30" t="s">
        <v>95</v>
      </c>
      <c r="L15" s="27">
        <f>+L12*L3</f>
        <v>135000</v>
      </c>
      <c r="M15" s="2"/>
      <c r="N15" s="2"/>
      <c r="O15" s="30" t="s">
        <v>78</v>
      </c>
      <c r="P15" s="27">
        <f>+$P$5*Q15</f>
        <v>479.7</v>
      </c>
      <c r="Q15" s="36">
        <v>0.9</v>
      </c>
      <c r="R15" s="2"/>
      <c r="S15" s="2"/>
    </row>
    <row r="16" spans="1:19">
      <c r="A16" s="2"/>
      <c r="B16" s="2"/>
      <c r="C16" s="6"/>
      <c r="D16" s="29">
        <f>+B6</f>
        <v>29</v>
      </c>
      <c r="E16" s="29">
        <f>+SUM(C20:I21)</f>
        <v>70</v>
      </c>
      <c r="F16" s="33">
        <v>80</v>
      </c>
      <c r="G16" s="29">
        <f>F16-D16-E16</f>
        <v>-19</v>
      </c>
      <c r="H16" s="2"/>
      <c r="I16" s="2"/>
      <c r="J16" s="2"/>
      <c r="K16" s="30" t="s">
        <v>73</v>
      </c>
      <c r="L16" s="27">
        <f>L10*(L5+L8/2)</f>
        <v>0</v>
      </c>
      <c r="M16" s="2"/>
      <c r="N16" s="2"/>
      <c r="O16" s="30" t="s">
        <v>79</v>
      </c>
      <c r="P16" s="27">
        <f>+$P$6*Q16</f>
        <v>93.600000000000009</v>
      </c>
      <c r="Q16" s="36">
        <v>0.9</v>
      </c>
      <c r="R16" s="2"/>
      <c r="S16" s="2"/>
    </row>
    <row r="17" spans="1:19">
      <c r="A17" s="2"/>
      <c r="B17" s="2"/>
      <c r="C17" s="6"/>
      <c r="D17" s="7"/>
      <c r="E17" s="7"/>
      <c r="F17" s="7"/>
      <c r="G17" s="7"/>
      <c r="H17" s="2"/>
      <c r="I17" s="2"/>
      <c r="J17" s="2"/>
      <c r="K17" s="60" t="s">
        <v>123</v>
      </c>
      <c r="L17" s="32">
        <v>100176</v>
      </c>
      <c r="M17" s="2"/>
      <c r="N17" s="2"/>
      <c r="O17" s="24" t="s">
        <v>80</v>
      </c>
      <c r="P17" s="26">
        <f>+SUM(P13:P16)</f>
        <v>832.65</v>
      </c>
      <c r="Q17" s="36"/>
      <c r="R17" s="2"/>
      <c r="S17" s="2"/>
    </row>
    <row r="18" spans="1:19">
      <c r="A18" s="65" t="s">
        <v>86</v>
      </c>
      <c r="B18" s="66"/>
      <c r="C18" s="66"/>
      <c r="D18" s="66"/>
      <c r="E18" s="66"/>
      <c r="F18" s="66"/>
      <c r="G18" s="66"/>
      <c r="H18" s="66"/>
      <c r="I18" s="67"/>
      <c r="J18" s="2"/>
      <c r="K18" s="24" t="s">
        <v>75</v>
      </c>
      <c r="L18" s="26">
        <f>+SUM(L13:L17)</f>
        <v>1802676</v>
      </c>
      <c r="M18" s="2"/>
      <c r="N18" s="2"/>
      <c r="O18" s="30" t="s">
        <v>34</v>
      </c>
      <c r="P18" s="28">
        <v>0.05</v>
      </c>
      <c r="Q18" s="36"/>
      <c r="R18" s="2"/>
      <c r="S18" s="2"/>
    </row>
    <row r="19" spans="1:19">
      <c r="A19" s="2"/>
      <c r="B19" s="15"/>
      <c r="C19" s="2"/>
      <c r="D19" s="2"/>
      <c r="E19" s="2"/>
      <c r="F19" s="2"/>
      <c r="G19" s="2"/>
      <c r="H19" s="2"/>
      <c r="I19" s="2"/>
      <c r="J19" s="2"/>
      <c r="K19" s="2"/>
      <c r="L19" s="2"/>
      <c r="M19" s="2"/>
      <c r="N19" s="2"/>
      <c r="O19" s="30" t="s">
        <v>35</v>
      </c>
      <c r="P19" s="28">
        <v>0.02</v>
      </c>
      <c r="Q19" s="36"/>
      <c r="R19" s="2"/>
      <c r="S19" s="2"/>
    </row>
    <row r="20" spans="1:19">
      <c r="A20" s="22" t="s">
        <v>92</v>
      </c>
      <c r="B20" s="8"/>
      <c r="C20" s="11">
        <f>+C33</f>
        <v>10</v>
      </c>
      <c r="D20" s="11">
        <f>+D33</f>
        <v>10</v>
      </c>
      <c r="E20" s="11">
        <f>+E33</f>
        <v>10</v>
      </c>
      <c r="F20" s="8">
        <f t="shared" ref="F20:I20" si="0">+F33</f>
        <v>10</v>
      </c>
      <c r="G20" s="8">
        <f t="shared" si="0"/>
        <v>10</v>
      </c>
      <c r="H20" s="8">
        <f t="shared" si="0"/>
        <v>0</v>
      </c>
      <c r="I20" s="8">
        <f t="shared" si="0"/>
        <v>0</v>
      </c>
      <c r="J20" s="2"/>
      <c r="K20" s="2"/>
      <c r="L20" s="2"/>
      <c r="M20" s="2"/>
      <c r="N20" s="2"/>
      <c r="O20" s="30" t="s">
        <v>60</v>
      </c>
      <c r="P20" s="32">
        <v>5000</v>
      </c>
      <c r="Q20" s="36"/>
      <c r="R20" s="2"/>
      <c r="S20" s="2"/>
    </row>
    <row r="21" spans="1:19">
      <c r="A21" s="22" t="s">
        <v>90</v>
      </c>
      <c r="B21" s="8"/>
      <c r="C21" s="9">
        <v>0</v>
      </c>
      <c r="D21" s="9">
        <v>3</v>
      </c>
      <c r="E21" s="9">
        <v>6</v>
      </c>
      <c r="F21" s="9">
        <v>11</v>
      </c>
      <c r="G21" s="9"/>
      <c r="H21" s="9"/>
      <c r="I21" s="9"/>
      <c r="J21" s="2"/>
      <c r="K21" s="2"/>
      <c r="L21" s="2"/>
      <c r="M21" s="2"/>
      <c r="N21" s="2"/>
      <c r="O21" s="30" t="s">
        <v>55</v>
      </c>
      <c r="P21" s="32">
        <v>1500</v>
      </c>
      <c r="Q21" s="36"/>
      <c r="R21" s="2"/>
      <c r="S21" s="2"/>
    </row>
    <row r="22" spans="1:19">
      <c r="A22" s="22" t="s">
        <v>59</v>
      </c>
      <c r="B22" s="8"/>
      <c r="C22" s="9"/>
      <c r="D22" s="9"/>
      <c r="E22" s="9"/>
      <c r="F22" s="9">
        <f>+D21</f>
        <v>3</v>
      </c>
      <c r="G22" s="9">
        <f>+F22+E21</f>
        <v>9</v>
      </c>
      <c r="H22" s="9">
        <f>+G22+F21</f>
        <v>20</v>
      </c>
      <c r="I22" s="9">
        <f>+H22+G21</f>
        <v>20</v>
      </c>
      <c r="J22" s="2"/>
      <c r="K22" s="2"/>
      <c r="L22" s="2"/>
      <c r="M22" s="2"/>
      <c r="N22" s="2"/>
      <c r="O22" s="2"/>
      <c r="P22" s="2"/>
      <c r="Q22" s="2"/>
      <c r="R22" s="2"/>
      <c r="S22" s="2"/>
    </row>
    <row r="23" spans="1:19">
      <c r="A23" s="39" t="s">
        <v>91</v>
      </c>
      <c r="B23" s="8"/>
      <c r="C23" s="10">
        <f>C21</f>
        <v>0</v>
      </c>
      <c r="D23" s="10">
        <f>C23+D21</f>
        <v>3</v>
      </c>
      <c r="E23" s="10">
        <f>+D23+E21</f>
        <v>9</v>
      </c>
      <c r="F23" s="10">
        <f>+E23+F21</f>
        <v>20</v>
      </c>
      <c r="G23" s="10">
        <f>+F23+G21</f>
        <v>20</v>
      </c>
      <c r="H23" s="10">
        <f>+G23+H21</f>
        <v>20</v>
      </c>
      <c r="I23" s="10">
        <f>+H23+I21</f>
        <v>20</v>
      </c>
      <c r="J23" s="2"/>
      <c r="K23" s="2"/>
      <c r="L23" s="2"/>
      <c r="M23" s="2"/>
      <c r="N23" s="2"/>
      <c r="O23" s="2"/>
      <c r="P23" s="2"/>
      <c r="Q23" s="2"/>
      <c r="R23" s="2"/>
      <c r="S23" s="2"/>
    </row>
    <row r="24" spans="1:19">
      <c r="A24" s="39" t="s">
        <v>51</v>
      </c>
      <c r="B24" s="8"/>
      <c r="C24" s="11">
        <f>+C20</f>
        <v>10</v>
      </c>
      <c r="D24" s="11">
        <f>+D20+C24</f>
        <v>20</v>
      </c>
      <c r="E24" s="11">
        <f t="shared" ref="E24:H24" si="1">+E20+D24</f>
        <v>30</v>
      </c>
      <c r="F24" s="11">
        <f t="shared" si="1"/>
        <v>40</v>
      </c>
      <c r="G24" s="11">
        <f>+G20+F24</f>
        <v>50</v>
      </c>
      <c r="H24" s="11">
        <f t="shared" si="1"/>
        <v>50</v>
      </c>
      <c r="I24" s="11">
        <f>+I20+H24</f>
        <v>50</v>
      </c>
      <c r="J24" s="2"/>
      <c r="K24" s="2"/>
      <c r="L24" s="2"/>
      <c r="M24" s="2"/>
      <c r="N24" s="2"/>
      <c r="O24" s="2"/>
      <c r="P24" s="2"/>
      <c r="Q24" s="2"/>
      <c r="R24" s="2"/>
      <c r="S24" s="2"/>
    </row>
    <row r="25" spans="1:19">
      <c r="A25" s="2"/>
      <c r="B25" s="2"/>
      <c r="C25" s="2"/>
      <c r="D25" s="2"/>
      <c r="E25" s="2"/>
      <c r="F25" s="2"/>
      <c r="G25" s="2"/>
      <c r="H25" s="2"/>
      <c r="I25" s="2"/>
      <c r="J25" s="2"/>
      <c r="K25" s="2"/>
      <c r="L25" s="2"/>
      <c r="M25" s="2"/>
      <c r="N25" s="2"/>
      <c r="O25" s="2"/>
      <c r="P25" s="2"/>
      <c r="Q25" s="2"/>
      <c r="R25" s="2"/>
      <c r="S25" s="2"/>
    </row>
    <row r="26" spans="1:19" ht="15.75" thickBot="1">
      <c r="A26" s="2"/>
      <c r="B26" s="12">
        <v>0</v>
      </c>
      <c r="C26" s="41">
        <v>1</v>
      </c>
      <c r="D26" s="41">
        <v>2</v>
      </c>
      <c r="E26" s="41">
        <v>3</v>
      </c>
      <c r="F26" s="41">
        <v>4</v>
      </c>
      <c r="G26" s="41">
        <v>5</v>
      </c>
      <c r="H26" s="41">
        <v>6</v>
      </c>
      <c r="I26" s="41">
        <v>7</v>
      </c>
      <c r="J26" s="2"/>
      <c r="K26" s="2"/>
      <c r="L26" s="2"/>
      <c r="M26" s="2"/>
      <c r="N26" s="2"/>
      <c r="O26" s="2"/>
      <c r="P26" s="2"/>
      <c r="Q26" s="2"/>
      <c r="R26" s="2"/>
      <c r="S26" s="2"/>
    </row>
    <row r="27" spans="1:19">
      <c r="A27" s="22" t="s">
        <v>81</v>
      </c>
      <c r="B27" s="40">
        <f>SUM(C27:I27)</f>
        <v>30</v>
      </c>
      <c r="C27" s="42">
        <v>10</v>
      </c>
      <c r="D27" s="43">
        <v>0</v>
      </c>
      <c r="E27" s="43">
        <v>10</v>
      </c>
      <c r="F27" s="43">
        <v>0</v>
      </c>
      <c r="G27" s="43">
        <v>10</v>
      </c>
      <c r="H27" s="43">
        <v>0</v>
      </c>
      <c r="I27" s="44">
        <v>0</v>
      </c>
      <c r="J27" s="2"/>
      <c r="K27" s="2"/>
      <c r="L27" s="2"/>
      <c r="M27" s="2"/>
      <c r="N27" s="2"/>
      <c r="O27" s="2"/>
      <c r="P27" s="2"/>
      <c r="Q27" s="2"/>
      <c r="R27" s="2"/>
      <c r="S27" s="2"/>
    </row>
    <row r="28" spans="1:19">
      <c r="A28" s="22" t="s">
        <v>84</v>
      </c>
      <c r="B28" s="40">
        <f>SUM(C28:I28)</f>
        <v>20</v>
      </c>
      <c r="C28" s="45">
        <v>0</v>
      </c>
      <c r="D28" s="3">
        <v>10</v>
      </c>
      <c r="E28" s="3">
        <v>0</v>
      </c>
      <c r="F28" s="3">
        <v>10</v>
      </c>
      <c r="G28" s="3">
        <v>0</v>
      </c>
      <c r="H28" s="3">
        <v>0</v>
      </c>
      <c r="I28" s="46">
        <v>0</v>
      </c>
      <c r="J28" s="2"/>
      <c r="K28" s="2"/>
      <c r="L28" s="2"/>
      <c r="M28" s="2"/>
      <c r="N28" s="2"/>
      <c r="O28" s="2"/>
      <c r="P28" s="2"/>
      <c r="Q28" s="2"/>
      <c r="R28" s="2"/>
      <c r="S28" s="2"/>
    </row>
    <row r="29" spans="1:19" ht="15.75" thickBot="1">
      <c r="A29" s="22" t="s">
        <v>82</v>
      </c>
      <c r="B29" s="40">
        <f>SUM(C29:I29)</f>
        <v>0</v>
      </c>
      <c r="C29" s="47">
        <v>0</v>
      </c>
      <c r="D29" s="48">
        <v>0</v>
      </c>
      <c r="E29" s="48">
        <v>0</v>
      </c>
      <c r="F29" s="48">
        <v>0</v>
      </c>
      <c r="G29" s="48">
        <v>0</v>
      </c>
      <c r="H29" s="48">
        <v>0</v>
      </c>
      <c r="I29" s="49">
        <v>0</v>
      </c>
      <c r="J29" s="2"/>
      <c r="K29" s="2"/>
      <c r="L29" s="2"/>
      <c r="M29" s="2"/>
      <c r="N29" s="2"/>
      <c r="O29" s="2"/>
      <c r="P29" s="2"/>
      <c r="Q29" s="2"/>
      <c r="R29" s="2"/>
      <c r="S29" s="2"/>
    </row>
    <row r="30" spans="1:19">
      <c r="A30" s="39" t="s">
        <v>97</v>
      </c>
      <c r="B30" s="5"/>
      <c r="C30" s="5">
        <f>+C27</f>
        <v>10</v>
      </c>
      <c r="D30" s="5">
        <f t="shared" ref="D30:I32" si="2">+C30+D27</f>
        <v>10</v>
      </c>
      <c r="E30" s="5">
        <f t="shared" si="2"/>
        <v>20</v>
      </c>
      <c r="F30" s="5">
        <f t="shared" si="2"/>
        <v>20</v>
      </c>
      <c r="G30" s="5">
        <f t="shared" si="2"/>
        <v>30</v>
      </c>
      <c r="H30" s="5">
        <f t="shared" si="2"/>
        <v>30</v>
      </c>
      <c r="I30" s="5">
        <f t="shared" si="2"/>
        <v>30</v>
      </c>
      <c r="J30" s="2"/>
      <c r="K30" s="2"/>
      <c r="L30" s="2"/>
      <c r="M30" s="2"/>
      <c r="N30" s="2"/>
      <c r="O30" s="2"/>
      <c r="P30" s="2"/>
      <c r="Q30" s="2"/>
      <c r="R30" s="2"/>
      <c r="S30" s="2"/>
    </row>
    <row r="31" spans="1:19">
      <c r="A31" s="39" t="s">
        <v>98</v>
      </c>
      <c r="B31" s="5"/>
      <c r="C31" s="5">
        <f>+C28</f>
        <v>0</v>
      </c>
      <c r="D31" s="5">
        <f t="shared" si="2"/>
        <v>10</v>
      </c>
      <c r="E31" s="5">
        <f t="shared" si="2"/>
        <v>10</v>
      </c>
      <c r="F31" s="5">
        <f t="shared" si="2"/>
        <v>20</v>
      </c>
      <c r="G31" s="5">
        <f t="shared" si="2"/>
        <v>20</v>
      </c>
      <c r="H31" s="5">
        <f t="shared" si="2"/>
        <v>20</v>
      </c>
      <c r="I31" s="5">
        <f t="shared" si="2"/>
        <v>20</v>
      </c>
      <c r="J31" s="2"/>
      <c r="K31" s="2"/>
      <c r="L31" s="2"/>
      <c r="M31" s="2"/>
      <c r="N31" s="2"/>
      <c r="O31" s="2"/>
      <c r="P31" s="2"/>
      <c r="Q31" s="2"/>
      <c r="R31" s="2"/>
      <c r="S31" s="2"/>
    </row>
    <row r="32" spans="1:19">
      <c r="A32" s="39" t="s">
        <v>99</v>
      </c>
      <c r="B32" s="5"/>
      <c r="C32" s="5">
        <f>+C29</f>
        <v>0</v>
      </c>
      <c r="D32" s="5">
        <f t="shared" si="2"/>
        <v>0</v>
      </c>
      <c r="E32" s="5">
        <f t="shared" si="2"/>
        <v>0</v>
      </c>
      <c r="F32" s="5">
        <f t="shared" si="2"/>
        <v>0</v>
      </c>
      <c r="G32" s="5">
        <f t="shared" si="2"/>
        <v>0</v>
      </c>
      <c r="H32" s="5">
        <f t="shared" si="2"/>
        <v>0</v>
      </c>
      <c r="I32" s="5">
        <f t="shared" si="2"/>
        <v>0</v>
      </c>
      <c r="J32" s="2"/>
      <c r="K32" s="2"/>
      <c r="L32" s="2"/>
      <c r="M32" s="2"/>
      <c r="N32" s="2"/>
      <c r="O32" s="2"/>
      <c r="P32" s="2"/>
      <c r="Q32" s="2"/>
      <c r="R32" s="2"/>
      <c r="S32" s="2"/>
    </row>
    <row r="33" spans="1:19">
      <c r="A33" s="22" t="s">
        <v>89</v>
      </c>
      <c r="B33" s="5">
        <f t="shared" ref="B33:I33" si="3">+SUM(B27:B29)</f>
        <v>50</v>
      </c>
      <c r="C33" s="5">
        <f t="shared" si="3"/>
        <v>10</v>
      </c>
      <c r="D33" s="5">
        <f t="shared" si="3"/>
        <v>10</v>
      </c>
      <c r="E33" s="5">
        <f t="shared" si="3"/>
        <v>10</v>
      </c>
      <c r="F33" s="5">
        <f t="shared" si="3"/>
        <v>10</v>
      </c>
      <c r="G33" s="5">
        <f t="shared" si="3"/>
        <v>10</v>
      </c>
      <c r="H33" s="5">
        <f t="shared" si="3"/>
        <v>0</v>
      </c>
      <c r="I33" s="5">
        <f t="shared" si="3"/>
        <v>0</v>
      </c>
      <c r="J33" s="2"/>
      <c r="K33" s="2"/>
      <c r="L33" s="2"/>
      <c r="M33" s="2"/>
      <c r="N33" s="2"/>
      <c r="O33" s="2"/>
      <c r="P33" s="2"/>
      <c r="Q33" s="2"/>
      <c r="R33" s="2"/>
      <c r="S33" s="2"/>
    </row>
    <row r="34" spans="1:19">
      <c r="A34" s="2"/>
      <c r="B34" s="2"/>
      <c r="C34" s="2"/>
      <c r="D34" s="2"/>
      <c r="E34" s="2"/>
      <c r="F34" s="2"/>
      <c r="G34" s="2"/>
      <c r="H34" s="2"/>
      <c r="I34" s="2"/>
      <c r="J34" s="2"/>
      <c r="K34" s="2"/>
      <c r="L34" s="2"/>
      <c r="M34" s="2"/>
      <c r="N34" s="2"/>
      <c r="O34" s="2"/>
      <c r="P34" s="2"/>
      <c r="Q34" s="2"/>
      <c r="R34" s="2"/>
      <c r="S34" s="2"/>
    </row>
    <row r="35" spans="1:19">
      <c r="A35" s="50" t="s">
        <v>8</v>
      </c>
      <c r="B35" s="50">
        <v>0</v>
      </c>
      <c r="C35" s="50">
        <v>1</v>
      </c>
      <c r="D35" s="50">
        <v>2</v>
      </c>
      <c r="E35" s="50">
        <v>3</v>
      </c>
      <c r="F35" s="50">
        <v>4</v>
      </c>
      <c r="G35" s="50">
        <v>5</v>
      </c>
      <c r="H35" s="50">
        <v>6</v>
      </c>
      <c r="I35" s="50">
        <v>7</v>
      </c>
      <c r="J35" s="54"/>
      <c r="K35" s="54"/>
      <c r="L35" s="54"/>
      <c r="M35" s="54"/>
      <c r="N35" s="2"/>
      <c r="O35" s="2"/>
      <c r="P35" s="2"/>
      <c r="Q35" s="2"/>
      <c r="R35" s="2"/>
      <c r="S35" s="2"/>
    </row>
    <row r="36" spans="1:19">
      <c r="A36" s="22" t="s">
        <v>21</v>
      </c>
      <c r="B36" s="51">
        <f>-L18</f>
        <v>-1802676</v>
      </c>
      <c r="C36" s="52"/>
      <c r="D36" s="52"/>
      <c r="E36" s="52"/>
      <c r="F36" s="52"/>
      <c r="G36" s="52"/>
      <c r="H36" s="52"/>
      <c r="I36" s="52"/>
      <c r="J36" s="2"/>
      <c r="K36" s="2"/>
      <c r="L36" s="2"/>
      <c r="M36" s="2"/>
      <c r="N36" s="2"/>
      <c r="O36" s="2"/>
      <c r="P36" s="2"/>
      <c r="Q36" s="2"/>
      <c r="R36" s="2"/>
      <c r="S36" s="2"/>
    </row>
    <row r="37" spans="1:19">
      <c r="A37" s="22" t="s">
        <v>46</v>
      </c>
      <c r="B37" s="52"/>
      <c r="C37" s="52">
        <v>0</v>
      </c>
      <c r="D37" s="52">
        <f>+$P$20*B21</f>
        <v>0</v>
      </c>
      <c r="E37" s="52">
        <f>+C21*($P$20/4)</f>
        <v>0</v>
      </c>
      <c r="F37" s="52">
        <f>+F22*($P$20/4)</f>
        <v>3750</v>
      </c>
      <c r="G37" s="52">
        <f>+G22*($P$20/4)</f>
        <v>11250</v>
      </c>
      <c r="H37" s="52">
        <f>+H22*($P$20/4)</f>
        <v>25000</v>
      </c>
      <c r="I37" s="52">
        <f>+I22*($P$20/4)</f>
        <v>25000</v>
      </c>
      <c r="J37" s="2"/>
      <c r="K37" s="2"/>
      <c r="L37" s="2"/>
      <c r="M37" s="2"/>
      <c r="N37" s="2"/>
      <c r="O37" s="2"/>
      <c r="P37" s="2"/>
      <c r="Q37" s="2"/>
      <c r="R37" s="2"/>
      <c r="S37" s="2"/>
    </row>
    <row r="38" spans="1:19">
      <c r="A38" s="22" t="s">
        <v>47</v>
      </c>
      <c r="B38" s="52"/>
      <c r="C38" s="52">
        <v>0</v>
      </c>
      <c r="D38" s="52">
        <f t="shared" ref="D38:I38" si="4">+$P$21*B23</f>
        <v>0</v>
      </c>
      <c r="E38" s="52">
        <f t="shared" si="4"/>
        <v>0</v>
      </c>
      <c r="F38" s="52">
        <f t="shared" si="4"/>
        <v>4500</v>
      </c>
      <c r="G38" s="52">
        <f t="shared" si="4"/>
        <v>13500</v>
      </c>
      <c r="H38" s="52">
        <f t="shared" si="4"/>
        <v>30000</v>
      </c>
      <c r="I38" s="52">
        <f t="shared" si="4"/>
        <v>30000</v>
      </c>
      <c r="J38" s="2"/>
      <c r="K38" s="2"/>
      <c r="L38" s="2"/>
      <c r="M38" s="2"/>
      <c r="N38" s="2"/>
      <c r="O38" s="2"/>
      <c r="P38" s="2"/>
      <c r="Q38" s="2"/>
      <c r="R38" s="2"/>
      <c r="S38" s="2"/>
    </row>
    <row r="39" spans="1:19">
      <c r="A39" s="22" t="s">
        <v>120</v>
      </c>
      <c r="B39" s="52"/>
      <c r="C39" s="53">
        <f>+C42*0.33</f>
        <v>31406.896551724145</v>
      </c>
      <c r="D39" s="53">
        <f>+C39*(1+$B$3)</f>
        <v>33919.44827586208</v>
      </c>
      <c r="E39" s="53">
        <f>+D39*(1+$B$3)</f>
        <v>36633.00413793105</v>
      </c>
      <c r="F39" s="53">
        <f t="shared" ref="F39:I39" si="5">+E39*(1+$B$3)</f>
        <v>39563.644468965533</v>
      </c>
      <c r="G39" s="53">
        <f t="shared" si="5"/>
        <v>42728.73602648278</v>
      </c>
      <c r="H39" s="53">
        <f t="shared" si="5"/>
        <v>46147.034908601403</v>
      </c>
      <c r="I39" s="53">
        <f t="shared" si="5"/>
        <v>49838.797701289521</v>
      </c>
      <c r="J39" s="2"/>
      <c r="K39" s="2"/>
      <c r="L39" s="2"/>
      <c r="M39" s="2"/>
      <c r="N39" s="2"/>
      <c r="O39" s="2"/>
      <c r="P39" s="2"/>
      <c r="Q39" s="2"/>
      <c r="R39" s="2"/>
      <c r="S39" s="2"/>
    </row>
    <row r="40" spans="1:19">
      <c r="A40" s="22" t="s">
        <v>121</v>
      </c>
      <c r="B40" s="52"/>
      <c r="C40" s="53">
        <f>+C42*0.44</f>
        <v>41875.862068965522</v>
      </c>
      <c r="D40" s="53">
        <f t="shared" ref="D40" si="6">+D42*0.44</f>
        <v>97688.011034482784</v>
      </c>
      <c r="E40" s="53">
        <f>+E42*0.44</f>
        <v>158254.5778758621</v>
      </c>
      <c r="F40" s="53">
        <f>+F42*0.44</f>
        <v>227886.59214124148</v>
      </c>
      <c r="G40" s="53">
        <f>+G42*0.44</f>
        <v>307646.89939067594</v>
      </c>
      <c r="H40" s="53">
        <f>+H42*0.44</f>
        <v>332258.65134193009</v>
      </c>
      <c r="I40" s="53">
        <f>+I42*0.44</f>
        <v>358839.3434492845</v>
      </c>
      <c r="J40" s="2"/>
      <c r="K40" s="2"/>
      <c r="L40" s="2"/>
      <c r="M40" s="2"/>
      <c r="N40" s="2"/>
      <c r="O40" s="2"/>
      <c r="P40" s="2"/>
      <c r="Q40" s="2"/>
      <c r="R40" s="2"/>
      <c r="S40" s="2"/>
    </row>
    <row r="41" spans="1:19">
      <c r="A41" s="22" t="s">
        <v>119</v>
      </c>
      <c r="B41" s="52"/>
      <c r="C41" s="52">
        <v>0</v>
      </c>
      <c r="D41" s="52">
        <v>0</v>
      </c>
      <c r="E41" s="53">
        <f>+('Expected sales for bikes'!J2*'Pesimistic scenario'!$B$9*(1-'Expected sales for bikes'!M4))*0.75</f>
        <v>263466</v>
      </c>
      <c r="F41" s="53">
        <f>+('Expected sales for bikes'!K2*'Pesimistic scenario'!$B$9*(1-'Expected sales for bikes'!M4))*0.75</f>
        <v>237589.875</v>
      </c>
      <c r="G41" s="53">
        <f>+('Expected sales for bikes'!L2*'Pesimistic scenario'!$B$9*(1-'Expected sales for bikes'!M4))*0.75</f>
        <v>216418.5</v>
      </c>
      <c r="H41" s="53">
        <f>+('Expected sales for bikes'!M2*'Pesimistic scenario'!$B$9)*0.75</f>
        <v>263466</v>
      </c>
      <c r="I41" s="53">
        <f>+('Expected sales for bikes'!N2*'Pesimistic scenario'!$B$9)*0.75</f>
        <v>533205</v>
      </c>
      <c r="J41" s="2"/>
      <c r="K41" s="2"/>
      <c r="L41" s="2"/>
      <c r="M41" s="2"/>
      <c r="N41" s="2"/>
      <c r="O41" s="2"/>
      <c r="P41" s="2"/>
      <c r="Q41" s="2"/>
      <c r="R41" s="2"/>
      <c r="S41" s="2"/>
    </row>
    <row r="42" spans="1:19">
      <c r="A42" s="22" t="s">
        <v>31</v>
      </c>
      <c r="B42" s="52"/>
      <c r="C42" s="53">
        <f>+($B$8*$B$7*365*C24)</f>
        <v>95172.413793103464</v>
      </c>
      <c r="D42" s="53">
        <f t="shared" ref="D42:I42" si="7">+($B$8*$B$7*365*D24)*((1+$B$3)^D35)</f>
        <v>222018.20689655177</v>
      </c>
      <c r="E42" s="53">
        <f t="shared" si="7"/>
        <v>359669.49517241388</v>
      </c>
      <c r="F42" s="53">
        <f t="shared" si="7"/>
        <v>517924.07304827607</v>
      </c>
      <c r="G42" s="53">
        <f t="shared" si="7"/>
        <v>699197.49861517258</v>
      </c>
      <c r="H42" s="53">
        <f>+($B$8*$B$7*365*H24)*((1+$B$3)^H35)</f>
        <v>755133.29850438656</v>
      </c>
      <c r="I42" s="53">
        <f t="shared" si="7"/>
        <v>815543.96238473745</v>
      </c>
      <c r="J42" s="2"/>
      <c r="K42" s="2"/>
      <c r="L42" s="2"/>
      <c r="M42" s="2"/>
      <c r="N42" s="2"/>
      <c r="O42" s="2"/>
      <c r="P42" s="2"/>
      <c r="Q42" s="2"/>
      <c r="R42" s="2"/>
      <c r="S42" s="2"/>
    </row>
    <row r="43" spans="1:19">
      <c r="A43" s="22" t="s">
        <v>9</v>
      </c>
      <c r="B43" s="52"/>
      <c r="C43" s="52">
        <f>+C36/$F$11</f>
        <v>0</v>
      </c>
      <c r="D43" s="52">
        <f>+C36/$F$11</f>
        <v>0</v>
      </c>
      <c r="E43" s="52">
        <f>+D36/$F$11</f>
        <v>0</v>
      </c>
      <c r="F43" s="52">
        <v>0</v>
      </c>
      <c r="G43" s="52">
        <v>0</v>
      </c>
      <c r="H43" s="52">
        <v>0</v>
      </c>
      <c r="I43" s="52">
        <v>0</v>
      </c>
      <c r="J43" s="2"/>
      <c r="K43" s="2"/>
      <c r="L43" s="2"/>
      <c r="M43" s="2"/>
      <c r="N43" s="2"/>
      <c r="O43" s="2"/>
      <c r="P43" s="2"/>
      <c r="Q43" s="2"/>
      <c r="R43" s="2"/>
      <c r="S43" s="2"/>
    </row>
    <row r="44" spans="1:19">
      <c r="A44" s="22" t="s">
        <v>38</v>
      </c>
      <c r="B44" s="54"/>
      <c r="C44" s="52">
        <f>-((C30*$P$7)+(C31*$P$12)+(C32*$P$17))*(1+$P$18)^C35</f>
        <v>-13650</v>
      </c>
      <c r="D44" s="52">
        <f>-((D30*$P$7)+(D31*$P$12)+(D32*$P$17))*(1+$P$18)^D35</f>
        <v>-31631.827499999999</v>
      </c>
      <c r="E44" s="52">
        <f>-((E30*$P$7)+(E31*$P$12)+(E32*$P$17))*(1+$P$18)^E35</f>
        <v>-48262.543875000003</v>
      </c>
      <c r="F44" s="52">
        <f>-((F30*$P$7)+(F31*$P$12)+(F32*$P$17))*(1+$P$18)^F35</f>
        <v>-69748.179637499998</v>
      </c>
      <c r="G44" s="52">
        <f t="shared" ref="G44:I44" si="8">-((G30*$P$7)+(G31*$P$12)+(G32*$P$17))*(1+$P$18)^G35</f>
        <v>-89827.248931875016</v>
      </c>
      <c r="H44" s="52">
        <f t="shared" si="8"/>
        <v>-94318.611378468748</v>
      </c>
      <c r="I44" s="52">
        <f t="shared" si="8"/>
        <v>-99034.541947392208</v>
      </c>
      <c r="J44" s="2"/>
      <c r="K44" s="2"/>
      <c r="L44" s="2"/>
      <c r="M44" s="2"/>
      <c r="N44" s="2"/>
      <c r="O44" s="2"/>
      <c r="P44" s="2"/>
      <c r="Q44" s="2"/>
      <c r="R44" s="2"/>
      <c r="S44" s="2"/>
    </row>
    <row r="45" spans="1:19">
      <c r="A45" s="22" t="s">
        <v>10</v>
      </c>
      <c r="B45" s="52">
        <f t="shared" ref="B45:I45" si="9">SUM(B36:B44)</f>
        <v>-1802676</v>
      </c>
      <c r="C45" s="52">
        <f t="shared" si="9"/>
        <v>154805.17241379313</v>
      </c>
      <c r="D45" s="52">
        <f t="shared" si="9"/>
        <v>321993.83870689664</v>
      </c>
      <c r="E45" s="52">
        <f t="shared" si="9"/>
        <v>769760.53331120708</v>
      </c>
      <c r="F45" s="52">
        <f t="shared" si="9"/>
        <v>961466.00502098317</v>
      </c>
      <c r="G45" s="52">
        <f t="shared" si="9"/>
        <v>1200914.3851004564</v>
      </c>
      <c r="H45" s="52">
        <f t="shared" si="9"/>
        <v>1357686.3733764493</v>
      </c>
      <c r="I45" s="52">
        <f t="shared" si="9"/>
        <v>1713392.561587919</v>
      </c>
      <c r="J45" s="2"/>
      <c r="K45" s="2"/>
      <c r="L45" s="2"/>
      <c r="M45" s="2"/>
      <c r="N45" s="2"/>
      <c r="O45" s="2"/>
      <c r="P45" s="2"/>
      <c r="Q45" s="2"/>
      <c r="R45" s="2"/>
      <c r="S45" s="2"/>
    </row>
    <row r="46" spans="1:19">
      <c r="A46" s="22" t="s">
        <v>11</v>
      </c>
      <c r="B46" s="52">
        <f>+IF(B45&gt;0,B45*$F$3,0)</f>
        <v>0</v>
      </c>
      <c r="C46" s="52">
        <f>-IF(C45&gt;0,C45*$F$3,0)</f>
        <v>-61922.068965517254</v>
      </c>
      <c r="D46" s="52">
        <f>-IF(D45&gt;0,D45*$F$3,0)</f>
        <v>-128797.53548275866</v>
      </c>
      <c r="E46" s="52">
        <f t="shared" ref="E46:I46" si="10">-IF(E45&gt;0,E45*$F$3,0)</f>
        <v>-307904.21332448284</v>
      </c>
      <c r="F46" s="52">
        <f t="shared" si="10"/>
        <v>-384586.40200839331</v>
      </c>
      <c r="G46" s="52">
        <f t="shared" si="10"/>
        <v>-480365.75404018257</v>
      </c>
      <c r="H46" s="52">
        <f t="shared" si="10"/>
        <v>-543074.54935057973</v>
      </c>
      <c r="I46" s="52">
        <f t="shared" si="10"/>
        <v>-685357.02463516768</v>
      </c>
      <c r="J46" s="2"/>
      <c r="K46" s="2"/>
      <c r="L46" s="2"/>
      <c r="M46" s="2"/>
      <c r="N46" s="2"/>
      <c r="O46" s="2"/>
      <c r="P46" s="2"/>
      <c r="Q46" s="2"/>
      <c r="R46" s="2"/>
      <c r="S46" s="2"/>
    </row>
    <row r="47" spans="1:19">
      <c r="A47" s="22" t="s">
        <v>12</v>
      </c>
      <c r="B47" s="52">
        <f>B45+B46</f>
        <v>-1802676</v>
      </c>
      <c r="C47" s="52">
        <f>C45+C46</f>
        <v>92883.103448275884</v>
      </c>
      <c r="D47" s="52">
        <f t="shared" ref="D47:I47" si="11">D45+D46</f>
        <v>193196.30322413798</v>
      </c>
      <c r="E47" s="52">
        <f t="shared" si="11"/>
        <v>461856.31998672424</v>
      </c>
      <c r="F47" s="52">
        <f t="shared" si="11"/>
        <v>576879.60301258985</v>
      </c>
      <c r="G47" s="52">
        <f t="shared" si="11"/>
        <v>720548.63106027385</v>
      </c>
      <c r="H47" s="52">
        <f t="shared" si="11"/>
        <v>814611.8240258696</v>
      </c>
      <c r="I47" s="52">
        <f t="shared" si="11"/>
        <v>1028035.5369527513</v>
      </c>
      <c r="J47" s="2"/>
      <c r="K47" s="2"/>
      <c r="L47" s="2"/>
      <c r="M47" s="2"/>
      <c r="N47" s="2"/>
      <c r="O47" s="2"/>
      <c r="P47" s="2"/>
      <c r="Q47" s="2"/>
      <c r="R47" s="2"/>
      <c r="S47" s="2"/>
    </row>
    <row r="48" spans="1:19">
      <c r="A48" s="22" t="s">
        <v>13</v>
      </c>
      <c r="B48" s="55">
        <f>+B36</f>
        <v>-1802676</v>
      </c>
      <c r="C48" s="55">
        <f>+C47-C43</f>
        <v>92883.103448275884</v>
      </c>
      <c r="D48" s="55">
        <f t="shared" ref="D48:I48" si="12">+D47-D43</f>
        <v>193196.30322413798</v>
      </c>
      <c r="E48" s="55">
        <f t="shared" si="12"/>
        <v>461856.31998672424</v>
      </c>
      <c r="F48" s="55">
        <f t="shared" si="12"/>
        <v>576879.60301258985</v>
      </c>
      <c r="G48" s="55">
        <f t="shared" si="12"/>
        <v>720548.63106027385</v>
      </c>
      <c r="H48" s="55">
        <f t="shared" si="12"/>
        <v>814611.8240258696</v>
      </c>
      <c r="I48" s="55">
        <f t="shared" si="12"/>
        <v>1028035.5369527513</v>
      </c>
      <c r="J48" s="2"/>
      <c r="K48" s="2"/>
      <c r="L48" s="2"/>
      <c r="M48" s="2"/>
      <c r="N48" s="2"/>
      <c r="O48" s="2"/>
      <c r="P48" s="2"/>
      <c r="Q48" s="2"/>
      <c r="R48" s="2"/>
      <c r="S48" s="2"/>
    </row>
    <row r="49" spans="1:19">
      <c r="A49" s="22" t="s">
        <v>14</v>
      </c>
      <c r="B49" s="52">
        <f>B48</f>
        <v>-1802676</v>
      </c>
      <c r="C49" s="52">
        <f>B49+C48</f>
        <v>-1709792.8965517241</v>
      </c>
      <c r="D49" s="52">
        <f>C49+D48</f>
        <v>-1516596.5933275861</v>
      </c>
      <c r="E49" s="52">
        <f t="shared" ref="E49:H49" si="13">D49+E48</f>
        <v>-1054740.2733408618</v>
      </c>
      <c r="F49" s="52">
        <f t="shared" si="13"/>
        <v>-477860.67032827192</v>
      </c>
      <c r="G49" s="52">
        <f t="shared" si="13"/>
        <v>242687.96073200193</v>
      </c>
      <c r="H49" s="52">
        <f t="shared" si="13"/>
        <v>1057299.7847578716</v>
      </c>
      <c r="I49" s="52">
        <f>H49+I48</f>
        <v>2085335.3217106229</v>
      </c>
      <c r="J49" s="2"/>
      <c r="K49" s="2"/>
      <c r="L49" s="2"/>
      <c r="M49" s="2"/>
      <c r="N49" s="2"/>
      <c r="O49" s="2"/>
      <c r="P49" s="2"/>
      <c r="Q49" s="2"/>
      <c r="R49" s="2"/>
      <c r="S49" s="2"/>
    </row>
    <row r="50" spans="1:19">
      <c r="A50" s="22" t="s">
        <v>15</v>
      </c>
      <c r="B50" s="52">
        <f t="shared" ref="B50:I50" si="14">B48/((1+$F$8)^B35)</f>
        <v>-1802676</v>
      </c>
      <c r="C50" s="52">
        <f t="shared" si="14"/>
        <v>80487.957927448777</v>
      </c>
      <c r="D50" s="52">
        <f t="shared" si="14"/>
        <v>145073.20121117265</v>
      </c>
      <c r="E50" s="52">
        <f t="shared" si="14"/>
        <v>300531.13004067278</v>
      </c>
      <c r="F50" s="52">
        <f t="shared" si="14"/>
        <v>325283.43569762073</v>
      </c>
      <c r="G50" s="52">
        <f t="shared" si="14"/>
        <v>352074.2423054942</v>
      </c>
      <c r="H50" s="52">
        <f t="shared" si="14"/>
        <v>344917.99796616292</v>
      </c>
      <c r="I50" s="52">
        <f t="shared" si="14"/>
        <v>377196.33630329167</v>
      </c>
      <c r="J50" s="2"/>
      <c r="K50" s="2"/>
      <c r="L50" s="2"/>
      <c r="M50" s="2"/>
      <c r="N50" s="2"/>
      <c r="O50" s="2"/>
      <c r="P50" s="2"/>
      <c r="Q50" s="2"/>
      <c r="R50" s="2"/>
      <c r="S50" s="2"/>
    </row>
    <row r="51" spans="1:19">
      <c r="A51" s="22" t="s">
        <v>16</v>
      </c>
      <c r="B51" s="52">
        <f>+B50</f>
        <v>-1802676</v>
      </c>
      <c r="C51" s="52">
        <f t="shared" ref="C51:I51" si="15">+B51+C50</f>
        <v>-1722188.0420725513</v>
      </c>
      <c r="D51" s="52">
        <f t="shared" si="15"/>
        <v>-1577114.8408613787</v>
      </c>
      <c r="E51" s="52">
        <f t="shared" si="15"/>
        <v>-1276583.7108207059</v>
      </c>
      <c r="F51" s="52">
        <f t="shared" si="15"/>
        <v>-951300.27512308513</v>
      </c>
      <c r="G51" s="52">
        <f t="shared" si="15"/>
        <v>-599226.03281759098</v>
      </c>
      <c r="H51" s="52">
        <f t="shared" si="15"/>
        <v>-254308.03485142806</v>
      </c>
      <c r="I51" s="52">
        <f t="shared" si="15"/>
        <v>122888.3014518636</v>
      </c>
      <c r="J51" s="2"/>
      <c r="K51" s="2"/>
      <c r="L51" s="2"/>
      <c r="M51" s="2"/>
      <c r="N51" s="2"/>
      <c r="O51" s="2"/>
      <c r="P51" s="2"/>
      <c r="Q51" s="2"/>
      <c r="R51" s="2"/>
      <c r="S51" s="2"/>
    </row>
    <row r="52" spans="1:19" ht="15.75" thickBot="1">
      <c r="A52" s="2"/>
      <c r="B52" s="2"/>
      <c r="C52" s="2"/>
      <c r="D52" s="2"/>
      <c r="E52" s="2"/>
      <c r="F52" s="2"/>
      <c r="G52" s="2"/>
      <c r="H52" s="2"/>
      <c r="I52" s="2"/>
      <c r="J52" s="2"/>
      <c r="K52" s="2"/>
      <c r="L52" s="2"/>
      <c r="M52" s="2"/>
      <c r="N52" s="2"/>
      <c r="O52" s="2"/>
      <c r="P52" s="2"/>
      <c r="Q52" s="2"/>
      <c r="R52" s="2"/>
      <c r="S52" s="2"/>
    </row>
    <row r="53" spans="1:19" ht="15.75" thickBot="1">
      <c r="A53" s="23" t="s">
        <v>17</v>
      </c>
      <c r="B53" s="14">
        <f>+SUM(B50:I50)</f>
        <v>122888.3014518636</v>
      </c>
      <c r="C53" s="15" t="s">
        <v>53</v>
      </c>
      <c r="D53" s="2"/>
      <c r="E53" s="2"/>
      <c r="F53" s="2"/>
      <c r="G53" s="2"/>
      <c r="H53" s="2"/>
      <c r="I53" s="2"/>
      <c r="J53" s="2"/>
      <c r="K53" s="2"/>
      <c r="L53" s="2"/>
      <c r="M53" s="2"/>
      <c r="N53" s="2"/>
      <c r="O53" s="2"/>
      <c r="P53" s="2"/>
      <c r="Q53" s="2"/>
      <c r="R53" s="2"/>
      <c r="S53" s="2"/>
    </row>
    <row r="54" spans="1:19" ht="15.75" thickBot="1">
      <c r="A54" s="23" t="s">
        <v>18</v>
      </c>
      <c r="B54" s="16">
        <f>+IRR(B48:I48)</f>
        <v>0.17039287353112176</v>
      </c>
      <c r="C54" s="15" t="s">
        <v>52</v>
      </c>
      <c r="D54" s="2"/>
      <c r="E54" s="2"/>
      <c r="F54" s="2"/>
      <c r="G54" s="2"/>
      <c r="H54" s="2"/>
      <c r="I54" s="2"/>
      <c r="J54" s="2"/>
      <c r="K54" s="2"/>
      <c r="L54" s="2"/>
      <c r="M54" s="2"/>
      <c r="N54" s="2"/>
      <c r="O54" s="2"/>
      <c r="P54" s="2"/>
      <c r="Q54" s="2"/>
      <c r="R54" s="2"/>
      <c r="S54" s="2"/>
    </row>
    <row r="55" spans="1:19" ht="15.75" thickBot="1">
      <c r="A55" s="23" t="s">
        <v>19</v>
      </c>
      <c r="B55" s="17">
        <f>+ABS(SUMIF(B50:I50,"&gt;0")/SUMIF(B50:I50,"&lt;0"))</f>
        <v>1.0681699326178766</v>
      </c>
      <c r="C55" s="15" t="s">
        <v>54</v>
      </c>
      <c r="D55" s="2"/>
      <c r="E55" s="2"/>
      <c r="F55" s="2"/>
      <c r="G55" s="2"/>
      <c r="H55" s="2"/>
      <c r="I55" s="2"/>
      <c r="J55" s="2"/>
      <c r="K55" s="2"/>
      <c r="L55" s="2"/>
      <c r="M55" s="2"/>
      <c r="N55" s="2"/>
      <c r="O55" s="2"/>
      <c r="P55" s="2"/>
      <c r="Q55" s="2"/>
      <c r="R55" s="2"/>
      <c r="S55" s="2"/>
    </row>
    <row r="56" spans="1:19" ht="15.75" thickBot="1">
      <c r="A56" s="23" t="s">
        <v>20</v>
      </c>
      <c r="B56" s="16">
        <f>+(SUM(C48:I48)+B48)/ABS(B48)</f>
        <v>1.1567998473994341</v>
      </c>
      <c r="C56" s="15" t="s">
        <v>56</v>
      </c>
      <c r="D56" s="2"/>
      <c r="E56" s="2"/>
      <c r="F56" s="2"/>
      <c r="G56" s="2"/>
      <c r="H56" s="2"/>
      <c r="I56" s="2"/>
      <c r="J56" s="2"/>
      <c r="K56" s="2"/>
      <c r="L56" s="2"/>
      <c r="M56" s="2"/>
      <c r="N56" s="2"/>
      <c r="O56" s="2"/>
      <c r="P56" s="2"/>
      <c r="Q56" s="2"/>
      <c r="R56" s="2"/>
      <c r="S56" s="2"/>
    </row>
    <row r="57" spans="1:19">
      <c r="A57" s="2"/>
      <c r="B57" s="2"/>
      <c r="C57" s="2"/>
      <c r="D57" s="2"/>
      <c r="E57" s="2"/>
      <c r="F57" s="2"/>
      <c r="G57" s="2"/>
      <c r="H57" s="2"/>
      <c r="I57" s="2"/>
      <c r="J57" s="2"/>
      <c r="K57" s="2"/>
      <c r="L57" s="2"/>
      <c r="M57" s="2"/>
      <c r="N57" s="2"/>
      <c r="O57" s="2"/>
      <c r="P57" s="2"/>
      <c r="Q57" s="2"/>
      <c r="R57" s="2"/>
      <c r="S57" s="2"/>
    </row>
    <row r="58" spans="1:19">
      <c r="A58" s="2"/>
      <c r="B58" s="2"/>
      <c r="C58" s="2"/>
      <c r="D58" s="2"/>
      <c r="E58" s="2"/>
      <c r="F58" s="2"/>
      <c r="G58" s="2"/>
      <c r="H58" s="2"/>
      <c r="I58" s="2"/>
      <c r="J58" s="2"/>
      <c r="K58" s="2"/>
      <c r="L58" s="2"/>
      <c r="M58" s="2"/>
      <c r="N58" s="2"/>
      <c r="O58" s="2"/>
      <c r="P58" s="2"/>
      <c r="Q58" s="2"/>
      <c r="R58" s="2"/>
      <c r="S58" s="2"/>
    </row>
    <row r="59" spans="1:19">
      <c r="A59" s="65" t="s">
        <v>39</v>
      </c>
      <c r="B59" s="66"/>
      <c r="C59" s="66"/>
      <c r="D59" s="66"/>
      <c r="E59" s="66"/>
      <c r="F59" s="66"/>
      <c r="G59" s="66"/>
      <c r="H59" s="66"/>
      <c r="I59" s="67"/>
      <c r="J59" s="2"/>
      <c r="K59" s="2"/>
      <c r="L59" s="2"/>
      <c r="M59" s="2"/>
      <c r="N59" s="2"/>
      <c r="O59" s="2"/>
      <c r="P59" s="2"/>
      <c r="Q59" s="2"/>
      <c r="R59" s="2"/>
      <c r="S59" s="2"/>
    </row>
    <row r="60" spans="1:19" ht="15" hidden="1" customHeight="1">
      <c r="A60" s="18" t="s">
        <v>36</v>
      </c>
      <c r="B60" s="2"/>
      <c r="C60" s="19">
        <f>+B3</f>
        <v>0.08</v>
      </c>
      <c r="D60" s="19">
        <f>+C60</f>
        <v>0.08</v>
      </c>
      <c r="E60" s="19">
        <f t="shared" ref="E60:F60" si="16">+D60</f>
        <v>0.08</v>
      </c>
      <c r="F60" s="19">
        <f t="shared" si="16"/>
        <v>0.08</v>
      </c>
      <c r="G60" s="2"/>
      <c r="H60" s="2"/>
      <c r="I60" s="2"/>
      <c r="J60" s="2"/>
      <c r="K60" s="2"/>
      <c r="L60" s="2"/>
      <c r="M60" s="2"/>
      <c r="N60" s="2"/>
      <c r="O60" s="2"/>
      <c r="P60" s="2"/>
      <c r="Q60" s="2"/>
      <c r="R60" s="2"/>
      <c r="S60" s="2"/>
    </row>
    <row r="61" spans="1:19" ht="15" customHeight="1">
      <c r="A61" s="18"/>
      <c r="B61" s="2"/>
      <c r="C61" s="19"/>
      <c r="D61" s="19"/>
      <c r="E61" s="19"/>
      <c r="F61" s="19"/>
      <c r="G61" s="2"/>
      <c r="H61" s="2"/>
      <c r="I61" s="2"/>
      <c r="J61" s="2"/>
      <c r="K61" s="2"/>
      <c r="L61" s="2"/>
      <c r="M61" s="2"/>
      <c r="N61" s="2"/>
      <c r="O61" s="2"/>
      <c r="P61" s="2"/>
      <c r="Q61" s="2"/>
      <c r="R61" s="2"/>
      <c r="S61" s="2"/>
    </row>
    <row r="62" spans="1:19">
      <c r="A62" s="12" t="s">
        <v>8</v>
      </c>
      <c r="B62" s="12">
        <v>0</v>
      </c>
      <c r="C62" s="12">
        <v>1</v>
      </c>
      <c r="D62" s="12">
        <v>2</v>
      </c>
      <c r="E62" s="12">
        <v>3</v>
      </c>
      <c r="F62" s="12">
        <v>4</v>
      </c>
      <c r="G62" s="12">
        <v>5</v>
      </c>
      <c r="H62" s="12">
        <v>6</v>
      </c>
      <c r="I62" s="12">
        <v>7</v>
      </c>
      <c r="J62" s="2"/>
      <c r="K62" s="2"/>
      <c r="L62" s="2"/>
      <c r="M62" s="2"/>
      <c r="N62" s="2"/>
      <c r="O62" s="2"/>
      <c r="P62" s="2"/>
      <c r="Q62" s="2"/>
      <c r="R62" s="2"/>
      <c r="S62" s="2"/>
    </row>
    <row r="63" spans="1:19">
      <c r="A63" s="22" t="s">
        <v>21</v>
      </c>
      <c r="B63" s="20">
        <f>-(L5+(L7*SUM(B10:B11)))</f>
        <v>-15850</v>
      </c>
      <c r="C63" s="13"/>
      <c r="D63" s="13"/>
      <c r="E63" s="13"/>
      <c r="F63" s="13"/>
      <c r="G63" s="13"/>
      <c r="H63" s="13"/>
      <c r="I63" s="13"/>
      <c r="J63" s="2"/>
      <c r="K63" s="2"/>
      <c r="L63" s="2"/>
      <c r="M63" s="2"/>
      <c r="N63" s="2"/>
      <c r="O63" s="2"/>
      <c r="P63" s="2"/>
      <c r="Q63" s="2"/>
      <c r="R63" s="2"/>
      <c r="S63" s="2"/>
    </row>
    <row r="64" spans="1:19">
      <c r="A64" s="22" t="s">
        <v>45</v>
      </c>
      <c r="B64" s="13"/>
      <c r="C64" s="13"/>
      <c r="D64" s="13">
        <f>-$P$20/4</f>
        <v>-1250</v>
      </c>
      <c r="E64" s="13">
        <f>-$P$20/4</f>
        <v>-1250</v>
      </c>
      <c r="F64" s="13">
        <f>-$P$20/4</f>
        <v>-1250</v>
      </c>
      <c r="G64" s="13">
        <f>-$P$20/4</f>
        <v>-1250</v>
      </c>
      <c r="H64" s="13"/>
      <c r="I64" s="13"/>
      <c r="J64" s="2"/>
      <c r="K64" s="2"/>
      <c r="L64" s="2"/>
      <c r="M64" s="2"/>
      <c r="N64" s="2"/>
      <c r="O64" s="2"/>
      <c r="P64" s="2"/>
      <c r="Q64" s="2"/>
      <c r="R64" s="2"/>
      <c r="S64" s="2"/>
    </row>
    <row r="65" spans="1:19">
      <c r="A65" s="22" t="s">
        <v>50</v>
      </c>
      <c r="B65" s="13"/>
      <c r="C65" s="13"/>
      <c r="D65" s="13">
        <f t="shared" ref="D65:I65" si="17">-$P$21</f>
        <v>-1500</v>
      </c>
      <c r="E65" s="13">
        <f t="shared" si="17"/>
        <v>-1500</v>
      </c>
      <c r="F65" s="13">
        <f t="shared" si="17"/>
        <v>-1500</v>
      </c>
      <c r="G65" s="13">
        <f t="shared" si="17"/>
        <v>-1500</v>
      </c>
      <c r="H65" s="13">
        <f t="shared" si="17"/>
        <v>-1500</v>
      </c>
      <c r="I65" s="13">
        <f t="shared" si="17"/>
        <v>-1500</v>
      </c>
      <c r="J65" s="2"/>
      <c r="K65" s="2"/>
      <c r="L65" s="2"/>
      <c r="M65" s="2"/>
      <c r="N65" s="2"/>
      <c r="O65" s="2"/>
      <c r="P65" s="2"/>
      <c r="Q65" s="2"/>
      <c r="R65" s="2"/>
      <c r="S65" s="2"/>
    </row>
    <row r="66" spans="1:19">
      <c r="A66" s="22" t="s">
        <v>48</v>
      </c>
      <c r="B66" s="13"/>
      <c r="C66" s="13"/>
      <c r="D66" s="13"/>
      <c r="E66" s="13"/>
      <c r="F66" s="13"/>
      <c r="G66" s="13"/>
      <c r="H66" s="13"/>
      <c r="I66" s="13"/>
      <c r="J66" s="2"/>
      <c r="K66" s="2"/>
      <c r="L66" s="2"/>
      <c r="M66" s="2"/>
      <c r="N66" s="2"/>
      <c r="O66" s="2"/>
      <c r="P66" s="2"/>
      <c r="Q66" s="2"/>
      <c r="R66" s="2"/>
      <c r="S66" s="2"/>
    </row>
    <row r="67" spans="1:19">
      <c r="A67" s="22" t="s">
        <v>49</v>
      </c>
      <c r="B67" s="13"/>
      <c r="C67" s="13"/>
      <c r="D67" s="13"/>
      <c r="E67" s="13"/>
      <c r="F67" s="13"/>
      <c r="G67" s="13"/>
      <c r="H67" s="13"/>
      <c r="I67" s="13"/>
      <c r="J67" s="2"/>
      <c r="K67" s="2"/>
      <c r="L67" s="2"/>
      <c r="M67" s="2"/>
      <c r="N67" s="2"/>
      <c r="O67" s="2"/>
      <c r="P67" s="2"/>
      <c r="Q67" s="2"/>
      <c r="R67" s="2"/>
      <c r="S67" s="2"/>
    </row>
    <row r="68" spans="1:19">
      <c r="A68" s="22" t="s">
        <v>31</v>
      </c>
      <c r="B68" s="13"/>
      <c r="C68" s="13">
        <f>($B$8*$B$7)*365*(1+$B$3)^C62</f>
        <v>10278.620689655174</v>
      </c>
      <c r="D68" s="13">
        <f t="shared" ref="D68:I68" si="18">($B$8*$B$7)*365*(1+$B$3)^D62</f>
        <v>11100.910344827589</v>
      </c>
      <c r="E68" s="13">
        <f t="shared" si="18"/>
        <v>11988.983172413797</v>
      </c>
      <c r="F68" s="13">
        <f t="shared" si="18"/>
        <v>12948.101826206901</v>
      </c>
      <c r="G68" s="13">
        <f t="shared" si="18"/>
        <v>13983.949972303453</v>
      </c>
      <c r="H68" s="13">
        <f t="shared" si="18"/>
        <v>15102.665970087732</v>
      </c>
      <c r="I68" s="13">
        <f t="shared" si="18"/>
        <v>16310.879247694751</v>
      </c>
      <c r="J68" s="2"/>
      <c r="K68" s="2"/>
      <c r="L68" s="2"/>
      <c r="M68" s="2"/>
      <c r="N68" s="2"/>
      <c r="O68" s="2"/>
      <c r="P68" s="2"/>
      <c r="Q68" s="2"/>
      <c r="R68" s="2"/>
      <c r="S68" s="2"/>
    </row>
    <row r="69" spans="1:19">
      <c r="A69" s="22" t="s">
        <v>9</v>
      </c>
      <c r="B69" s="13"/>
      <c r="C69" s="13">
        <f t="shared" ref="C69:I69" si="19">+C63/$F$11</f>
        <v>0</v>
      </c>
      <c r="D69" s="13">
        <f t="shared" si="19"/>
        <v>0</v>
      </c>
      <c r="E69" s="13">
        <f t="shared" si="19"/>
        <v>0</v>
      </c>
      <c r="F69" s="13">
        <f t="shared" si="19"/>
        <v>0</v>
      </c>
      <c r="G69" s="13">
        <f t="shared" si="19"/>
        <v>0</v>
      </c>
      <c r="H69" s="13">
        <f t="shared" si="19"/>
        <v>0</v>
      </c>
      <c r="I69" s="13">
        <f t="shared" si="19"/>
        <v>0</v>
      </c>
      <c r="J69" s="2"/>
      <c r="K69" s="2"/>
      <c r="L69" s="2"/>
      <c r="M69" s="2"/>
      <c r="N69" s="2"/>
      <c r="O69" s="2"/>
      <c r="P69" s="2"/>
      <c r="Q69" s="2"/>
      <c r="R69" s="2"/>
      <c r="S69" s="2"/>
    </row>
    <row r="70" spans="1:19">
      <c r="A70" s="22" t="s">
        <v>33</v>
      </c>
      <c r="B70" s="13"/>
      <c r="C70" s="13">
        <f>-P17</f>
        <v>-832.65</v>
      </c>
      <c r="D70" s="13">
        <f t="shared" ref="D70:I70" si="20">C70*(1+$B$3)</f>
        <v>-899.26200000000006</v>
      </c>
      <c r="E70" s="13">
        <f t="shared" si="20"/>
        <v>-971.20296000000008</v>
      </c>
      <c r="F70" s="13">
        <f t="shared" si="20"/>
        <v>-1048.8991968000003</v>
      </c>
      <c r="G70" s="13">
        <f t="shared" si="20"/>
        <v>-1132.8111325440004</v>
      </c>
      <c r="H70" s="13">
        <f t="shared" si="20"/>
        <v>-1223.4360231475205</v>
      </c>
      <c r="I70" s="13">
        <f t="shared" si="20"/>
        <v>-1321.3109049993222</v>
      </c>
      <c r="J70" s="2"/>
      <c r="K70" s="2"/>
      <c r="L70" s="2"/>
      <c r="M70" s="2"/>
      <c r="N70" s="2"/>
      <c r="O70" s="2"/>
      <c r="P70" s="2"/>
      <c r="Q70" s="2"/>
      <c r="R70" s="2"/>
      <c r="S70" s="2"/>
    </row>
    <row r="71" spans="1:19">
      <c r="A71" s="22" t="s">
        <v>10</v>
      </c>
      <c r="B71" s="13">
        <f t="shared" ref="B71" si="21">SUM(B63:B69)+B70</f>
        <v>-15850</v>
      </c>
      <c r="C71" s="13">
        <f t="shared" ref="C71:I71" si="22">SUM(C63:C69)+C70</f>
        <v>9445.9706896551743</v>
      </c>
      <c r="D71" s="13">
        <f t="shared" si="22"/>
        <v>7451.6483448275894</v>
      </c>
      <c r="E71" s="13">
        <f t="shared" si="22"/>
        <v>8267.7802124137961</v>
      </c>
      <c r="F71" s="13">
        <f t="shared" si="22"/>
        <v>9149.2026294069001</v>
      </c>
      <c r="G71" s="13">
        <f t="shared" si="22"/>
        <v>10101.138839759453</v>
      </c>
      <c r="H71" s="13">
        <f t="shared" si="22"/>
        <v>12379.229946940211</v>
      </c>
      <c r="I71" s="13">
        <f t="shared" si="22"/>
        <v>13489.568342695429</v>
      </c>
      <c r="J71" s="2"/>
      <c r="K71" s="2"/>
      <c r="L71" s="2"/>
      <c r="M71" s="2"/>
      <c r="N71" s="2"/>
      <c r="O71" s="2"/>
      <c r="P71" s="2"/>
      <c r="Q71" s="2"/>
      <c r="R71" s="2"/>
      <c r="S71" s="2"/>
    </row>
    <row r="72" spans="1:19">
      <c r="A72" s="22" t="s">
        <v>11</v>
      </c>
      <c r="B72" s="13">
        <f>+IF(B71&gt;0,B71*$F$3,0)</f>
        <v>0</v>
      </c>
      <c r="C72" s="13">
        <f>-IF(C71&gt;0,C71*$F$3,0)</f>
        <v>-3778.3882758620698</v>
      </c>
      <c r="D72" s="13">
        <f t="shared" ref="D72:I72" si="23">-IF(D71&gt;0,D71*$F$3,0)</f>
        <v>-2980.6593379310361</v>
      </c>
      <c r="E72" s="13">
        <f t="shared" si="23"/>
        <v>-3307.1120849655185</v>
      </c>
      <c r="F72" s="13">
        <f t="shared" si="23"/>
        <v>-3659.68105176276</v>
      </c>
      <c r="G72" s="13">
        <f t="shared" si="23"/>
        <v>-4040.4555359037813</v>
      </c>
      <c r="H72" s="13">
        <f t="shared" si="23"/>
        <v>-4951.6919787760853</v>
      </c>
      <c r="I72" s="13">
        <f t="shared" si="23"/>
        <v>-5395.8273370781717</v>
      </c>
      <c r="J72" s="2"/>
      <c r="K72" s="2"/>
      <c r="L72" s="2"/>
      <c r="M72" s="2"/>
      <c r="N72" s="2"/>
      <c r="O72" s="2"/>
      <c r="P72" s="2"/>
      <c r="Q72" s="2"/>
      <c r="R72" s="2"/>
      <c r="S72" s="2"/>
    </row>
    <row r="73" spans="1:19">
      <c r="A73" s="22" t="s">
        <v>12</v>
      </c>
      <c r="B73" s="13">
        <f>B71+B72</f>
        <v>-15850</v>
      </c>
      <c r="C73" s="13">
        <f>C71+C72</f>
        <v>5667.5824137931049</v>
      </c>
      <c r="D73" s="13">
        <f>D71+D72</f>
        <v>4470.9890068965533</v>
      </c>
      <c r="E73" s="13">
        <f t="shared" ref="E73" si="24">E71+E72</f>
        <v>4960.668127448278</v>
      </c>
      <c r="F73" s="13">
        <f>F71+F72</f>
        <v>5489.5215776441401</v>
      </c>
      <c r="G73" s="13">
        <f t="shared" ref="G73:I73" si="25">G71+G72</f>
        <v>6060.6833038556715</v>
      </c>
      <c r="H73" s="13">
        <f t="shared" si="25"/>
        <v>7427.5379681641261</v>
      </c>
      <c r="I73" s="13">
        <f t="shared" si="25"/>
        <v>8093.7410056172575</v>
      </c>
      <c r="J73" s="2"/>
      <c r="K73" s="2"/>
      <c r="L73" s="2"/>
      <c r="M73" s="2"/>
      <c r="N73" s="2"/>
      <c r="O73" s="2"/>
      <c r="P73" s="2"/>
      <c r="Q73" s="2"/>
      <c r="R73" s="2"/>
      <c r="S73" s="2"/>
    </row>
    <row r="74" spans="1:19">
      <c r="A74" s="22" t="s">
        <v>13</v>
      </c>
      <c r="B74" s="13">
        <f>B73</f>
        <v>-15850</v>
      </c>
      <c r="C74" s="13">
        <f>C73</f>
        <v>5667.5824137931049</v>
      </c>
      <c r="D74" s="13">
        <f>D73</f>
        <v>4470.9890068965533</v>
      </c>
      <c r="E74" s="13">
        <f>E73</f>
        <v>4960.668127448278</v>
      </c>
      <c r="F74" s="13">
        <f>F73</f>
        <v>5489.5215776441401</v>
      </c>
      <c r="G74" s="13">
        <f t="shared" ref="G74:I74" si="26">G73</f>
        <v>6060.6833038556715</v>
      </c>
      <c r="H74" s="13">
        <f t="shared" si="26"/>
        <v>7427.5379681641261</v>
      </c>
      <c r="I74" s="13">
        <f t="shared" si="26"/>
        <v>8093.7410056172575</v>
      </c>
      <c r="J74" s="2"/>
      <c r="K74" s="2"/>
      <c r="L74" s="2"/>
      <c r="M74" s="2"/>
      <c r="N74" s="2"/>
      <c r="O74" s="2"/>
      <c r="P74" s="2"/>
      <c r="Q74" s="2"/>
      <c r="R74" s="2"/>
      <c r="S74" s="2"/>
    </row>
    <row r="75" spans="1:19">
      <c r="A75" s="22" t="s">
        <v>14</v>
      </c>
      <c r="B75" s="13">
        <f>B74</f>
        <v>-15850</v>
      </c>
      <c r="C75" s="13">
        <f>C74+B75</f>
        <v>-10182.417586206895</v>
      </c>
      <c r="D75" s="13">
        <f>D74+C75</f>
        <v>-5711.4285793103418</v>
      </c>
      <c r="E75" s="13">
        <f>E74+D75</f>
        <v>-750.76045186206375</v>
      </c>
      <c r="F75" s="13">
        <f>F74+E75</f>
        <v>4738.7611257820763</v>
      </c>
      <c r="G75" s="13">
        <f t="shared" ref="G75:I75" si="27">G74+F75</f>
        <v>10799.444429637748</v>
      </c>
      <c r="H75" s="13">
        <f t="shared" si="27"/>
        <v>18226.982397801876</v>
      </c>
      <c r="I75" s="13">
        <f t="shared" si="27"/>
        <v>26320.723403419135</v>
      </c>
      <c r="J75" s="2"/>
      <c r="K75" s="2"/>
      <c r="L75" s="2"/>
      <c r="M75" s="2"/>
      <c r="N75" s="2"/>
      <c r="O75" s="2"/>
      <c r="P75" s="2"/>
      <c r="Q75" s="2"/>
      <c r="R75" s="2"/>
      <c r="S75" s="2"/>
    </row>
    <row r="76" spans="1:19">
      <c r="A76" s="22" t="s">
        <v>15</v>
      </c>
      <c r="B76" s="13">
        <f>B74/((1+$F$8)^B62)</f>
        <v>-15850</v>
      </c>
      <c r="C76" s="13">
        <f>C74/((1+$F$8)^C62)</f>
        <v>4911.2499252973184</v>
      </c>
      <c r="D76" s="13">
        <f>D74/((1+$F$8)^D62)</f>
        <v>3357.314177269443</v>
      </c>
      <c r="E76" s="13">
        <f>E74/((1+$F$8)^E62)</f>
        <v>3227.9198824033251</v>
      </c>
      <c r="F76" s="13">
        <f>F74/((1+$F$8)^F62)</f>
        <v>3095.3606780119408</v>
      </c>
      <c r="G76" s="13">
        <f t="shared" ref="G76:I76" si="28">G74/((1+$F$8)^G62)</f>
        <v>2961.3691430079921</v>
      </c>
      <c r="H76" s="13">
        <f t="shared" si="28"/>
        <v>3144.9230789896737</v>
      </c>
      <c r="I76" s="13">
        <f t="shared" si="28"/>
        <v>2969.6730750727565</v>
      </c>
      <c r="J76" s="2"/>
      <c r="K76" s="2"/>
      <c r="L76" s="2"/>
      <c r="M76" s="2"/>
      <c r="N76" s="2"/>
      <c r="O76" s="2"/>
      <c r="P76" s="2"/>
      <c r="Q76" s="2"/>
      <c r="R76" s="2"/>
      <c r="S76" s="2"/>
    </row>
    <row r="77" spans="1:19">
      <c r="A77" s="22" t="s">
        <v>16</v>
      </c>
      <c r="B77" s="13">
        <f>+B76</f>
        <v>-15850</v>
      </c>
      <c r="C77" s="13">
        <f>+B77+C76</f>
        <v>-10938.750074702682</v>
      </c>
      <c r="D77" s="13">
        <f>+C77+D76</f>
        <v>-7581.435897433239</v>
      </c>
      <c r="E77" s="13">
        <f>+D77+E76</f>
        <v>-4353.5160150299143</v>
      </c>
      <c r="F77" s="13">
        <f>+E77+F76</f>
        <v>-1258.1553370179736</v>
      </c>
      <c r="G77" s="13">
        <f t="shared" ref="G77:I77" si="29">+F77+G76</f>
        <v>1703.2138059900185</v>
      </c>
      <c r="H77" s="13">
        <f t="shared" si="29"/>
        <v>4848.1368849796927</v>
      </c>
      <c r="I77" s="13">
        <f t="shared" si="29"/>
        <v>7817.8099600524492</v>
      </c>
      <c r="J77" s="2"/>
      <c r="K77" s="2"/>
      <c r="L77" s="2"/>
      <c r="M77" s="2"/>
      <c r="N77" s="2"/>
      <c r="O77" s="2"/>
      <c r="P77" s="2"/>
      <c r="Q77" s="2"/>
      <c r="R77" s="2"/>
      <c r="S77" s="2"/>
    </row>
    <row r="78" spans="1:19" ht="15" hidden="1" customHeight="1">
      <c r="A78" s="2"/>
      <c r="B78" s="2"/>
      <c r="C78" s="2"/>
      <c r="D78" s="2"/>
      <c r="E78" s="2"/>
      <c r="F78" s="2"/>
      <c r="G78" s="19"/>
      <c r="H78" s="19"/>
      <c r="I78" s="19"/>
      <c r="J78" s="2"/>
      <c r="K78" s="2"/>
      <c r="L78" s="2"/>
      <c r="M78" s="2"/>
      <c r="N78" s="2"/>
      <c r="O78" s="2"/>
      <c r="P78" s="2"/>
      <c r="Q78" s="2"/>
      <c r="R78" s="2"/>
      <c r="S78" s="2"/>
    </row>
    <row r="79" spans="1:19" ht="15" customHeight="1" thickBot="1">
      <c r="A79" s="2"/>
      <c r="B79" s="2"/>
      <c r="C79" s="2"/>
      <c r="D79" s="2"/>
      <c r="E79" s="2"/>
      <c r="F79" s="2"/>
      <c r="G79" s="19"/>
      <c r="H79" s="19"/>
      <c r="I79" s="19"/>
      <c r="J79" s="2"/>
      <c r="K79" s="2"/>
      <c r="L79" s="2"/>
      <c r="M79" s="2"/>
      <c r="N79" s="2"/>
      <c r="O79" s="2"/>
      <c r="P79" s="2"/>
      <c r="Q79" s="2"/>
      <c r="R79" s="2"/>
      <c r="S79" s="2"/>
    </row>
    <row r="80" spans="1:19" ht="15.75" thickBot="1">
      <c r="A80" s="23" t="s">
        <v>17</v>
      </c>
      <c r="B80" s="14">
        <f>+SUM(B76:I76)</f>
        <v>7817.8099600524492</v>
      </c>
      <c r="C80" s="15" t="s">
        <v>53</v>
      </c>
      <c r="D80" s="6"/>
      <c r="E80" s="6"/>
      <c r="F80" s="6"/>
      <c r="G80" s="6"/>
      <c r="H80" s="6"/>
      <c r="I80" s="6"/>
      <c r="J80" s="2"/>
      <c r="K80" s="2"/>
      <c r="L80" s="2"/>
      <c r="M80" s="2"/>
      <c r="N80" s="2"/>
      <c r="O80" s="2"/>
      <c r="P80" s="2"/>
      <c r="Q80" s="2"/>
      <c r="R80" s="2"/>
      <c r="S80" s="2"/>
    </row>
    <row r="81" spans="1:19" ht="15.75" thickBot="1">
      <c r="A81" s="23" t="s">
        <v>18</v>
      </c>
      <c r="B81" s="16">
        <f>+IRR(B74:I74)</f>
        <v>0.29481428342100569</v>
      </c>
      <c r="C81" s="15" t="s">
        <v>52</v>
      </c>
      <c r="D81" s="2"/>
      <c r="E81" s="2"/>
      <c r="F81" s="2"/>
      <c r="G81" s="2"/>
      <c r="H81" s="2"/>
      <c r="I81" s="2"/>
      <c r="J81" s="2"/>
      <c r="K81" s="2"/>
      <c r="L81" s="2"/>
      <c r="M81" s="2"/>
      <c r="N81" s="2"/>
      <c r="O81" s="2"/>
      <c r="P81" s="2"/>
      <c r="Q81" s="2"/>
      <c r="R81" s="2"/>
      <c r="S81" s="2"/>
    </row>
    <row r="82" spans="1:19" ht="15.75" thickBot="1">
      <c r="A82" s="23" t="s">
        <v>19</v>
      </c>
      <c r="B82" s="17">
        <f>+ABS(SUMIF(B76:I76,"&gt;0")/SUMIF(B76:I76,"&lt;0"))</f>
        <v>1.4932372214544134</v>
      </c>
      <c r="C82" s="15" t="s">
        <v>54</v>
      </c>
      <c r="D82" s="2"/>
      <c r="E82" s="2"/>
      <c r="F82" s="2"/>
      <c r="G82" s="2"/>
      <c r="H82" s="2"/>
      <c r="I82" s="2"/>
      <c r="J82" s="2"/>
      <c r="K82" s="2"/>
      <c r="L82" s="2"/>
      <c r="M82" s="2"/>
      <c r="N82" s="2"/>
      <c r="O82" s="2"/>
      <c r="P82" s="2"/>
      <c r="Q82" s="2"/>
      <c r="R82" s="2"/>
      <c r="S82" s="2"/>
    </row>
    <row r="83" spans="1:19" ht="15.75" thickBot="1">
      <c r="A83" s="23" t="s">
        <v>20</v>
      </c>
      <c r="B83" s="16">
        <f>+(SUM(C75:I75)+B75)/ABS(B75)</f>
        <v>1.7407763242436298</v>
      </c>
      <c r="C83" s="15" t="s">
        <v>56</v>
      </c>
      <c r="D83" s="2"/>
      <c r="E83" s="2"/>
      <c r="F83" s="2"/>
      <c r="G83" s="2"/>
      <c r="H83" s="2"/>
      <c r="I83" s="2"/>
      <c r="J83" s="2"/>
      <c r="K83" s="2"/>
      <c r="L83" s="2"/>
      <c r="M83" s="2"/>
      <c r="N83" s="2"/>
      <c r="O83" s="2"/>
      <c r="P83" s="2"/>
      <c r="Q83" s="2"/>
      <c r="R83" s="2"/>
      <c r="S83" s="2"/>
    </row>
    <row r="84" spans="1:19" ht="15.75" thickBot="1">
      <c r="A84" s="23" t="s">
        <v>58</v>
      </c>
      <c r="B84" s="21">
        <f>F62-(SUM(C76:F76)+B76)/B76</f>
        <v>3.920621114383724</v>
      </c>
      <c r="C84" s="15" t="s">
        <v>57</v>
      </c>
      <c r="D84" s="2"/>
      <c r="E84" s="2"/>
      <c r="F84" s="2"/>
      <c r="G84" s="2"/>
      <c r="H84" s="2"/>
      <c r="I84" s="2"/>
      <c r="J84" s="2"/>
      <c r="K84" s="2"/>
      <c r="L84" s="2"/>
      <c r="M84" s="2"/>
      <c r="N84" s="2"/>
      <c r="O84" s="2"/>
      <c r="P84" s="2"/>
      <c r="Q84" s="2"/>
      <c r="R84" s="2"/>
      <c r="S84" s="2"/>
    </row>
    <row r="87" spans="1:19" ht="15" hidden="1" customHeight="1"/>
  </sheetData>
  <mergeCells count="5">
    <mergeCell ref="E2:F2"/>
    <mergeCell ref="K2:L2"/>
    <mergeCell ref="O2:P2"/>
    <mergeCell ref="A18:I18"/>
    <mergeCell ref="A59:I59"/>
  </mergeCells>
  <conditionalFormatting sqref="B36:I51 J44:N44">
    <cfRule type="expression" dxfId="2" priority="1">
      <formula>"&lt;0"</formula>
    </cfRule>
  </conditionalFormatting>
  <conditionalFormatting sqref="B63:I77">
    <cfRule type="expression" dxfId="1" priority="2">
      <formula>"&lt;0"</formula>
    </cfRule>
  </conditionalFormatting>
  <conditionalFormatting sqref="D80:I80">
    <cfRule type="cellIs" dxfId="0" priority="3" operator="lessThan">
      <formula>0</formula>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A0F0D-517C-4C3A-99CD-24CC8CF32ADC}">
  <dimension ref="A1:N36"/>
  <sheetViews>
    <sheetView workbookViewId="0">
      <selection activeCell="M3" sqref="M3"/>
    </sheetView>
  </sheetViews>
  <sheetFormatPr defaultRowHeight="15"/>
  <cols>
    <col min="2" max="2" width="21.140625" bestFit="1" customWidth="1"/>
  </cols>
  <sheetData>
    <row r="1" spans="1:14">
      <c r="A1" s="56" t="s">
        <v>100</v>
      </c>
      <c r="B1" s="56" t="s">
        <v>101</v>
      </c>
      <c r="C1" s="56" t="s">
        <v>102</v>
      </c>
      <c r="D1" s="56" t="s">
        <v>103</v>
      </c>
      <c r="E1" s="56" t="s">
        <v>104</v>
      </c>
      <c r="F1" s="56" t="s">
        <v>105</v>
      </c>
      <c r="G1" s="56" t="s">
        <v>106</v>
      </c>
      <c r="H1" s="56" t="s">
        <v>8</v>
      </c>
      <c r="J1" s="57" t="s">
        <v>108</v>
      </c>
      <c r="K1" s="57" t="s">
        <v>115</v>
      </c>
      <c r="L1" s="57" t="s">
        <v>116</v>
      </c>
      <c r="M1" s="57" t="s">
        <v>117</v>
      </c>
      <c r="N1" s="57" t="s">
        <v>118</v>
      </c>
    </row>
    <row r="2" spans="1:14">
      <c r="A2" s="57" t="s">
        <v>107</v>
      </c>
      <c r="B2" s="57">
        <v>18</v>
      </c>
      <c r="C2" s="57">
        <v>18</v>
      </c>
      <c r="D2" s="57">
        <v>18</v>
      </c>
      <c r="E2" s="57">
        <v>25</v>
      </c>
      <c r="F2" s="57">
        <v>25</v>
      </c>
      <c r="G2" s="57">
        <v>25</v>
      </c>
      <c r="H2" s="57" t="s">
        <v>108</v>
      </c>
      <c r="J2" s="57">
        <f>+SUM(B2:G8)</f>
        <v>336</v>
      </c>
      <c r="K2" s="57">
        <f>+SUM(B9:G15)</f>
        <v>303</v>
      </c>
      <c r="L2" s="57">
        <f>+SUM(B16:G22)</f>
        <v>276</v>
      </c>
      <c r="M2" s="57">
        <f>+SUM(B23:G29)</f>
        <v>252</v>
      </c>
      <c r="N2" s="57">
        <f>+SUM(B30:G36)</f>
        <v>510</v>
      </c>
    </row>
    <row r="3" spans="1:14">
      <c r="A3" s="57" t="s">
        <v>109</v>
      </c>
      <c r="B3" s="57">
        <v>3</v>
      </c>
      <c r="C3" s="57">
        <v>3</v>
      </c>
      <c r="D3" s="57">
        <v>3</v>
      </c>
      <c r="E3" s="57">
        <v>4</v>
      </c>
      <c r="F3" s="57">
        <v>4</v>
      </c>
      <c r="G3" s="57">
        <v>4</v>
      </c>
      <c r="H3" s="57" t="s">
        <v>108</v>
      </c>
    </row>
    <row r="4" spans="1:14">
      <c r="A4" s="57" t="s">
        <v>110</v>
      </c>
      <c r="B4" s="57">
        <v>8</v>
      </c>
      <c r="C4" s="57">
        <v>8</v>
      </c>
      <c r="D4" s="57">
        <v>8</v>
      </c>
      <c r="E4" s="57">
        <v>9</v>
      </c>
      <c r="F4" s="57">
        <v>9</v>
      </c>
      <c r="G4" s="57">
        <v>9</v>
      </c>
      <c r="H4" s="57" t="s">
        <v>108</v>
      </c>
      <c r="J4" s="58" t="s">
        <v>122</v>
      </c>
      <c r="M4" s="59">
        <v>0.25</v>
      </c>
    </row>
    <row r="5" spans="1:14">
      <c r="A5" s="57" t="s">
        <v>111</v>
      </c>
      <c r="B5" s="57">
        <v>2</v>
      </c>
      <c r="C5" s="57">
        <v>2</v>
      </c>
      <c r="D5" s="57">
        <v>2</v>
      </c>
      <c r="E5" s="57">
        <v>3</v>
      </c>
      <c r="F5" s="57">
        <v>3</v>
      </c>
      <c r="G5" s="57">
        <v>3</v>
      </c>
      <c r="H5" s="57" t="s">
        <v>108</v>
      </c>
    </row>
    <row r="6" spans="1:14">
      <c r="A6" s="57" t="s">
        <v>112</v>
      </c>
      <c r="B6" s="57">
        <v>10</v>
      </c>
      <c r="C6" s="57">
        <v>10</v>
      </c>
      <c r="D6" s="57">
        <v>10</v>
      </c>
      <c r="E6" s="57">
        <v>13</v>
      </c>
      <c r="F6" s="57">
        <v>13</v>
      </c>
      <c r="G6" s="57">
        <v>13</v>
      </c>
      <c r="H6" s="57" t="s">
        <v>108</v>
      </c>
    </row>
    <row r="7" spans="1:14">
      <c r="A7" s="57" t="s">
        <v>113</v>
      </c>
      <c r="B7" s="57">
        <v>4</v>
      </c>
      <c r="C7" s="57">
        <v>4</v>
      </c>
      <c r="D7" s="57">
        <v>4</v>
      </c>
      <c r="E7" s="57">
        <v>4</v>
      </c>
      <c r="F7" s="57">
        <v>4</v>
      </c>
      <c r="G7" s="57">
        <v>4</v>
      </c>
      <c r="H7" s="57" t="s">
        <v>108</v>
      </c>
    </row>
    <row r="8" spans="1:14">
      <c r="A8" s="57" t="s">
        <v>114</v>
      </c>
      <c r="B8" s="57">
        <v>4</v>
      </c>
      <c r="C8" s="57">
        <v>4</v>
      </c>
      <c r="D8" s="57">
        <v>4</v>
      </c>
      <c r="E8" s="57">
        <v>5</v>
      </c>
      <c r="F8" s="57">
        <v>5</v>
      </c>
      <c r="G8" s="57">
        <v>5</v>
      </c>
      <c r="H8" s="57" t="s">
        <v>108</v>
      </c>
    </row>
    <row r="9" spans="1:14">
      <c r="A9" s="57" t="s">
        <v>107</v>
      </c>
      <c r="B9" s="57">
        <v>16</v>
      </c>
      <c r="C9" s="57">
        <v>16</v>
      </c>
      <c r="D9" s="57">
        <v>16</v>
      </c>
      <c r="E9" s="57">
        <v>23</v>
      </c>
      <c r="F9" s="57">
        <v>23</v>
      </c>
      <c r="G9" s="57">
        <v>23</v>
      </c>
      <c r="H9" s="57" t="s">
        <v>115</v>
      </c>
    </row>
    <row r="10" spans="1:14">
      <c r="A10" s="57" t="s">
        <v>109</v>
      </c>
      <c r="B10" s="57">
        <v>3</v>
      </c>
      <c r="C10" s="57">
        <v>3</v>
      </c>
      <c r="D10" s="57">
        <v>3</v>
      </c>
      <c r="E10" s="57">
        <v>3</v>
      </c>
      <c r="F10" s="57">
        <v>3</v>
      </c>
      <c r="G10" s="57">
        <v>3</v>
      </c>
      <c r="H10" s="57" t="s">
        <v>115</v>
      </c>
    </row>
    <row r="11" spans="1:14">
      <c r="A11" s="57" t="s">
        <v>110</v>
      </c>
      <c r="B11" s="57">
        <v>7</v>
      </c>
      <c r="C11" s="57">
        <v>7</v>
      </c>
      <c r="D11" s="57">
        <v>7</v>
      </c>
      <c r="E11" s="57">
        <v>8</v>
      </c>
      <c r="F11" s="57">
        <v>8</v>
      </c>
      <c r="G11" s="57">
        <v>8</v>
      </c>
      <c r="H11" s="57" t="s">
        <v>115</v>
      </c>
    </row>
    <row r="12" spans="1:14">
      <c r="A12" s="57" t="s">
        <v>111</v>
      </c>
      <c r="B12" s="57">
        <v>2</v>
      </c>
      <c r="C12" s="57">
        <v>2</v>
      </c>
      <c r="D12" s="57">
        <v>2</v>
      </c>
      <c r="E12" s="57">
        <v>2</v>
      </c>
      <c r="F12" s="57">
        <v>2</v>
      </c>
      <c r="G12" s="57">
        <v>2</v>
      </c>
      <c r="H12" s="57" t="s">
        <v>115</v>
      </c>
    </row>
    <row r="13" spans="1:14">
      <c r="A13" s="57" t="s">
        <v>112</v>
      </c>
      <c r="B13" s="57">
        <v>9</v>
      </c>
      <c r="C13" s="57">
        <v>9</v>
      </c>
      <c r="D13" s="57">
        <v>9</v>
      </c>
      <c r="E13" s="57">
        <v>12</v>
      </c>
      <c r="F13" s="57">
        <v>12</v>
      </c>
      <c r="G13" s="57">
        <v>12</v>
      </c>
      <c r="H13" s="57" t="s">
        <v>115</v>
      </c>
    </row>
    <row r="14" spans="1:14">
      <c r="A14" s="57" t="s">
        <v>113</v>
      </c>
      <c r="B14" s="57">
        <v>4</v>
      </c>
      <c r="C14" s="57">
        <v>4</v>
      </c>
      <c r="D14" s="57">
        <v>4</v>
      </c>
      <c r="E14" s="57">
        <v>4</v>
      </c>
      <c r="F14" s="57">
        <v>4</v>
      </c>
      <c r="G14" s="57">
        <v>4</v>
      </c>
      <c r="H14" s="57" t="s">
        <v>115</v>
      </c>
    </row>
    <row r="15" spans="1:14">
      <c r="A15" s="57" t="s">
        <v>114</v>
      </c>
      <c r="B15" s="57">
        <v>4</v>
      </c>
      <c r="C15" s="57">
        <v>4</v>
      </c>
      <c r="D15" s="57">
        <v>4</v>
      </c>
      <c r="E15" s="57">
        <v>4</v>
      </c>
      <c r="F15" s="57">
        <v>4</v>
      </c>
      <c r="G15" s="57">
        <v>4</v>
      </c>
      <c r="H15" s="57" t="s">
        <v>115</v>
      </c>
    </row>
    <row r="16" spans="1:14">
      <c r="A16" s="57" t="s">
        <v>107</v>
      </c>
      <c r="B16" s="57">
        <v>15</v>
      </c>
      <c r="C16" s="57">
        <v>15</v>
      </c>
      <c r="D16" s="57">
        <v>15</v>
      </c>
      <c r="E16" s="57">
        <v>21</v>
      </c>
      <c r="F16" s="57">
        <v>21</v>
      </c>
      <c r="G16" s="57">
        <v>21</v>
      </c>
      <c r="H16" s="57" t="s">
        <v>116</v>
      </c>
    </row>
    <row r="17" spans="1:8">
      <c r="A17" s="57" t="s">
        <v>109</v>
      </c>
      <c r="B17" s="57">
        <v>3</v>
      </c>
      <c r="C17" s="57">
        <v>3</v>
      </c>
      <c r="D17" s="57">
        <v>3</v>
      </c>
      <c r="E17" s="57">
        <v>3</v>
      </c>
      <c r="F17" s="57">
        <v>3</v>
      </c>
      <c r="G17" s="57">
        <v>3</v>
      </c>
      <c r="H17" s="57" t="s">
        <v>116</v>
      </c>
    </row>
    <row r="18" spans="1:8">
      <c r="A18" s="57" t="s">
        <v>110</v>
      </c>
      <c r="B18" s="57">
        <v>6</v>
      </c>
      <c r="C18" s="57">
        <v>6</v>
      </c>
      <c r="D18" s="57">
        <v>6</v>
      </c>
      <c r="E18" s="57">
        <v>8</v>
      </c>
      <c r="F18" s="57">
        <v>8</v>
      </c>
      <c r="G18" s="57">
        <v>8</v>
      </c>
      <c r="H18" s="57" t="s">
        <v>116</v>
      </c>
    </row>
    <row r="19" spans="1:8">
      <c r="A19" s="57" t="s">
        <v>111</v>
      </c>
      <c r="B19" s="57">
        <v>2</v>
      </c>
      <c r="C19" s="57">
        <v>2</v>
      </c>
      <c r="D19" s="57">
        <v>2</v>
      </c>
      <c r="E19" s="57">
        <v>2</v>
      </c>
      <c r="F19" s="57">
        <v>2</v>
      </c>
      <c r="G19" s="57">
        <v>2</v>
      </c>
      <c r="H19" s="57" t="s">
        <v>116</v>
      </c>
    </row>
    <row r="20" spans="1:8">
      <c r="A20" s="57" t="s">
        <v>112</v>
      </c>
      <c r="B20" s="57">
        <v>8</v>
      </c>
      <c r="C20" s="57">
        <v>8</v>
      </c>
      <c r="D20" s="57">
        <v>8</v>
      </c>
      <c r="E20" s="57">
        <v>11</v>
      </c>
      <c r="F20" s="57">
        <v>11</v>
      </c>
      <c r="G20" s="57">
        <v>11</v>
      </c>
      <c r="H20" s="57" t="s">
        <v>116</v>
      </c>
    </row>
    <row r="21" spans="1:8">
      <c r="A21" s="57" t="s">
        <v>113</v>
      </c>
      <c r="B21" s="57">
        <v>3</v>
      </c>
      <c r="C21" s="57">
        <v>3</v>
      </c>
      <c r="D21" s="57">
        <v>3</v>
      </c>
      <c r="E21" s="57">
        <v>3</v>
      </c>
      <c r="F21" s="57">
        <v>3</v>
      </c>
      <c r="G21" s="57">
        <v>3</v>
      </c>
      <c r="H21" s="57" t="s">
        <v>116</v>
      </c>
    </row>
    <row r="22" spans="1:8">
      <c r="A22" s="57" t="s">
        <v>114</v>
      </c>
      <c r="B22" s="57">
        <v>3</v>
      </c>
      <c r="C22" s="57">
        <v>3</v>
      </c>
      <c r="D22" s="57">
        <v>3</v>
      </c>
      <c r="E22" s="57">
        <v>4</v>
      </c>
      <c r="F22" s="57">
        <v>4</v>
      </c>
      <c r="G22" s="57">
        <v>4</v>
      </c>
      <c r="H22" s="57" t="s">
        <v>116</v>
      </c>
    </row>
    <row r="23" spans="1:8">
      <c r="A23" s="57" t="s">
        <v>107</v>
      </c>
      <c r="B23" s="57">
        <v>13</v>
      </c>
      <c r="C23" s="57">
        <v>13</v>
      </c>
      <c r="D23" s="57">
        <v>13</v>
      </c>
      <c r="E23" s="57">
        <v>19</v>
      </c>
      <c r="F23" s="57">
        <v>19</v>
      </c>
      <c r="G23" s="57">
        <v>19</v>
      </c>
      <c r="H23" s="57" t="s">
        <v>117</v>
      </c>
    </row>
    <row r="24" spans="1:8">
      <c r="A24" s="57" t="s">
        <v>109</v>
      </c>
      <c r="B24" s="57">
        <v>2</v>
      </c>
      <c r="C24" s="57">
        <v>2</v>
      </c>
      <c r="D24" s="57">
        <v>2</v>
      </c>
      <c r="E24" s="57">
        <v>3</v>
      </c>
      <c r="F24" s="57">
        <v>3</v>
      </c>
      <c r="G24" s="57">
        <v>3</v>
      </c>
      <c r="H24" s="57" t="s">
        <v>117</v>
      </c>
    </row>
    <row r="25" spans="1:8">
      <c r="A25" s="57" t="s">
        <v>110</v>
      </c>
      <c r="B25" s="57">
        <v>6</v>
      </c>
      <c r="C25" s="57">
        <v>6</v>
      </c>
      <c r="D25" s="57">
        <v>6</v>
      </c>
      <c r="E25" s="57">
        <v>7</v>
      </c>
      <c r="F25" s="57">
        <v>7</v>
      </c>
      <c r="G25" s="57">
        <v>7</v>
      </c>
      <c r="H25" s="57" t="s">
        <v>117</v>
      </c>
    </row>
    <row r="26" spans="1:8">
      <c r="A26" s="57" t="s">
        <v>111</v>
      </c>
      <c r="B26" s="57">
        <v>2</v>
      </c>
      <c r="C26" s="57">
        <v>2</v>
      </c>
      <c r="D26" s="57">
        <v>2</v>
      </c>
      <c r="E26" s="57">
        <v>2</v>
      </c>
      <c r="F26" s="57">
        <v>2</v>
      </c>
      <c r="G26" s="57">
        <v>2</v>
      </c>
      <c r="H26" s="57" t="s">
        <v>117</v>
      </c>
    </row>
    <row r="27" spans="1:8">
      <c r="A27" s="57" t="s">
        <v>112</v>
      </c>
      <c r="B27" s="57">
        <v>8</v>
      </c>
      <c r="C27" s="57">
        <v>8</v>
      </c>
      <c r="D27" s="57">
        <v>8</v>
      </c>
      <c r="E27" s="57">
        <v>10</v>
      </c>
      <c r="F27" s="57">
        <v>10</v>
      </c>
      <c r="G27" s="57">
        <v>10</v>
      </c>
      <c r="H27" s="57" t="s">
        <v>117</v>
      </c>
    </row>
    <row r="28" spans="1:8">
      <c r="A28" s="57" t="s">
        <v>113</v>
      </c>
      <c r="B28" s="57">
        <v>3</v>
      </c>
      <c r="C28" s="57">
        <v>3</v>
      </c>
      <c r="D28" s="57">
        <v>3</v>
      </c>
      <c r="E28" s="57">
        <v>3</v>
      </c>
      <c r="F28" s="57">
        <v>3</v>
      </c>
      <c r="G28" s="57">
        <v>3</v>
      </c>
      <c r="H28" s="57" t="s">
        <v>117</v>
      </c>
    </row>
    <row r="29" spans="1:8">
      <c r="A29" s="57" t="s">
        <v>114</v>
      </c>
      <c r="B29" s="57">
        <v>3</v>
      </c>
      <c r="C29" s="57">
        <v>3</v>
      </c>
      <c r="D29" s="57">
        <v>3</v>
      </c>
      <c r="E29" s="57">
        <v>3</v>
      </c>
      <c r="F29" s="57">
        <v>3</v>
      </c>
      <c r="G29" s="57">
        <v>3</v>
      </c>
      <c r="H29" s="57" t="s">
        <v>117</v>
      </c>
    </row>
    <row r="30" spans="1:8">
      <c r="A30" s="57" t="s">
        <v>107</v>
      </c>
      <c r="B30" s="57">
        <v>27</v>
      </c>
      <c r="C30" s="57">
        <v>27</v>
      </c>
      <c r="D30" s="57">
        <v>27</v>
      </c>
      <c r="E30" s="57">
        <v>39</v>
      </c>
      <c r="F30" s="57">
        <v>39</v>
      </c>
      <c r="G30" s="57">
        <v>39</v>
      </c>
      <c r="H30" s="57" t="s">
        <v>118</v>
      </c>
    </row>
    <row r="31" spans="1:8">
      <c r="A31" s="57" t="s">
        <v>109</v>
      </c>
      <c r="B31" s="57">
        <v>5</v>
      </c>
      <c r="C31" s="57">
        <v>5</v>
      </c>
      <c r="D31" s="57">
        <v>5</v>
      </c>
      <c r="E31" s="57">
        <v>5</v>
      </c>
      <c r="F31" s="57">
        <v>5</v>
      </c>
      <c r="G31" s="57">
        <v>5</v>
      </c>
      <c r="H31" s="57" t="s">
        <v>118</v>
      </c>
    </row>
    <row r="32" spans="1:8">
      <c r="A32" s="57" t="s">
        <v>110</v>
      </c>
      <c r="B32" s="57">
        <v>12</v>
      </c>
      <c r="C32" s="57">
        <v>12</v>
      </c>
      <c r="D32" s="57">
        <v>12</v>
      </c>
      <c r="E32" s="57">
        <v>14</v>
      </c>
      <c r="F32" s="57">
        <v>14</v>
      </c>
      <c r="G32" s="57">
        <v>14</v>
      </c>
      <c r="H32" s="57" t="s">
        <v>118</v>
      </c>
    </row>
    <row r="33" spans="1:8">
      <c r="A33" s="57" t="s">
        <v>111</v>
      </c>
      <c r="B33" s="57">
        <v>3</v>
      </c>
      <c r="C33" s="57">
        <v>3</v>
      </c>
      <c r="D33" s="57">
        <v>3</v>
      </c>
      <c r="E33" s="57">
        <v>4</v>
      </c>
      <c r="F33" s="57">
        <v>4</v>
      </c>
      <c r="G33" s="57">
        <v>4</v>
      </c>
      <c r="H33" s="57" t="s">
        <v>118</v>
      </c>
    </row>
    <row r="34" spans="1:8">
      <c r="A34" s="57" t="s">
        <v>112</v>
      </c>
      <c r="B34" s="57">
        <v>16</v>
      </c>
      <c r="C34" s="57">
        <v>16</v>
      </c>
      <c r="D34" s="57">
        <v>16</v>
      </c>
      <c r="E34" s="57">
        <v>20</v>
      </c>
      <c r="F34" s="57">
        <v>20</v>
      </c>
      <c r="G34" s="57">
        <v>20</v>
      </c>
      <c r="H34" s="57" t="s">
        <v>118</v>
      </c>
    </row>
    <row r="35" spans="1:8">
      <c r="A35" s="57" t="s">
        <v>113</v>
      </c>
      <c r="B35" s="57">
        <v>6</v>
      </c>
      <c r="C35" s="57">
        <v>6</v>
      </c>
      <c r="D35" s="57">
        <v>6</v>
      </c>
      <c r="E35" s="57">
        <v>6</v>
      </c>
      <c r="F35" s="57">
        <v>6</v>
      </c>
      <c r="G35" s="57">
        <v>6</v>
      </c>
      <c r="H35" s="57" t="s">
        <v>118</v>
      </c>
    </row>
    <row r="36" spans="1:8">
      <c r="A36" s="57" t="s">
        <v>114</v>
      </c>
      <c r="B36" s="57">
        <v>6</v>
      </c>
      <c r="C36" s="57">
        <v>6</v>
      </c>
      <c r="D36" s="57">
        <v>6</v>
      </c>
      <c r="E36" s="57">
        <v>7</v>
      </c>
      <c r="F36" s="57">
        <v>7</v>
      </c>
      <c r="G36" s="57">
        <v>7</v>
      </c>
      <c r="H36" s="57" t="s">
        <v>118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1F4E4-2516-4565-846D-31C9E09E4EF5}">
  <dimension ref="A1:D4"/>
  <sheetViews>
    <sheetView workbookViewId="0">
      <selection sqref="A1:D4"/>
    </sheetView>
  </sheetViews>
  <sheetFormatPr defaultRowHeight="15"/>
  <cols>
    <col min="1" max="1" width="11.85546875" bestFit="1" customWidth="1"/>
    <col min="2" max="2" width="9.28515625" bestFit="1" customWidth="1"/>
    <col min="3" max="3" width="11.42578125" bestFit="1" customWidth="1"/>
    <col min="4" max="4" width="13.140625" bestFit="1" customWidth="1"/>
  </cols>
  <sheetData>
    <row r="1" spans="1:4">
      <c r="A1" s="57"/>
      <c r="B1" s="22" t="s">
        <v>127</v>
      </c>
      <c r="C1" s="22" t="s">
        <v>128</v>
      </c>
      <c r="D1" s="22" t="s">
        <v>129</v>
      </c>
    </row>
    <row r="2" spans="1:4">
      <c r="A2" s="62" t="s">
        <v>124</v>
      </c>
      <c r="B2" s="61">
        <v>0.3</v>
      </c>
      <c r="C2" s="61">
        <v>0.4</v>
      </c>
      <c r="D2" s="61">
        <v>0.3</v>
      </c>
    </row>
    <row r="3" spans="1:4">
      <c r="A3" s="62" t="s">
        <v>125</v>
      </c>
      <c r="B3" s="61">
        <v>1</v>
      </c>
      <c r="C3" s="61">
        <v>0.75</v>
      </c>
      <c r="D3" s="61">
        <v>1.1499999999999999</v>
      </c>
    </row>
    <row r="4" spans="1:4">
      <c r="A4" s="62" t="s">
        <v>126</v>
      </c>
      <c r="B4" s="61">
        <v>0.1</v>
      </c>
      <c r="C4" s="61">
        <v>0.08</v>
      </c>
      <c r="D4" s="61">
        <v>0.12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Base scenario</vt:lpstr>
      <vt:lpstr>Optimistic scenario</vt:lpstr>
      <vt:lpstr>Pesimistic scenario</vt:lpstr>
      <vt:lpstr>Expected sales for bikes</vt:lpstr>
      <vt:lpstr>Scenarios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 Veaux</dc:creator>
  <cp:lastModifiedBy>Arturo Medina</cp:lastModifiedBy>
  <dcterms:created xsi:type="dcterms:W3CDTF">2024-09-20T01:26:05Z</dcterms:created>
  <dcterms:modified xsi:type="dcterms:W3CDTF">2025-01-09T03:04:39Z</dcterms:modified>
</cp:coreProperties>
</file>