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JULIA\PRACA\agh_2025\times\formtowanie\"/>
    </mc:Choice>
  </mc:AlternateContent>
  <xr:revisionPtr revIDLastSave="0" documentId="13_ncr:1_{88F87DB9-6A4E-49EE-96D7-F90647145259}" xr6:coauthVersionLast="47" xr6:coauthVersionMax="47" xr10:uidLastSave="{00000000-0000-0000-0000-000000000000}"/>
  <bookViews>
    <workbookView xWindow="-110" yWindow="-110" windowWidth="19420" windowHeight="10300" tabRatio="386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6" l="1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Q8" i="133"/>
  <c r="R8" i="129"/>
  <c r="U10" i="133"/>
  <c r="U8" i="133"/>
  <c r="O8" i="129"/>
  <c r="S8" i="129" l="1"/>
  <c r="S9" i="129"/>
  <c r="S10" i="129"/>
  <c r="R9" i="129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F9" i="136" s="1"/>
  <c r="E13" i="136"/>
  <c r="E12" i="136"/>
  <c r="D12" i="136"/>
  <c r="D13" i="136"/>
  <c r="B13" i="136"/>
  <c r="C13" i="136"/>
  <c r="C12" i="136"/>
  <c r="B12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  <comment ref="U10" authorId="2" shapeId="0" xr:uid="{2323BE3B-86B3-4133-96EF-6C400E0C701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dużych i małych</t>
      </text>
    </comment>
    <comment ref="Q16" authorId="3" shapeId="0" xr:uid="{B67D4722-B298-4ECF-A9AA-8631251AFCA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<sst xmlns="http://schemas.openxmlformats.org/spreadsheetml/2006/main" count="597" uniqueCount="303">
  <si>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</si>
  <si>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</si>
  <si>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</si>
  <si>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</si>
  <si>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</si>
  <si>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</si>
  <si>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</si>
  <si>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</si>
  <si>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</si>
  <si>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</si>
  <si>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</si>
  <si>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</si>
  <si>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</si>
  <si>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</si>
  <si>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</si>
  <si>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</si>
  <si>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</si>
  <si>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</si>
  <si>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</si>
  <si>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</si>
  <si>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</si>
  <si>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</si>
  <si>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</si>
  <si>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</si>
  <si>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</si>
  <si>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</si>
  <si>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</si>
  <si>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</si>
  <si>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</si>
  <si>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</si>
  <si>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</si>
  <si>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</si>
  <si>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</si>
  <si>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</si>
  <si>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</si>
  <si>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</si>
  <si>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</si>
  <si>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</si>
  <si>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</si>
  <si>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</si>
  <si>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</si>
  <si>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</si>
  <si>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</si>
  <si>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ELC_RES</t>
  </si>
  <si>
    <t>Electricity produced from OZE</t>
  </si>
  <si>
    <t>DAYNITE</t>
  </si>
  <si>
    <t>ELC</t>
  </si>
  <si>
    <t>Electricity produced from other sources</t>
  </si>
  <si>
    <t>ELC_GRID</t>
  </si>
  <si>
    <t>Electricity from the grid total</t>
  </si>
  <si>
    <t>ELC_GRID_RES</t>
  </si>
  <si>
    <t>Electricity from the grid from OZE</t>
  </si>
  <si>
    <t>SEC_H2G</t>
  </si>
  <si>
    <t>Green H2 produced</t>
  </si>
  <si>
    <t>Mt</t>
  </si>
  <si>
    <t>H2G_GRID</t>
  </si>
  <si>
    <t>H2 from pipeline</t>
  </si>
  <si>
    <t>H2G_TRUCK</t>
  </si>
  <si>
    <t>H2 from trucks shipping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</si>
  <si>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</si>
  <si>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</si>
  <si>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</si>
  <si>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</si>
  <si>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</si>
  <si>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</si>
  <si>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</si>
  <si>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</si>
  <si>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</si>
  <si>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</si>
  <si>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</si>
  <si>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</si>
  <si>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</si>
  <si>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</si>
  <si>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</si>
  <si>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</si>
  <si>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</si>
  <si>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</si>
  <si>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</si>
  <si>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</si>
  <si>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</si>
  <si>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</si>
  <si>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</si>
  <si>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</si>
  <si>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</si>
  <si>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</si>
  <si>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</si>
  <si>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</si>
  <si>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</si>
  <si>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</si>
  <si>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</si>
  <si>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</si>
  <si>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</si>
  <si>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</si>
  <si>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</si>
  <si>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</si>
  <si>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</si>
  <si>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</si>
  <si>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</si>
  <si>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ELE_EX_HC</t>
  </si>
  <si>
    <t>Existing Hard Coal Power Plants</t>
  </si>
  <si>
    <t>GW</t>
  </si>
  <si>
    <t>ELE_EX_LIG</t>
  </si>
  <si>
    <t>Existing Lignite Power Plants</t>
  </si>
  <si>
    <t>ELE_EX_GAS_CCGT</t>
  </si>
  <si>
    <t>Existing Gas Combined Cycle Power Plants</t>
  </si>
  <si>
    <t>ELE_EX_BIOM</t>
  </si>
  <si>
    <t>Existing Biomass Power Plants</t>
  </si>
  <si>
    <t>ELE_EX_WIND_ON</t>
  </si>
  <si>
    <t>Existing Onshore Wind Turbines</t>
  </si>
  <si>
    <t>ELE_EX_HYD</t>
  </si>
  <si>
    <t>Existing Hydro Power Plants</t>
  </si>
  <si>
    <t>ELE_EX_PV</t>
  </si>
  <si>
    <t>Existing PV Power Plants</t>
  </si>
  <si>
    <t>PRE</t>
  </si>
  <si>
    <t>TaD_EX_GRID</t>
  </si>
  <si>
    <t>Existing Grid</t>
  </si>
  <si>
    <t>TaD_EX_GRID_RES</t>
  </si>
  <si>
    <t>Existing grid transporting electricity from OZE</t>
  </si>
  <si>
    <t>Available Process Sets</t>
  </si>
  <si>
    <t>Power Plant (Electricity Only)</t>
  </si>
  <si>
    <t>CHP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</si>
  <si>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</si>
  <si>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</si>
  <si>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</si>
  <si>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</si>
  <si>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</si>
  <si>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</si>
  <si>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</si>
  <si>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</si>
  <si>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</si>
  <si>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</si>
  <si>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</si>
  <si>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</si>
  <si>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</si>
  <si>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</si>
  <si>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</si>
  <si>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</si>
  <si>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</si>
  <si>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TaD_H2G_GRID</t>
  </si>
  <si>
    <t>H2 distribution grid</t>
  </si>
  <si>
    <t>kt</t>
  </si>
  <si>
    <t>TaD_H2G_TRUCK</t>
  </si>
  <si>
    <t>H2 distribution via trucks</t>
  </si>
  <si>
    <t>EX_PV_ROOF</t>
  </si>
  <si>
    <t>NEW_PV_ROOF</t>
  </si>
  <si>
    <t>EX_BIOM</t>
  </si>
  <si>
    <t>Lignite old 1</t>
  </si>
  <si>
    <t>EX_LIG</t>
  </si>
  <si>
    <t>Gas conventional old 1</t>
  </si>
  <si>
    <t>Gas conventional old 2</t>
  </si>
  <si>
    <t>EX_CGGT</t>
  </si>
  <si>
    <t>Hard coal old 1</t>
  </si>
  <si>
    <t>EX_HC</t>
  </si>
  <si>
    <t>Heavy oil old 1</t>
  </si>
  <si>
    <t>EX_OIL</t>
  </si>
  <si>
    <t>EX_PHS</t>
  </si>
  <si>
    <t>Run-of-River</t>
  </si>
  <si>
    <t>EX_HYD</t>
  </si>
  <si>
    <t>Reservoir</t>
  </si>
  <si>
    <t>Solar (Photovoltaic)</t>
  </si>
  <si>
    <t>EX_PV</t>
  </si>
  <si>
    <t>Wind Onshore</t>
  </si>
  <si>
    <t>EX_WIND_ON</t>
  </si>
  <si>
    <t>Others non-renewable</t>
  </si>
  <si>
    <t>EX_OTH</t>
  </si>
  <si>
    <t>Power Plants</t>
  </si>
  <si>
    <t>eur 2020</t>
  </si>
  <si>
    <t>Przelicznik:</t>
  </si>
  <si>
    <t>średni kurs roczny euro 2020</t>
  </si>
  <si>
    <t>~FI_T</t>
  </si>
  <si>
    <t>* TechDesc</t>
  </si>
  <si>
    <t>Comm-IN</t>
  </si>
  <si>
    <t>Comm-OUT</t>
  </si>
  <si>
    <t>EFF</t>
  </si>
  <si>
    <t>CAP2ACT</t>
  </si>
  <si>
    <t>STOCK~2023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</si>
  <si>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</si>
  <si>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</si>
  <si>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</si>
  <si>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</si>
  <si>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</si>
  <si>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</si>
  <si>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</si>
  <si>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</si>
  <si>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</si>
  <si>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</si>
  <si>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</si>
  <si>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KPEIK</t>
  </si>
  <si>
    <t>\I: Technology Name</t>
  </si>
  <si>
    <t>Commodity Input</t>
  </si>
  <si>
    <t>Commodity Output</t>
  </si>
  <si>
    <t>Efficiency</t>
  </si>
  <si>
    <t>Capacity to Activity Factor</t>
  </si>
  <si>
    <t>Peak EQ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</si>
  <si>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</si>
  <si>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</si>
  <si>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</si>
  <si>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</si>
  <si>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</si>
  <si>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</si>
  <si>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</si>
  <si>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</si>
  <si>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</si>
  <si>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</si>
  <si>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</si>
  <si>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</si>
  <si>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</si>
  <si>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EUR/MW</t>
  </si>
  <si>
    <t>EUR/MWh</t>
  </si>
  <si>
    <t>EUR * PLN/EUR</t>
  </si>
  <si>
    <t>PLN</t>
  </si>
  <si>
    <t>PLN/1000</t>
  </si>
  <si>
    <t>MW</t>
  </si>
  <si>
    <t>1000 kW</t>
  </si>
  <si>
    <t>kW</t>
  </si>
  <si>
    <t>AFA</t>
  </si>
  <si>
    <t>Dane z instrat koniec 2024</t>
  </si>
  <si>
    <t>moce zainstalowane 2025-&gt; instrat, 15.06.2025</t>
  </si>
  <si>
    <t>WK</t>
  </si>
  <si>
    <t xml:space="preserve">Produkcja </t>
  </si>
  <si>
    <t>TWh</t>
  </si>
  <si>
    <t>GWh</t>
  </si>
  <si>
    <t>stan na początku roku</t>
  </si>
  <si>
    <t>Moc</t>
  </si>
  <si>
    <t>dane za ARE</t>
  </si>
  <si>
    <t>Roczna produkcja teoretycznie</t>
  </si>
  <si>
    <t>WB</t>
  </si>
  <si>
    <t>TABL. 3. 18. (38) WSKAŹNIKI CHARAKTERYZUJĄCE PRZEMIANĘ ENERGETYCZNĄ:
"PRODUKCJA ENERGII ELEKTRYCZNEJ W ELEKTROWNIACH
CIEPLNYCH ZAWODOWYCH"
1)Statystyka Elektroenergetyki Polskiej 2023</t>
  </si>
  <si>
    <t>GAS</t>
  </si>
  <si>
    <t>Hydro - source TABL. 3. 25. (45) WAŻNIEJSZE INFORMACJE O ELEKTROWNIACH
WODNYCH ZAWODOWYCH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</si>
  <si>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</si>
  <si>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</si>
  <si>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</si>
  <si>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</si>
  <si>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</si>
  <si>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</si>
  <si>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</si>
  <si>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Dane z SEP 2023</t>
  </si>
  <si>
    <t>BIOM</t>
  </si>
  <si>
    <t>WIND_ON</t>
  </si>
  <si>
    <t>HYD</t>
  </si>
  <si>
    <t>PV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</si>
  <si>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</si>
  <si>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</si>
  <si>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</si>
  <si>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</si>
  <si>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</si>
  <si>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</si>
  <si>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</si>
  <si>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</si>
  <si>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</si>
  <si>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</si>
  <si>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</si>
  <si>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</si>
  <si>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</si>
  <si>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Installed Capacity [GW]</t>
  </si>
  <si>
    <t>Annual Availability Factor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</si>
  <si>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</si>
  <si>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</si>
  <si>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</si>
  <si>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</si>
  <si>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</si>
  <si>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</si>
  <si>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</si>
  <si>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</si>
  <si>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</si>
  <si>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</si>
  <si>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</si>
  <si>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</si>
  <si>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</si>
  <si>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</si>
  <si>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</si>
  <si>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</si>
  <si>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Moc zainstalowana (w roku po znaku ~)</t>
  </si>
  <si>
    <t>HC</t>
  </si>
  <si>
    <t>NAT-GAS</t>
  </si>
  <si>
    <t>ZAMROŻENIE  - NIE OBCHODZI NAS TO</t>
  </si>
  <si>
    <t>Transformation and Distribution Networks</t>
  </si>
  <si>
    <t>https://www.energypolicy.columbia.edu/sites/default/files/file-uploads/HydrogenLeakageRegulations_CGEP_Commentary_070722_0.pdf</t>
  </si>
  <si>
    <t>SHARE~FX</t>
  </si>
  <si>
    <t>Share of inputs</t>
  </si>
  <si>
    <t>Share of outputs</t>
  </si>
  <si>
    <t>Udział pochodzący z inputów</t>
  </si>
  <si>
    <t>Udział pochodzący z outputów</t>
  </si>
  <si>
    <t>sieci</t>
  </si>
  <si>
    <t>PSE,2023</t>
  </si>
  <si>
    <t>https://raport.pse.pl/wplyw-na-gospodarke-i-rynek/stabilna-praca-systemu-elektroenergetycznego</t>
  </si>
  <si>
    <t>STG_EFF</t>
  </si>
  <si>
    <t>STOCK~2025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</si>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</sst>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</numFmts>
  <fonts count="16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i/>
      <sz val="10"/>
      <color rgb="FF000000"/>
      <name val="Arial"/>
      <family val="2"/>
      <charset val="238"/>
    </font>
  </fonts>
  <fills count="10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13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0" fillId="0" borderId="0" xfId="0" applyNumberFormat="1"/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0" fontId="47" fillId="43" borderId="0" xfId="0" applyFont="1" applyFill="1"/>
    <xf numFmtId="0" fontId="47" fillId="43" borderId="45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0" fillId="0" borderId="10" xfId="0" applyNumberFormat="1" applyBorder="1"/>
    <xf numFmtId="0" fontId="47" fillId="101" borderId="10" xfId="0" applyFont="1" applyFill="1" applyBorder="1"/>
    <xf numFmtId="196" fontId="164" fillId="0" borderId="10" xfId="0" applyNumberFormat="1" applyFont="1" applyBorder="1"/>
    <xf numFmtId="0" fontId="47" fillId="101" borderId="10" xfId="0" applyFont="1" applyFill="1" applyBorder="1" applyAlignment="1">
      <alignment horizontal="center" vertical="center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0" fontId="47" fillId="43" borderId="46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48" xfId="0" applyFont="1" applyFill="1" applyBorder="1"/>
    <xf numFmtId="0" fontId="47" fillId="45" borderId="21" xfId="0" applyFont="1" applyFill="1" applyBorder="1"/>
    <xf numFmtId="0" fontId="47" fillId="45" borderId="49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0" fontId="120" fillId="49" borderId="18" xfId="0" applyFont="1" applyFill="1" applyBorder="1" applyAlignment="1">
      <alignment horizontal="center"/>
    </xf>
    <xf numFmtId="0" fontId="120" fillId="49" borderId="47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105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  <xf numFmtId="186" fontId="122" fillId="47" borderId="0" xfId="0" applyNumberFormat="1" applyFont="1" applyFill="1" applyBorder="1"/>
    <xf numFmtId="186" fontId="166" fillId="47" borderId="0" xfId="0" applyNumberFormat="1" applyFont="1" applyFill="1" applyBorder="1"/>
    <xf numFmtId="186" fontId="165" fillId="106" borderId="50" xfId="0" applyNumberFormat="1" applyFont="1" applyFill="1" applyBorder="1" applyAlignment="1">
      <alignment horizontal="center" vertical="center" wrapText="1"/>
    </xf>
    <xf numFmtId="186" fontId="167" fillId="107" borderId="50" xfId="766" applyNumberFormat="1" applyFont="1" applyFill="1" applyBorder="1" applyAlignment="1">
      <alignment horizontal="left" vertical="center" wrapText="1"/>
    </xf>
    <xf numFmtId="186" fontId="167" fillId="107" borderId="50" xfId="766" applyNumberFormat="1" applyFont="1" applyFill="1" applyBorder="1" applyAlignment="1">
      <alignment horizontal="center" vertical="center" wrapText="1"/>
    </xf>
    <xf numFmtId="186" fontId="167" fillId="108" borderId="27" xfId="766" applyNumberFormat="1" applyFont="1" applyFill="1" applyBorder="1" applyAlignment="1">
      <alignment horizontal="left" vertical="center" wrapText="1"/>
    </xf>
    <xf numFmtId="186" fontId="167" fillId="108" borderId="27" xfId="766" applyNumberFormat="1" applyFont="1" applyFill="1" applyBorder="1" applyAlignment="1">
      <alignment horizontal="center" vertical="center" wrapText="1"/>
    </xf>
    <xf numFmtId="0" fontId="167" fillId="108" borderId="27" xfId="766" quotePrefix="1" applyFont="1" applyFill="1" applyBorder="1" applyAlignment="1">
      <alignment horizontal="center" vertical="center" wrapText="1"/>
    </xf>
    <xf numFmtId="186" fontId="122" fillId="47" borderId="45" xfId="0" applyNumberFormat="1" applyFont="1" applyFill="1" applyBorder="1"/>
    <xf numFmtId="186" fontId="122" fillId="47" borderId="46" xfId="0" applyNumberFormat="1" applyFont="1" applyFill="1" applyBorder="1"/>
    <xf numFmtId="186" fontId="122" fillId="48" borderId="45" xfId="0" applyNumberFormat="1" applyFont="1" applyFill="1" applyBorder="1"/>
    <xf numFmtId="186" fontId="122" fillId="48" borderId="0" xfId="0" applyNumberFormat="1" applyFont="1" applyFill="1" applyBorder="1"/>
    <xf numFmtId="186" fontId="122" fillId="48" borderId="46" xfId="0" applyNumberFormat="1" applyFont="1" applyFill="1" applyBorder="1"/>
    <xf numFmtId="0" fontId="122" fillId="47" borderId="45" xfId="0" applyFont="1" applyFill="1" applyBorder="1"/>
    <xf numFmtId="0" fontId="122" fillId="47" borderId="0" xfId="0" applyFont="1" applyFill="1" applyBorder="1"/>
    <xf numFmtId="0" fontId="122" fillId="47" borderId="46" xfId="0" applyFont="1" applyFill="1" applyBorder="1"/>
    <xf numFmtId="0" fontId="122" fillId="48" borderId="45" xfId="0" applyFont="1" applyFill="1" applyBorder="1"/>
    <xf numFmtId="0" fontId="122" fillId="48" borderId="0" xfId="0" applyFont="1" applyFill="1" applyBorder="1"/>
    <xf numFmtId="0" fontId="122" fillId="48" borderId="46" xfId="0" applyFont="1" applyFill="1" applyBorder="1"/>
    <xf numFmtId="0" fontId="122" fillId="47" borderId="51" xfId="0" applyFont="1" applyFill="1" applyBorder="1"/>
    <xf numFmtId="186" fontId="122" fillId="47" borderId="51" xfId="0" applyNumberFormat="1" applyFont="1" applyFill="1" applyBorder="1"/>
    <xf numFmtId="0" fontId="0" fillId="47" borderId="0" xfId="0" applyFill="1"/>
    <xf numFmtId="0" fontId="0" fillId="47" borderId="0" xfId="0" applyFill="1" applyAlignment="1">
      <alignment horizontal="center" vertical="center"/>
    </xf>
    <xf numFmtId="0" fontId="166" fillId="47" borderId="0" xfId="775" applyFont="1" applyFill="1" applyBorder="1" applyAlignment="1">
      <alignment horizontal="left"/>
    </xf>
    <xf numFmtId="0" fontId="166" fillId="47" borderId="0" xfId="0" applyFont="1" applyFill="1" applyBorder="1"/>
    <xf numFmtId="0" fontId="166" fillId="47" borderId="0" xfId="775" applyFont="1" applyFill="1" applyBorder="1"/>
    <xf numFmtId="0" fontId="122" fillId="47" borderId="0" xfId="1212" applyNumberFormat="1" applyFont="1" applyFill="1" applyBorder="1" applyAlignment="1">
      <alignment horizontal="center"/>
    </xf>
    <xf numFmtId="0" fontId="122" fillId="48" borderId="0" xfId="1212" applyNumberFormat="1" applyFont="1" applyFill="1" applyBorder="1" applyAlignment="1">
      <alignment horizontal="center"/>
    </xf>
    <xf numFmtId="0" fontId="122" fillId="48" borderId="52" xfId="0" applyFont="1" applyFill="1" applyBorder="1"/>
    <xf numFmtId="0" fontId="122" fillId="48" borderId="51" xfId="0" applyFont="1" applyFill="1" applyBorder="1"/>
    <xf numFmtId="0" fontId="122" fillId="48" borderId="51" xfId="1212" applyNumberFormat="1" applyFont="1" applyFill="1" applyBorder="1" applyAlignment="1">
      <alignment horizontal="center"/>
    </xf>
    <xf numFmtId="0" fontId="122" fillId="48" borderId="53" xfId="0" applyFont="1" applyFill="1" applyBorder="1"/>
    <xf numFmtId="0" fontId="11" fillId="47" borderId="0" xfId="0" applyFont="1" applyFill="1"/>
    <xf numFmtId="0" fontId="7" fillId="47" borderId="0" xfId="0" applyFont="1" applyFill="1" applyAlignment="1">
      <alignment horizontal="left" wrapText="1"/>
    </xf>
    <xf numFmtId="0" fontId="8" fillId="47" borderId="0" xfId="0" applyFont="1" applyFill="1"/>
    <xf numFmtId="0" fontId="105" fillId="47" borderId="0" xfId="0" applyFont="1" applyFill="1" applyAlignment="1">
      <alignment wrapText="1"/>
    </xf>
    <xf numFmtId="0" fontId="166" fillId="47" borderId="0" xfId="775" applyFont="1" applyFill="1" applyBorder="1" applyAlignment="1">
      <alignment horizontal="right"/>
    </xf>
    <xf numFmtId="186" fontId="167" fillId="107" borderId="50" xfId="766" applyNumberFormat="1" applyFont="1" applyFill="1" applyBorder="1" applyAlignment="1">
      <alignment horizontal="center" vertical="center" wrapText="1"/>
    </xf>
    <xf numFmtId="186" fontId="167" fillId="108" borderId="27" xfId="766" applyNumberFormat="1" applyFont="1" applyFill="1" applyBorder="1" applyAlignment="1">
      <alignment horizontal="center" vertical="center" wrapText="1"/>
    </xf>
    <xf numFmtId="2" fontId="122" fillId="47" borderId="0" xfId="0" applyNumberFormat="1" applyFont="1" applyFill="1" applyBorder="1"/>
    <xf numFmtId="2" fontId="122" fillId="47" borderId="46" xfId="0" applyNumberFormat="1" applyFont="1" applyFill="1" applyBorder="1"/>
    <xf numFmtId="2" fontId="122" fillId="48" borderId="0" xfId="0" applyNumberFormat="1" applyFont="1" applyFill="1" applyBorder="1"/>
    <xf numFmtId="2" fontId="122" fillId="48" borderId="46" xfId="0" applyNumberFormat="1" applyFont="1" applyFill="1" applyBorder="1"/>
    <xf numFmtId="2" fontId="122" fillId="48" borderId="51" xfId="0" applyNumberFormat="1" applyFont="1" applyFill="1" applyBorder="1"/>
    <xf numFmtId="2" fontId="122" fillId="48" borderId="53" xfId="0" applyNumberFormat="1" applyFont="1" applyFill="1" applyBorder="1"/>
    <xf numFmtId="0" fontId="57" fillId="47" borderId="0" xfId="0" applyFont="1" applyFill="1"/>
    <xf numFmtId="0" fontId="12" fillId="47" borderId="0" xfId="0" applyFont="1" applyFill="1" applyAlignment="1">
      <alignment horizontal="left"/>
    </xf>
    <xf numFmtId="0" fontId="12" fillId="47" borderId="0" xfId="0" applyFont="1" applyFill="1" applyAlignment="1">
      <alignment horizontal="right"/>
    </xf>
    <xf numFmtId="0" fontId="9" fillId="47" borderId="0" xfId="0" applyFont="1" applyFill="1" applyAlignment="1">
      <alignment horizontal="right"/>
    </xf>
    <xf numFmtId="0" fontId="6" fillId="47" borderId="0" xfId="0" applyFont="1" applyFill="1" applyAlignment="1">
      <alignment horizontal="right"/>
    </xf>
    <xf numFmtId="0" fontId="0" fillId="47" borderId="0" xfId="0" applyFill="1" applyAlignment="1">
      <alignment horizontal="right"/>
    </xf>
    <xf numFmtId="0" fontId="6" fillId="47" borderId="0" xfId="0" applyFont="1" applyFill="1"/>
    <xf numFmtId="196" fontId="122" fillId="47" borderId="0" xfId="1212" applyNumberFormat="1" applyFont="1" applyFill="1" applyBorder="1"/>
    <xf numFmtId="2" fontId="122" fillId="47" borderId="0" xfId="0" applyNumberFormat="1" applyFont="1" applyFill="1" applyBorder="1" applyAlignment="1">
      <alignment horizontal="right"/>
    </xf>
    <xf numFmtId="196" fontId="122" fillId="47" borderId="0" xfId="0" applyNumberFormat="1" applyFont="1" applyFill="1" applyBorder="1" applyAlignment="1">
      <alignment horizontal="right"/>
    </xf>
    <xf numFmtId="2" fontId="122" fillId="47" borderId="46" xfId="0" applyNumberFormat="1" applyFont="1" applyFill="1" applyBorder="1" applyAlignment="1">
      <alignment horizontal="right"/>
    </xf>
    <xf numFmtId="196" fontId="122" fillId="48" borderId="0" xfId="1212" applyNumberFormat="1" applyFont="1" applyFill="1" applyBorder="1"/>
    <xf numFmtId="196" fontId="122" fillId="48" borderId="0" xfId="0" applyNumberFormat="1" applyFont="1" applyFill="1" applyBorder="1"/>
    <xf numFmtId="2" fontId="122" fillId="48" borderId="0" xfId="0" applyNumberFormat="1" applyFont="1" applyFill="1" applyBorder="1" applyAlignment="1">
      <alignment horizontal="right"/>
    </xf>
    <xf numFmtId="2" fontId="122" fillId="48" borderId="46" xfId="0" applyNumberFormat="1" applyFont="1" applyFill="1" applyBorder="1" applyAlignment="1">
      <alignment horizontal="right"/>
    </xf>
    <xf numFmtId="186" fontId="122" fillId="47" borderId="52" xfId="0" applyNumberFormat="1" applyFont="1" applyFill="1" applyBorder="1"/>
    <xf numFmtId="196" fontId="122" fillId="47" borderId="51" xfId="1212" applyNumberFormat="1" applyFont="1" applyFill="1" applyBorder="1"/>
    <xf numFmtId="2" fontId="122" fillId="47" borderId="51" xfId="0" applyNumberFormat="1" applyFont="1" applyFill="1" applyBorder="1"/>
    <xf numFmtId="196" fontId="122" fillId="47" borderId="51" xfId="0" applyNumberFormat="1" applyFont="1" applyFill="1" applyBorder="1"/>
    <xf numFmtId="2" fontId="122" fillId="47" borderId="51" xfId="0" applyNumberFormat="1" applyFont="1" applyFill="1" applyBorder="1" applyAlignment="1">
      <alignment horizontal="right"/>
    </xf>
    <xf numFmtId="2" fontId="122" fillId="47" borderId="53" xfId="0" applyNumberFormat="1" applyFont="1" applyFill="1" applyBorder="1" applyAlignment="1">
      <alignment horizontal="right"/>
    </xf>
    <xf numFmtId="186" fontId="167" fillId="108" borderId="27" xfId="766" quotePrefix="1" applyNumberFormat="1" applyFont="1" applyFill="1" applyBorder="1" applyAlignment="1">
      <alignment horizontal="center" vertical="center" wrapText="1"/>
    </xf>
    <xf numFmtId="186" fontId="122" fillId="47" borderId="53" xfId="0" applyNumberFormat="1" applyFont="1" applyFill="1" applyBorder="1"/>
    <xf numFmtId="186" fontId="8" fillId="47" borderId="0" xfId="0" applyNumberFormat="1" applyFont="1" applyFill="1"/>
    <xf numFmtId="186" fontId="6" fillId="47" borderId="0" xfId="0" applyNumberFormat="1" applyFont="1" applyFill="1"/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" xfId="1212" builtinId="5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10</xdr:row>
      <xdr:rowOff>70763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30"/>
  <sheetViews>
    <sheetView tabSelected="1" topLeftCell="A15" zoomScale="115" zoomScaleNormal="115" workbookViewId="0">
      <selection activeCell="B4" sqref="B4:I22"/>
    </sheetView>
  </sheetViews>
  <sheetFormatPr defaultColWidth="8.54296875" defaultRowHeight="12.5"/>
  <cols>
    <col min="1" max="1" width="2.54296875" customWidth="1"/>
    <col min="2" max="2" width="14.453125" customWidth="1"/>
    <col min="3" max="3" width="20.453125" customWidth="1"/>
    <col min="4" max="4" width="42.54296875" customWidth="1"/>
    <col min="5" max="5" width="9.453125" customWidth="1"/>
    <col min="6" max="6" width="13.453125" customWidth="1"/>
    <col min="7" max="7" width="11.453125" customWidth="1"/>
    <col min="8" max="8" width="14.453125" customWidth="1"/>
    <col min="9" max="9" width="13.453125" customWidth="1"/>
    <col min="10" max="10" width="10.453125" customWidth="1"/>
    <col min="11" max="12" width="10.54296875" bestFit="1" customWidth="1"/>
  </cols>
  <sheetData>
    <row r="2" spans="1:10" ht="17.5">
      <c r="B2" s="58" t="s">
        <v>0</v>
      </c>
      <c r="C2" s="59"/>
      <c r="D2" s="59"/>
      <c r="E2" s="21"/>
      <c r="F2" s="21"/>
      <c r="G2" s="21"/>
      <c r="H2" s="21"/>
      <c r="I2" s="21"/>
    </row>
    <row r="3" spans="1:10" ht="17.899999999999999" customHeight="1">
      <c r="A3" s="164"/>
      <c r="B3" s="211"/>
      <c r="C3" s="212"/>
      <c r="D3" s="212"/>
      <c r="E3" s="212"/>
      <c r="F3" s="212"/>
      <c r="G3" s="212"/>
      <c r="H3" s="212"/>
      <c r="I3" s="212"/>
      <c r="J3" s="164"/>
    </row>
    <row r="4" spans="1:10" ht="18.75" customHeight="1" thickBot="1">
      <c r="A4" s="164"/>
      <c r="B4" s="144" t="s">
        <v>1</v>
      </c>
      <c r="C4" s="144"/>
      <c r="D4" s="144"/>
      <c r="E4" s="144"/>
      <c r="F4" s="144"/>
      <c r="G4" s="144"/>
      <c r="H4" s="144"/>
      <c r="I4" s="144"/>
      <c r="J4" s="164"/>
    </row>
    <row r="5" spans="1:10" ht="13.5" thickBot="1">
      <c r="A5" s="164"/>
      <c r="B5" s="145" t="s">
        <v>2</v>
      </c>
      <c r="C5" s="145" t="s">
        <v>3</v>
      </c>
      <c r="D5" s="145" t="s">
        <v>4</v>
      </c>
      <c r="E5" s="145" t="s">
        <v>5</v>
      </c>
      <c r="F5" s="145" t="s">
        <v>6</v>
      </c>
      <c r="G5" s="145" t="s">
        <v>7</v>
      </c>
      <c r="H5" s="145" t="s">
        <v>8</v>
      </c>
      <c r="I5" s="145" t="s">
        <v>9</v>
      </c>
      <c r="J5" s="164"/>
    </row>
    <row r="6" spans="1:10" ht="39">
      <c r="A6" s="164"/>
      <c r="B6" s="147" t="s">
        <v>10</v>
      </c>
      <c r="C6" s="147" t="s">
        <v>11</v>
      </c>
      <c r="D6" s="147" t="s">
        <v>12</v>
      </c>
      <c r="E6" s="147" t="s">
        <v>5</v>
      </c>
      <c r="F6" s="147" t="s">
        <v>13</v>
      </c>
      <c r="G6" s="147" t="s">
        <v>14</v>
      </c>
      <c r="H6" s="147" t="s">
        <v>15</v>
      </c>
      <c r="I6" s="147" t="s">
        <v>16</v>
      </c>
      <c r="J6" s="164"/>
    </row>
    <row r="7" spans="1:10" ht="65">
      <c r="A7" s="164"/>
      <c r="B7" s="149" t="s">
        <v>17</v>
      </c>
      <c r="C7" s="149" t="s">
        <v>18</v>
      </c>
      <c r="D7" s="149" t="s">
        <v>19</v>
      </c>
      <c r="E7" s="149" t="s">
        <v>20</v>
      </c>
      <c r="F7" s="209" t="s">
        <v>21</v>
      </c>
      <c r="G7" s="149" t="s">
        <v>22</v>
      </c>
      <c r="H7" s="209" t="s">
        <v>23</v>
      </c>
      <c r="I7" s="149" t="s">
        <v>24</v>
      </c>
      <c r="J7" s="164"/>
    </row>
    <row r="8" spans="1:10" ht="18.75" customHeight="1">
      <c r="A8" s="164"/>
      <c r="B8" s="151" t="s">
        <v>25</v>
      </c>
      <c r="C8" s="143" t="s">
        <v>26</v>
      </c>
      <c r="D8" s="143" t="s">
        <v>27</v>
      </c>
      <c r="E8" s="143" t="s">
        <v>28</v>
      </c>
      <c r="F8" s="143"/>
      <c r="G8" s="143"/>
      <c r="H8" s="143"/>
      <c r="I8" s="152"/>
      <c r="J8" s="164"/>
    </row>
    <row r="9" spans="1:10" ht="18.75" customHeight="1">
      <c r="A9" s="164"/>
      <c r="B9" s="153" t="s">
        <v>25</v>
      </c>
      <c r="C9" s="154" t="s">
        <v>29</v>
      </c>
      <c r="D9" s="154" t="s">
        <v>30</v>
      </c>
      <c r="E9" s="154" t="s">
        <v>28</v>
      </c>
      <c r="F9" s="154"/>
      <c r="G9" s="154"/>
      <c r="H9" s="154"/>
      <c r="I9" s="155"/>
      <c r="J9" s="164"/>
    </row>
    <row r="10" spans="1:10" ht="18.75" customHeight="1">
      <c r="A10" s="164"/>
      <c r="B10" s="151" t="s">
        <v>25</v>
      </c>
      <c r="C10" s="143" t="s">
        <v>31</v>
      </c>
      <c r="D10" s="143" t="s">
        <v>32</v>
      </c>
      <c r="E10" s="143" t="s">
        <v>28</v>
      </c>
      <c r="F10" s="143"/>
      <c r="G10" s="143"/>
      <c r="H10" s="143"/>
      <c r="I10" s="152"/>
      <c r="J10" s="164"/>
    </row>
    <row r="11" spans="1:10" ht="18.75" customHeight="1">
      <c r="A11" s="164"/>
      <c r="B11" s="153" t="s">
        <v>25</v>
      </c>
      <c r="C11" s="154" t="s">
        <v>33</v>
      </c>
      <c r="D11" s="154" t="s">
        <v>34</v>
      </c>
      <c r="E11" s="154" t="s">
        <v>28</v>
      </c>
      <c r="F11" s="154"/>
      <c r="G11" s="154"/>
      <c r="H11" s="154"/>
      <c r="I11" s="155"/>
      <c r="J11" s="164"/>
    </row>
    <row r="12" spans="1:10" ht="18.75" customHeight="1">
      <c r="A12" s="164"/>
      <c r="B12" s="151" t="s">
        <v>25</v>
      </c>
      <c r="C12" s="143" t="s">
        <v>35</v>
      </c>
      <c r="D12" s="143" t="s">
        <v>36</v>
      </c>
      <c r="E12" s="143" t="s">
        <v>28</v>
      </c>
      <c r="F12" s="143"/>
      <c r="G12" s="143"/>
      <c r="H12" s="143"/>
      <c r="I12" s="152"/>
      <c r="J12" s="164"/>
    </row>
    <row r="13" spans="1:10" ht="18.75" customHeight="1">
      <c r="A13" s="164"/>
      <c r="B13" s="153" t="s">
        <v>25</v>
      </c>
      <c r="C13" s="154" t="s">
        <v>37</v>
      </c>
      <c r="D13" s="154" t="s">
        <v>38</v>
      </c>
      <c r="E13" s="154" t="s">
        <v>28</v>
      </c>
      <c r="F13" s="154"/>
      <c r="G13" s="154"/>
      <c r="H13" s="154"/>
      <c r="I13" s="155"/>
      <c r="J13" s="164"/>
    </row>
    <row r="14" spans="1:10" ht="18.75" customHeight="1">
      <c r="A14" s="164"/>
      <c r="B14" s="151" t="s">
        <v>25</v>
      </c>
      <c r="C14" s="143" t="s">
        <v>39</v>
      </c>
      <c r="D14" s="143" t="s">
        <v>40</v>
      </c>
      <c r="E14" s="143" t="s">
        <v>28</v>
      </c>
      <c r="F14" s="143"/>
      <c r="G14" s="143"/>
      <c r="H14" s="143"/>
      <c r="I14" s="152"/>
      <c r="J14" s="164"/>
    </row>
    <row r="15" spans="1:10" ht="18.75" customHeight="1">
      <c r="A15" s="164"/>
      <c r="B15" s="153" t="s">
        <v>25</v>
      </c>
      <c r="C15" s="154" t="s">
        <v>41</v>
      </c>
      <c r="D15" s="154" t="s">
        <v>42</v>
      </c>
      <c r="E15" s="154" t="s">
        <v>28</v>
      </c>
      <c r="F15" s="154"/>
      <c r="G15" s="154"/>
      <c r="H15" s="154"/>
      <c r="I15" s="155"/>
      <c r="J15" s="164"/>
    </row>
    <row r="16" spans="1:10" ht="18.75" customHeight="1">
      <c r="A16" s="164"/>
      <c r="B16" s="151" t="s">
        <v>25</v>
      </c>
      <c r="C16" s="143" t="s">
        <v>43</v>
      </c>
      <c r="D16" s="143" t="s">
        <v>44</v>
      </c>
      <c r="E16" s="143" t="s">
        <v>28</v>
      </c>
      <c r="F16" s="143"/>
      <c r="G16" s="143" t="s">
        <v>45</v>
      </c>
      <c r="H16" s="143"/>
      <c r="I16" s="152"/>
      <c r="J16" s="164"/>
    </row>
    <row r="17" spans="1:10" ht="18.75" customHeight="1">
      <c r="A17" s="164"/>
      <c r="B17" s="160" t="s">
        <v>25</v>
      </c>
      <c r="C17" s="160" t="s">
        <v>46</v>
      </c>
      <c r="D17" s="160" t="s">
        <v>47</v>
      </c>
      <c r="E17" s="160" t="s">
        <v>28</v>
      </c>
      <c r="F17" s="160"/>
      <c r="G17" s="154" t="s">
        <v>45</v>
      </c>
      <c r="H17" s="154"/>
      <c r="I17" s="160"/>
      <c r="J17" s="164"/>
    </row>
    <row r="18" spans="1:10" ht="18.75" customHeight="1">
      <c r="A18" s="164"/>
      <c r="B18" s="151" t="s">
        <v>25</v>
      </c>
      <c r="C18" s="143" t="s">
        <v>48</v>
      </c>
      <c r="D18" s="143" t="s">
        <v>49</v>
      </c>
      <c r="E18" s="143" t="s">
        <v>28</v>
      </c>
      <c r="F18" s="143"/>
      <c r="G18" s="143" t="s">
        <v>45</v>
      </c>
      <c r="H18" s="143"/>
      <c r="I18" s="152"/>
      <c r="J18" s="164"/>
    </row>
    <row r="19" spans="1:10" ht="18.75" customHeight="1">
      <c r="A19" s="164"/>
      <c r="B19" s="160" t="s">
        <v>25</v>
      </c>
      <c r="C19" s="160" t="s">
        <v>50</v>
      </c>
      <c r="D19" s="160" t="s">
        <v>51</v>
      </c>
      <c r="E19" s="160" t="s">
        <v>28</v>
      </c>
      <c r="F19" s="160"/>
      <c r="G19" s="154" t="s">
        <v>45</v>
      </c>
      <c r="H19" s="154"/>
      <c r="I19" s="160"/>
      <c r="J19" s="164"/>
    </row>
    <row r="20" spans="1:10" ht="18.75" customHeight="1">
      <c r="A20" s="164"/>
      <c r="B20" s="151" t="s">
        <v>25</v>
      </c>
      <c r="C20" s="143" t="s">
        <v>52</v>
      </c>
      <c r="D20" s="143" t="s">
        <v>53</v>
      </c>
      <c r="E20" s="143" t="s">
        <v>54</v>
      </c>
      <c r="F20" s="143"/>
      <c r="G20" s="143"/>
      <c r="H20" s="143"/>
      <c r="I20" s="152"/>
      <c r="J20" s="164"/>
    </row>
    <row r="21" spans="1:10" ht="18.75" customHeight="1">
      <c r="A21" s="164"/>
      <c r="B21" s="153" t="s">
        <v>25</v>
      </c>
      <c r="C21" s="154" t="s">
        <v>55</v>
      </c>
      <c r="D21" s="154" t="s">
        <v>56</v>
      </c>
      <c r="E21" s="154" t="s">
        <v>54</v>
      </c>
      <c r="F21" s="154"/>
      <c r="G21" s="154"/>
      <c r="H21" s="154"/>
      <c r="I21" s="155"/>
      <c r="J21" s="164"/>
    </row>
    <row r="22" spans="1:10" ht="18.75" customHeight="1" thickBot="1">
      <c r="A22" s="164"/>
      <c r="B22" s="203" t="s">
        <v>25</v>
      </c>
      <c r="C22" s="163" t="s">
        <v>57</v>
      </c>
      <c r="D22" s="163" t="s">
        <v>58</v>
      </c>
      <c r="E22" s="163" t="s">
        <v>54</v>
      </c>
      <c r="F22" s="163"/>
      <c r="G22" s="163"/>
      <c r="H22" s="163"/>
      <c r="I22" s="210"/>
      <c r="J22" s="164"/>
    </row>
    <row r="23" spans="1:10" ht="13" thickTop="1">
      <c r="A23" s="164"/>
      <c r="B23" s="164"/>
      <c r="C23" s="164"/>
      <c r="D23" s="164"/>
      <c r="E23" s="164"/>
      <c r="F23" s="164"/>
      <c r="G23" s="164"/>
      <c r="H23" s="164"/>
      <c r="I23" s="164"/>
      <c r="J23" s="164"/>
    </row>
    <row r="25" spans="1:10" ht="13" thickBot="1">
      <c r="B25" s="127" t="s">
        <v>59</v>
      </c>
      <c r="C25" s="128"/>
    </row>
    <row r="26" spans="1:10">
      <c r="B26" s="57" t="s">
        <v>25</v>
      </c>
      <c r="C26" s="57" t="s">
        <v>60</v>
      </c>
    </row>
    <row r="27" spans="1:10">
      <c r="B27" s="55" t="s">
        <v>61</v>
      </c>
      <c r="C27" s="55" t="s">
        <v>62</v>
      </c>
    </row>
    <row r="28" spans="1:10">
      <c r="B28" s="54" t="s">
        <v>63</v>
      </c>
      <c r="C28" s="54" t="s">
        <v>64</v>
      </c>
    </row>
    <row r="29" spans="1:10">
      <c r="B29" s="55" t="s">
        <v>65</v>
      </c>
      <c r="C29" s="55" t="s">
        <v>66</v>
      </c>
    </row>
    <row r="30" spans="1:10" ht="13" thickBot="1">
      <c r="B30" s="56" t="s">
        <v>67</v>
      </c>
      <c r="C30" s="56" t="s">
        <v>68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K73"/>
  <sheetViews>
    <sheetView showFormulas="1" zoomScale="85" zoomScaleNormal="85" workbookViewId="0">
      <selection activeCell="H23" sqref="H23"/>
    </sheetView>
  </sheetViews>
  <sheetFormatPr defaultColWidth="8.54296875" defaultRowHeight="12.5"/>
  <cols>
    <col min="1" max="1" width="1.453125" customWidth="1"/>
    <col min="2" max="3" width="7.453125" customWidth="1"/>
    <col min="4" max="4" width="21.453125" customWidth="1"/>
    <col min="5" max="5" width="18.54296875" customWidth="1"/>
    <col min="6" max="6" width="6.54296875" customWidth="1"/>
    <col min="7" max="8" width="8.453125" customWidth="1"/>
    <col min="9" max="9" width="7.453125" customWidth="1"/>
    <col min="10" max="10" width="6.54296875" customWidth="1"/>
    <col min="12" max="12" width="13.453125" customWidth="1"/>
  </cols>
  <sheetData>
    <row r="1" spans="1:11" ht="12.75" customHeight="1">
      <c r="B1" s="61"/>
      <c r="C1" s="26"/>
      <c r="D1" s="26"/>
    </row>
    <row r="2" spans="1:11" ht="18.75" customHeight="1">
      <c r="A2" s="12"/>
      <c r="B2" s="62" t="s">
        <v>69</v>
      </c>
      <c r="C2" s="62"/>
      <c r="D2" s="62"/>
      <c r="E2" s="22"/>
      <c r="F2" s="22"/>
      <c r="G2" s="22"/>
      <c r="H2" s="22"/>
      <c r="I2" s="22"/>
      <c r="J2" s="22"/>
    </row>
    <row r="3" spans="1:11" ht="12.75" customHeight="1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</row>
    <row r="4" spans="1:11" ht="18.75" customHeight="1" thickBot="1">
      <c r="A4" s="164"/>
      <c r="B4" s="144" t="s">
        <v>70</v>
      </c>
      <c r="C4" s="144"/>
      <c r="D4" s="144"/>
      <c r="E4" s="144"/>
      <c r="F4" s="144"/>
      <c r="G4" s="144"/>
      <c r="H4" s="144"/>
      <c r="I4" s="144"/>
      <c r="J4" s="144"/>
      <c r="K4" s="164"/>
    </row>
    <row r="5" spans="1:11" ht="18.75" customHeight="1" thickBot="1">
      <c r="A5" s="164"/>
      <c r="B5" s="145" t="s">
        <v>71</v>
      </c>
      <c r="C5" s="145" t="s">
        <v>72</v>
      </c>
      <c r="D5" s="145" t="s">
        <v>73</v>
      </c>
      <c r="E5" s="145" t="s">
        <v>74</v>
      </c>
      <c r="F5" s="145" t="s">
        <v>75</v>
      </c>
      <c r="G5" s="145" t="s">
        <v>76</v>
      </c>
      <c r="H5" s="145" t="s">
        <v>77</v>
      </c>
      <c r="I5" s="145" t="s">
        <v>78</v>
      </c>
      <c r="J5" s="145" t="s">
        <v>79</v>
      </c>
      <c r="K5" s="164"/>
    </row>
    <row r="6" spans="1:11" ht="41" customHeight="1">
      <c r="A6" s="164"/>
      <c r="B6" s="146" t="s">
        <v>80</v>
      </c>
      <c r="C6" s="146" t="s">
        <v>81</v>
      </c>
      <c r="D6" s="146" t="s">
        <v>82</v>
      </c>
      <c r="E6" s="146" t="s">
        <v>83</v>
      </c>
      <c r="F6" s="147" t="s">
        <v>84</v>
      </c>
      <c r="G6" s="147" t="s">
        <v>85</v>
      </c>
      <c r="H6" s="147" t="s">
        <v>14</v>
      </c>
      <c r="I6" s="147" t="s">
        <v>86</v>
      </c>
      <c r="J6" s="147" t="s">
        <v>87</v>
      </c>
      <c r="K6" s="164"/>
    </row>
    <row r="7" spans="1:11" ht="59" customHeight="1">
      <c r="A7" s="164"/>
      <c r="B7" s="148" t="s">
        <v>88</v>
      </c>
      <c r="C7" s="148" t="s">
        <v>89</v>
      </c>
      <c r="D7" s="148" t="s">
        <v>90</v>
      </c>
      <c r="E7" s="148" t="s">
        <v>91</v>
      </c>
      <c r="F7" s="149" t="s">
        <v>92</v>
      </c>
      <c r="G7" s="149" t="s">
        <v>93</v>
      </c>
      <c r="H7" s="149" t="s">
        <v>22</v>
      </c>
      <c r="I7" s="150" t="s">
        <v>94</v>
      </c>
      <c r="J7" s="150" t="s">
        <v>95</v>
      </c>
      <c r="K7" s="164"/>
    </row>
    <row r="8" spans="1:11" ht="18.75" customHeight="1">
      <c r="A8" s="164"/>
      <c r="B8" s="151" t="s">
        <v>96</v>
      </c>
      <c r="C8" s="143" t="s">
        <v>97</v>
      </c>
      <c r="D8" s="143" t="s">
        <v>98</v>
      </c>
      <c r="E8" s="143" t="s">
        <v>99</v>
      </c>
      <c r="F8" s="143" t="s">
        <v>28</v>
      </c>
      <c r="G8" s="143" t="s">
        <v>100</v>
      </c>
      <c r="H8" s="143" t="s">
        <v>45</v>
      </c>
      <c r="I8" s="143"/>
      <c r="J8" s="152"/>
      <c r="K8" s="164"/>
    </row>
    <row r="9" spans="1:11" ht="18.75" customHeight="1">
      <c r="A9" s="164"/>
      <c r="B9" s="153" t="s">
        <v>96</v>
      </c>
      <c r="C9" s="154" t="s">
        <v>97</v>
      </c>
      <c r="D9" s="154" t="s">
        <v>101</v>
      </c>
      <c r="E9" s="154" t="s">
        <v>102</v>
      </c>
      <c r="F9" s="154" t="s">
        <v>28</v>
      </c>
      <c r="G9" s="154" t="s">
        <v>100</v>
      </c>
      <c r="H9" s="154" t="s">
        <v>45</v>
      </c>
      <c r="I9" s="154"/>
      <c r="J9" s="155"/>
      <c r="K9" s="164"/>
    </row>
    <row r="10" spans="1:11" ht="18.75" customHeight="1">
      <c r="A10" s="164"/>
      <c r="B10" s="151" t="s">
        <v>96</v>
      </c>
      <c r="C10" s="143" t="s">
        <v>97</v>
      </c>
      <c r="D10" s="143" t="s">
        <v>103</v>
      </c>
      <c r="E10" s="143" t="s">
        <v>104</v>
      </c>
      <c r="F10" s="143" t="s">
        <v>28</v>
      </c>
      <c r="G10" s="143" t="s">
        <v>100</v>
      </c>
      <c r="H10" s="143" t="s">
        <v>45</v>
      </c>
      <c r="I10" s="143"/>
      <c r="J10" s="152"/>
      <c r="K10" s="164"/>
    </row>
    <row r="11" spans="1:11" ht="18.75" customHeight="1">
      <c r="A11" s="164"/>
      <c r="B11" s="153" t="s">
        <v>96</v>
      </c>
      <c r="C11" s="154" t="s">
        <v>97</v>
      </c>
      <c r="D11" s="154" t="s">
        <v>105</v>
      </c>
      <c r="E11" s="154" t="s">
        <v>106</v>
      </c>
      <c r="F11" s="154" t="s">
        <v>28</v>
      </c>
      <c r="G11" s="154" t="s">
        <v>100</v>
      </c>
      <c r="H11" s="154" t="s">
        <v>45</v>
      </c>
      <c r="I11" s="154"/>
      <c r="J11" s="155"/>
      <c r="K11" s="164"/>
    </row>
    <row r="12" spans="1:11" ht="18.75" customHeight="1">
      <c r="A12" s="164"/>
      <c r="B12" s="151" t="s">
        <v>96</v>
      </c>
      <c r="C12" s="143" t="s">
        <v>97</v>
      </c>
      <c r="D12" s="143" t="s">
        <v>107</v>
      </c>
      <c r="E12" s="143" t="s">
        <v>108</v>
      </c>
      <c r="F12" s="143" t="s">
        <v>28</v>
      </c>
      <c r="G12" s="143" t="s">
        <v>100</v>
      </c>
      <c r="H12" s="143" t="s">
        <v>45</v>
      </c>
      <c r="I12" s="143"/>
      <c r="J12" s="152"/>
      <c r="K12" s="164"/>
    </row>
    <row r="13" spans="1:11" ht="18.75" customHeight="1">
      <c r="A13" s="164"/>
      <c r="B13" s="153" t="s">
        <v>96</v>
      </c>
      <c r="C13" s="154" t="s">
        <v>97</v>
      </c>
      <c r="D13" s="154" t="s">
        <v>109</v>
      </c>
      <c r="E13" s="154" t="s">
        <v>110</v>
      </c>
      <c r="F13" s="154" t="s">
        <v>28</v>
      </c>
      <c r="G13" s="154" t="s">
        <v>100</v>
      </c>
      <c r="H13" s="154" t="s">
        <v>45</v>
      </c>
      <c r="I13" s="154"/>
      <c r="J13" s="155"/>
      <c r="K13" s="164"/>
    </row>
    <row r="14" spans="1:11" ht="18.75" customHeight="1">
      <c r="A14" s="164"/>
      <c r="B14" s="156" t="s">
        <v>96</v>
      </c>
      <c r="C14" s="157" t="s">
        <v>97</v>
      </c>
      <c r="D14" s="157" t="s">
        <v>111</v>
      </c>
      <c r="E14" s="157" t="s">
        <v>112</v>
      </c>
      <c r="F14" s="157" t="s">
        <v>28</v>
      </c>
      <c r="G14" s="157" t="s">
        <v>100</v>
      </c>
      <c r="H14" s="143" t="s">
        <v>45</v>
      </c>
      <c r="I14" s="157"/>
      <c r="J14" s="158"/>
      <c r="K14" s="164"/>
    </row>
    <row r="15" spans="1:11" ht="18.75" customHeight="1">
      <c r="A15" s="164"/>
      <c r="B15" s="159" t="s">
        <v>113</v>
      </c>
      <c r="C15" s="160" t="s">
        <v>97</v>
      </c>
      <c r="D15" s="160" t="s">
        <v>114</v>
      </c>
      <c r="E15" s="160" t="s">
        <v>115</v>
      </c>
      <c r="F15" s="160" t="s">
        <v>28</v>
      </c>
      <c r="G15" s="160" t="s">
        <v>28</v>
      </c>
      <c r="H15" s="154" t="s">
        <v>45</v>
      </c>
      <c r="I15" s="160"/>
      <c r="J15" s="161"/>
      <c r="K15" s="164"/>
    </row>
    <row r="16" spans="1:11" ht="18.75" customHeight="1" thickBot="1">
      <c r="A16" s="164"/>
      <c r="B16" s="162" t="s">
        <v>113</v>
      </c>
      <c r="C16" s="162" t="s">
        <v>97</v>
      </c>
      <c r="D16" s="162" t="s">
        <v>116</v>
      </c>
      <c r="E16" s="162" t="s">
        <v>117</v>
      </c>
      <c r="F16" s="162" t="s">
        <v>28</v>
      </c>
      <c r="G16" s="162" t="s">
        <v>28</v>
      </c>
      <c r="H16" s="163" t="s">
        <v>45</v>
      </c>
      <c r="I16" s="162"/>
      <c r="J16" s="162"/>
      <c r="K16" s="164"/>
    </row>
    <row r="17" spans="1:11" ht="13" thickTop="1">
      <c r="A17" s="164"/>
      <c r="B17" s="164"/>
      <c r="C17" s="164"/>
      <c r="D17" s="165"/>
      <c r="E17" s="164"/>
      <c r="F17" s="164"/>
      <c r="G17" s="164"/>
      <c r="H17" s="164"/>
      <c r="I17" s="164"/>
      <c r="J17" s="164"/>
      <c r="K17" s="164"/>
    </row>
    <row r="18" spans="1:11">
      <c r="B18" s="129" t="s">
        <v>118</v>
      </c>
      <c r="C18" s="129"/>
      <c r="D18" s="129"/>
    </row>
    <row r="19" spans="1:11">
      <c r="B19" s="54" t="s">
        <v>96</v>
      </c>
      <c r="C19" s="54" t="s">
        <v>119</v>
      </c>
      <c r="D19" s="54"/>
    </row>
    <row r="20" spans="1:11">
      <c r="B20" s="55" t="s">
        <v>120</v>
      </c>
      <c r="C20" s="55" t="s">
        <v>121</v>
      </c>
      <c r="D20" s="55"/>
    </row>
    <row r="21" spans="1:11">
      <c r="B21" s="54" t="s">
        <v>122</v>
      </c>
      <c r="C21" s="54" t="s">
        <v>123</v>
      </c>
      <c r="D21" s="54"/>
    </row>
    <row r="22" spans="1:11">
      <c r="B22" s="55" t="s">
        <v>113</v>
      </c>
      <c r="C22" s="55" t="s">
        <v>124</v>
      </c>
      <c r="D22" s="55"/>
    </row>
    <row r="23" spans="1:11">
      <c r="B23" s="54" t="s">
        <v>125</v>
      </c>
      <c r="C23" s="54" t="s">
        <v>126</v>
      </c>
      <c r="D23" s="54" t="s">
        <v>127</v>
      </c>
    </row>
    <row r="24" spans="1:11">
      <c r="B24" s="55" t="s">
        <v>128</v>
      </c>
      <c r="C24" s="55" t="s">
        <v>129</v>
      </c>
      <c r="D24" s="55" t="s">
        <v>130</v>
      </c>
    </row>
    <row r="25" spans="1:11">
      <c r="B25" s="54" t="s">
        <v>131</v>
      </c>
      <c r="C25" s="54" t="s">
        <v>132</v>
      </c>
      <c r="D25" s="54" t="s">
        <v>133</v>
      </c>
    </row>
    <row r="26" spans="1:11">
      <c r="B26" s="55" t="s">
        <v>134</v>
      </c>
      <c r="C26" s="55" t="s">
        <v>135</v>
      </c>
      <c r="D26" s="55" t="s">
        <v>130</v>
      </c>
      <c r="F26" s="95"/>
      <c r="G26" s="95"/>
    </row>
    <row r="27" spans="1:11" ht="13" thickBot="1">
      <c r="B27" s="56" t="s">
        <v>136</v>
      </c>
      <c r="C27" s="56" t="s">
        <v>137</v>
      </c>
      <c r="D27" s="56"/>
      <c r="F27" s="96"/>
      <c r="G27" s="96"/>
    </row>
    <row r="29" spans="1:11">
      <c r="F29" s="96"/>
      <c r="G29" s="96"/>
    </row>
    <row r="30" spans="1:11">
      <c r="F30" s="95"/>
      <c r="G30" s="95"/>
    </row>
    <row r="31" spans="1:11">
      <c r="A31" s="100" t="s">
        <v>113</v>
      </c>
      <c r="B31" s="99" t="s">
        <v>97</v>
      </c>
      <c r="C31" s="99" t="s">
        <v>138</v>
      </c>
      <c r="D31" s="99" t="s">
        <v>139</v>
      </c>
      <c r="E31" s="99" t="s">
        <v>140</v>
      </c>
      <c r="F31" s="99" t="s">
        <v>140</v>
      </c>
      <c r="G31" s="120"/>
      <c r="H31" s="99"/>
      <c r="I31" s="118"/>
    </row>
    <row r="32" spans="1:11" ht="13" thickBot="1">
      <c r="A32" s="121" t="s">
        <v>113</v>
      </c>
      <c r="B32" s="122" t="s">
        <v>97</v>
      </c>
      <c r="C32" s="122" t="s">
        <v>141</v>
      </c>
      <c r="D32" s="122" t="s">
        <v>142</v>
      </c>
      <c r="E32" s="122" t="s">
        <v>140</v>
      </c>
      <c r="F32" s="122" t="s">
        <v>140</v>
      </c>
      <c r="G32" s="119"/>
      <c r="H32" s="122"/>
      <c r="I32" s="123"/>
    </row>
    <row r="55" spans="2:5">
      <c r="C55" t="s">
        <v>143</v>
      </c>
    </row>
    <row r="58" spans="2:5">
      <c r="C58" t="s">
        <v>144</v>
      </c>
    </row>
    <row r="61" spans="2:5">
      <c r="B61" s="69">
        <v>663.6</v>
      </c>
      <c r="D61" s="70" t="s">
        <v>145</v>
      </c>
    </row>
    <row r="62" spans="2:5">
      <c r="B62" s="69">
        <v>7559.73</v>
      </c>
      <c r="C62" s="67" t="s">
        <v>146</v>
      </c>
      <c r="D62" s="70" t="s">
        <v>147</v>
      </c>
    </row>
    <row r="63" spans="2:5">
      <c r="B63" s="69">
        <v>281.32</v>
      </c>
      <c r="C63" s="71" t="s">
        <v>148</v>
      </c>
      <c r="D63" s="70"/>
    </row>
    <row r="64" spans="2:5">
      <c r="B64" s="69">
        <v>3786.34</v>
      </c>
      <c r="C64" s="71" t="s">
        <v>149</v>
      </c>
      <c r="D64" s="70" t="s">
        <v>150</v>
      </c>
      <c r="E64">
        <v>4067.6600000000003</v>
      </c>
    </row>
    <row r="65" spans="2:5">
      <c r="B65" s="69">
        <v>19008.150000000001</v>
      </c>
      <c r="C65" s="67" t="s">
        <v>151</v>
      </c>
      <c r="D65" s="70" t="s">
        <v>152</v>
      </c>
    </row>
    <row r="66" spans="2:5">
      <c r="B66" s="69">
        <v>392.54</v>
      </c>
      <c r="C66" s="71" t="s">
        <v>153</v>
      </c>
      <c r="D66" s="70" t="s">
        <v>154</v>
      </c>
    </row>
    <row r="67" spans="2:5">
      <c r="B67" s="69">
        <v>1591.21</v>
      </c>
      <c r="D67" s="70" t="s">
        <v>155</v>
      </c>
    </row>
    <row r="68" spans="2:5">
      <c r="B68" s="69">
        <v>323.01</v>
      </c>
      <c r="C68" s="68" t="s">
        <v>156</v>
      </c>
      <c r="D68" s="130" t="s">
        <v>157</v>
      </c>
      <c r="E68">
        <v>791.57999999999993</v>
      </c>
    </row>
    <row r="69" spans="2:5">
      <c r="B69" s="69">
        <v>468.57</v>
      </c>
      <c r="C69" s="68" t="s">
        <v>158</v>
      </c>
      <c r="D69" s="130"/>
    </row>
    <row r="70" spans="2:5">
      <c r="B70" s="69">
        <v>10643.2</v>
      </c>
      <c r="C70" s="67" t="s">
        <v>159</v>
      </c>
      <c r="D70" s="70" t="s">
        <v>160</v>
      </c>
    </row>
    <row r="71" spans="2:5">
      <c r="B71" s="69">
        <v>8977.73</v>
      </c>
      <c r="C71" s="67" t="s">
        <v>161</v>
      </c>
      <c r="D71" t="s">
        <v>162</v>
      </c>
    </row>
    <row r="72" spans="2:5">
      <c r="B72" s="69">
        <v>1519.6700000000055</v>
      </c>
      <c r="C72" s="67" t="s">
        <v>163</v>
      </c>
      <c r="D72" s="70" t="s">
        <v>164</v>
      </c>
    </row>
    <row r="73" spans="2:5">
      <c r="B73" s="69">
        <v>55215.07</v>
      </c>
      <c r="D73" s="70"/>
    </row>
  </sheetData>
  <mergeCells count="2">
    <mergeCell ref="B18:D18"/>
    <mergeCell ref="D68:D6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A2:AA30"/>
  <sheetViews>
    <sheetView zoomScale="71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ColWidth="8.54296875" defaultRowHeight="12.5"/>
  <cols>
    <col min="1" max="1" width="2.54296875" customWidth="1"/>
    <col min="2" max="2" width="33.26953125" customWidth="1"/>
    <col min="3" max="3" width="21.453125" customWidth="1"/>
    <col min="4" max="4" width="18.54296875" customWidth="1"/>
    <col min="5" max="5" width="45.26953125" customWidth="1"/>
    <col min="6" max="6" width="16.1796875" customWidth="1"/>
    <col min="7" max="7" width="27.26953125" bestFit="1" customWidth="1"/>
    <col min="8" max="8" width="12.26953125" bestFit="1" customWidth="1"/>
    <col min="9" max="13" width="7.54296875" customWidth="1"/>
    <col min="14" max="14" width="15.54296875" customWidth="1"/>
    <col min="15" max="15" width="32" bestFit="1" customWidth="1"/>
    <col min="16" max="16" width="15" customWidth="1"/>
    <col min="17" max="17" width="14.453125" customWidth="1"/>
    <col min="18" max="18" width="13.81640625" customWidth="1"/>
    <col min="19" max="20" width="15" customWidth="1"/>
    <col min="21" max="21" width="15.453125" customWidth="1"/>
    <col min="24" max="24" width="12.453125" bestFit="1" customWidth="1"/>
  </cols>
  <sheetData>
    <row r="2" spans="1:27" ht="16.5" customHeight="1">
      <c r="B2" s="60" t="s">
        <v>165</v>
      </c>
      <c r="C2" s="33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11" t="s">
        <v>166</v>
      </c>
      <c r="T2" s="111" t="s">
        <v>167</v>
      </c>
      <c r="U2" s="109"/>
      <c r="V2" s="116">
        <v>4.4449470588235274</v>
      </c>
      <c r="W2" s="111" t="s">
        <v>168</v>
      </c>
    </row>
    <row r="3" spans="1:27" ht="13">
      <c r="A3" s="164"/>
      <c r="B3" s="175"/>
      <c r="C3" s="176"/>
      <c r="D3" s="164"/>
      <c r="E3" s="177"/>
      <c r="F3" s="164"/>
      <c r="G3" s="164"/>
      <c r="H3" s="189"/>
      <c r="I3" s="189"/>
      <c r="J3" s="189"/>
      <c r="K3" s="189"/>
      <c r="L3" s="189"/>
      <c r="M3" s="189"/>
      <c r="N3" s="190"/>
      <c r="O3" s="190"/>
      <c r="P3" s="191"/>
      <c r="Q3" s="164"/>
      <c r="R3" s="192"/>
      <c r="S3" s="193"/>
      <c r="T3" s="164"/>
    </row>
    <row r="4" spans="1:27" ht="18.75" customHeight="1" thickBot="1">
      <c r="A4" s="164"/>
      <c r="B4" s="166" t="s">
        <v>169</v>
      </c>
      <c r="C4" s="167"/>
      <c r="D4" s="167"/>
      <c r="E4" s="167"/>
      <c r="F4" s="168"/>
      <c r="G4" s="168"/>
      <c r="H4" s="168"/>
      <c r="I4" s="168"/>
      <c r="J4" s="168"/>
      <c r="K4" s="168"/>
      <c r="L4" s="168"/>
      <c r="M4" s="168"/>
      <c r="N4" s="179"/>
      <c r="O4" s="179"/>
      <c r="P4" s="179"/>
      <c r="Q4" s="167"/>
      <c r="R4" s="179"/>
      <c r="S4" s="179"/>
      <c r="T4" s="164"/>
    </row>
    <row r="5" spans="1:27" s="3" customFormat="1" ht="26.5" thickBot="1">
      <c r="A5" s="194"/>
      <c r="B5" s="145" t="s">
        <v>73</v>
      </c>
      <c r="C5" s="145" t="s">
        <v>170</v>
      </c>
      <c r="D5" s="145" t="s">
        <v>171</v>
      </c>
      <c r="E5" s="145" t="s">
        <v>172</v>
      </c>
      <c r="F5" s="145" t="s">
        <v>173</v>
      </c>
      <c r="G5" s="145" t="s">
        <v>174</v>
      </c>
      <c r="H5" s="145" t="s">
        <v>175</v>
      </c>
      <c r="I5" s="145" t="s">
        <v>176</v>
      </c>
      <c r="J5" s="145" t="s">
        <v>177</v>
      </c>
      <c r="K5" s="145" t="s">
        <v>178</v>
      </c>
      <c r="L5" s="145" t="s">
        <v>179</v>
      </c>
      <c r="M5" s="145" t="s">
        <v>180</v>
      </c>
      <c r="N5" s="145" t="s">
        <v>181</v>
      </c>
      <c r="O5" s="145" t="s">
        <v>182</v>
      </c>
      <c r="P5" s="145" t="s">
        <v>183</v>
      </c>
      <c r="Q5" s="145" t="s">
        <v>184</v>
      </c>
      <c r="R5" s="145" t="s">
        <v>185</v>
      </c>
      <c r="S5" s="145" t="s">
        <v>186</v>
      </c>
      <c r="T5" s="194"/>
      <c r="U5" s="3" t="s">
        <v>187</v>
      </c>
      <c r="W5"/>
      <c r="X5"/>
    </row>
    <row r="6" spans="1:27" ht="39">
      <c r="A6" s="164"/>
      <c r="B6" s="147" t="s">
        <v>188</v>
      </c>
      <c r="C6" s="147" t="s">
        <v>83</v>
      </c>
      <c r="D6" s="147" t="s">
        <v>189</v>
      </c>
      <c r="E6" s="147" t="s">
        <v>190</v>
      </c>
      <c r="F6" s="147" t="s">
        <v>191</v>
      </c>
      <c r="G6" s="147" t="s">
        <v>192</v>
      </c>
      <c r="H6" s="180"/>
      <c r="I6" s="180"/>
      <c r="J6" s="180"/>
      <c r="K6" s="180"/>
      <c r="L6" s="180"/>
      <c r="M6" s="180"/>
      <c r="N6" s="147" t="s">
        <v>193</v>
      </c>
      <c r="O6" s="147" t="s">
        <v>194</v>
      </c>
      <c r="P6" s="147" t="s">
        <v>195</v>
      </c>
      <c r="Q6" s="147" t="s">
        <v>195</v>
      </c>
      <c r="R6" s="147" t="s">
        <v>196</v>
      </c>
      <c r="S6" s="147" t="s">
        <v>197</v>
      </c>
      <c r="T6" s="164"/>
      <c r="U6" s="115" t="s">
        <v>185</v>
      </c>
      <c r="V6" s="115" t="s">
        <v>186</v>
      </c>
      <c r="Y6" s="28"/>
      <c r="Z6" s="2"/>
    </row>
    <row r="7" spans="1:27" ht="52">
      <c r="A7" s="164"/>
      <c r="B7" s="149" t="s">
        <v>198</v>
      </c>
      <c r="C7" s="149" t="s">
        <v>91</v>
      </c>
      <c r="D7" s="149" t="s">
        <v>199</v>
      </c>
      <c r="E7" s="149" t="s">
        <v>200</v>
      </c>
      <c r="F7" s="149" t="s">
        <v>201</v>
      </c>
      <c r="G7" s="149" t="s">
        <v>202</v>
      </c>
      <c r="H7" s="181"/>
      <c r="I7" s="181"/>
      <c r="J7" s="181"/>
      <c r="K7" s="181"/>
      <c r="L7" s="181"/>
      <c r="M7" s="181"/>
      <c r="N7" s="149" t="s">
        <v>203</v>
      </c>
      <c r="O7" s="149" t="s">
        <v>204</v>
      </c>
      <c r="P7" s="149" t="s">
        <v>204</v>
      </c>
      <c r="Q7" s="149" t="s">
        <v>204</v>
      </c>
      <c r="R7" s="149" t="s">
        <v>205</v>
      </c>
      <c r="S7" s="149" t="s">
        <v>206</v>
      </c>
      <c r="T7" s="164"/>
      <c r="U7" s="115" t="s">
        <v>207</v>
      </c>
      <c r="V7" s="115" t="s">
        <v>208</v>
      </c>
      <c r="Y7" s="28"/>
      <c r="Z7" s="2"/>
    </row>
    <row r="8" spans="1:27" ht="18.75" customHeight="1">
      <c r="A8" s="164"/>
      <c r="B8" s="151" t="str">
        <f>SEC_Processes!D8</f>
        <v>ELE_EX_HC</v>
      </c>
      <c r="C8" s="143" t="str">
        <f>SEC_Processes!E8</f>
        <v>Existing Hard Coal Power Plants</v>
      </c>
      <c r="D8" s="157" t="str">
        <f>SEC_Comm!C8</f>
        <v>PRI_HC</v>
      </c>
      <c r="E8" s="157" t="str">
        <f>SEC_Comm!C17</f>
        <v>ELC</v>
      </c>
      <c r="F8" s="195">
        <f>C27</f>
        <v>0.4037</v>
      </c>
      <c r="G8" s="157">
        <v>31.536000000000001</v>
      </c>
      <c r="H8" s="182">
        <v>22.64</v>
      </c>
      <c r="I8" s="182">
        <f>0.8*H8</f>
        <v>18.112000000000002</v>
      </c>
      <c r="J8" s="182">
        <f>0.6*I8</f>
        <v>10.8672</v>
      </c>
      <c r="K8" s="182">
        <f>0.4*J8</f>
        <v>4.3468800000000005</v>
      </c>
      <c r="L8" s="182">
        <f>0.2*K8</f>
        <v>0.86937600000000015</v>
      </c>
      <c r="M8" s="182">
        <f>0</f>
        <v>0</v>
      </c>
      <c r="N8" s="196">
        <v>0.9</v>
      </c>
      <c r="O8" s="197">
        <f>O20</f>
        <v>0.29874993949368317</v>
      </c>
      <c r="P8" s="196">
        <f>0.8*O8</f>
        <v>0.23899995159494655</v>
      </c>
      <c r="Q8" s="196">
        <f>0.1*O8</f>
        <v>2.9874993949368319E-2</v>
      </c>
      <c r="R8" s="196">
        <f>U8*$V$2/1000</f>
        <v>217.80240588235284</v>
      </c>
      <c r="S8" s="198">
        <f>V8*$V$2/1000</f>
        <v>1.6001809411764701E-2</v>
      </c>
      <c r="T8" s="164"/>
      <c r="U8" s="117">
        <f>1000*49</f>
        <v>49000</v>
      </c>
      <c r="V8" s="117">
        <v>3.6</v>
      </c>
      <c r="X8" s="2" t="s">
        <v>209</v>
      </c>
      <c r="Y8" s="2" t="s">
        <v>210</v>
      </c>
      <c r="Z8" s="2" t="s">
        <v>210</v>
      </c>
      <c r="AA8" s="2" t="s">
        <v>211</v>
      </c>
    </row>
    <row r="9" spans="1:27" ht="18.75" customHeight="1">
      <c r="A9" s="164"/>
      <c r="B9" s="153" t="str">
        <f>SEC_Processes!D9</f>
        <v>ELE_EX_LIG</v>
      </c>
      <c r="C9" s="154" t="str">
        <f>SEC_Processes!E9</f>
        <v>Existing Lignite Power Plants</v>
      </c>
      <c r="D9" s="160" t="str">
        <f>SEC_Comm!C9</f>
        <v>PRI_BC</v>
      </c>
      <c r="E9" s="160" t="str">
        <f>SEC_Comm!C17</f>
        <v>ELC</v>
      </c>
      <c r="F9" s="199">
        <f>C25</f>
        <v>0.3901</v>
      </c>
      <c r="G9" s="160">
        <v>31.536000000000001</v>
      </c>
      <c r="H9" s="160">
        <v>8.86</v>
      </c>
      <c r="I9" s="160">
        <f>0.8*H9</f>
        <v>7.0880000000000001</v>
      </c>
      <c r="J9" s="160">
        <f>0.6*I9</f>
        <v>4.2527999999999997</v>
      </c>
      <c r="K9" s="160">
        <f>0.4*J9</f>
        <v>1.70112</v>
      </c>
      <c r="L9" s="160">
        <f>0.2*K9</f>
        <v>0.34022400000000003</v>
      </c>
      <c r="M9" s="160">
        <v>0</v>
      </c>
      <c r="N9" s="184">
        <v>0.9</v>
      </c>
      <c r="O9" s="200">
        <f>O24</f>
        <v>0.46473813867672681</v>
      </c>
      <c r="P9" s="201">
        <f t="shared" ref="P9:P10" si="0">0.8*O9</f>
        <v>0.37179051094138149</v>
      </c>
      <c r="Q9" s="201">
        <f>0.1*O9</f>
        <v>4.6473813867672686E-2</v>
      </c>
      <c r="R9" s="201">
        <f t="shared" ref="R9:S10" si="1">U9*$V$2/1000</f>
        <v>235.58219411764696</v>
      </c>
      <c r="S9" s="202">
        <f t="shared" si="1"/>
        <v>1.6890798823529406E-2</v>
      </c>
      <c r="T9" s="164"/>
      <c r="U9" s="117">
        <f>53*1000</f>
        <v>53000</v>
      </c>
      <c r="V9" s="117">
        <v>3.8</v>
      </c>
      <c r="X9" s="2" t="s">
        <v>212</v>
      </c>
      <c r="Y9" s="2" t="s">
        <v>212</v>
      </c>
      <c r="Z9" s="2" t="s">
        <v>213</v>
      </c>
      <c r="AA9" s="2" t="s">
        <v>214</v>
      </c>
    </row>
    <row r="10" spans="1:27" ht="18.75" customHeight="1" thickBot="1">
      <c r="A10" s="164"/>
      <c r="B10" s="203" t="str">
        <f>SEC_Processes!D10</f>
        <v>ELE_EX_GAS_CCGT</v>
      </c>
      <c r="C10" s="163" t="str">
        <f>SEC_Processes!E10</f>
        <v>Existing Gas Combined Cycle Power Plants</v>
      </c>
      <c r="D10" s="162" t="str">
        <f>SEC_Comm!C10</f>
        <v>PRI_GAS_NAT</v>
      </c>
      <c r="E10" s="162" t="str">
        <f>SEC_Comm!C17</f>
        <v>ELC</v>
      </c>
      <c r="F10" s="204">
        <f>C26</f>
        <v>0.69040000000000001</v>
      </c>
      <c r="G10" s="162">
        <v>31.536000000000001</v>
      </c>
      <c r="H10" s="205">
        <v>5.79</v>
      </c>
      <c r="I10" s="205">
        <f>0.8*H10</f>
        <v>4.6320000000000006</v>
      </c>
      <c r="J10" s="205">
        <f>0.6*I10</f>
        <v>2.7792000000000003</v>
      </c>
      <c r="K10" s="205">
        <f>0.4*J10</f>
        <v>1.1116800000000002</v>
      </c>
      <c r="L10" s="205">
        <f>0.2*K10</f>
        <v>0.22233600000000006</v>
      </c>
      <c r="M10" s="205">
        <v>0</v>
      </c>
      <c r="N10" s="205">
        <v>1</v>
      </c>
      <c r="O10" s="206">
        <f>O28</f>
        <v>0.38524932768669018</v>
      </c>
      <c r="P10" s="207">
        <f t="shared" si="0"/>
        <v>0.30819946214935218</v>
      </c>
      <c r="Q10" s="207">
        <f t="shared" ref="Q10" si="2">0.1*O10</f>
        <v>3.8524932768669022E-2</v>
      </c>
      <c r="R10" s="207">
        <f t="shared" si="1"/>
        <v>88.898941176470544</v>
      </c>
      <c r="S10" s="208">
        <f t="shared" si="1"/>
        <v>8.8898941176470542E-3</v>
      </c>
      <c r="T10" s="164"/>
      <c r="U10" s="117">
        <f>1000*20</f>
        <v>20000</v>
      </c>
      <c r="V10" s="117">
        <v>2</v>
      </c>
    </row>
    <row r="11" spans="1:27" ht="13" thickTop="1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</row>
    <row r="13" spans="1:27">
      <c r="C13" s="2"/>
      <c r="G13" s="29"/>
      <c r="K13" s="30"/>
    </row>
    <row r="14" spans="1:27">
      <c r="C14" s="2"/>
      <c r="G14" s="29"/>
      <c r="K14" s="30"/>
    </row>
    <row r="16" spans="1:27">
      <c r="M16" s="135" t="s">
        <v>215</v>
      </c>
      <c r="N16" s="136"/>
      <c r="O16" s="111" t="s">
        <v>216</v>
      </c>
    </row>
    <row r="17" spans="2:18">
      <c r="B17" s="111" t="s">
        <v>217</v>
      </c>
      <c r="M17" s="133" t="s">
        <v>218</v>
      </c>
      <c r="N17" s="113" t="s">
        <v>219</v>
      </c>
      <c r="O17" s="112">
        <v>59.25</v>
      </c>
      <c r="P17" s="42" t="s">
        <v>220</v>
      </c>
      <c r="Q17">
        <f>O17*1000</f>
        <v>59250</v>
      </c>
      <c r="R17" s="2" t="s">
        <v>221</v>
      </c>
    </row>
    <row r="18" spans="2:18">
      <c r="B18" s="109" t="s">
        <v>222</v>
      </c>
      <c r="M18" s="133"/>
      <c r="N18" s="113" t="s">
        <v>223</v>
      </c>
      <c r="O18" s="112">
        <f>H8</f>
        <v>22.64</v>
      </c>
      <c r="P18" s="42" t="s">
        <v>100</v>
      </c>
    </row>
    <row r="19" spans="2:18" ht="25">
      <c r="B19" s="111" t="s">
        <v>224</v>
      </c>
      <c r="M19" s="133"/>
      <c r="N19" s="110" t="s">
        <v>225</v>
      </c>
      <c r="O19" s="112">
        <f>O18*8760</f>
        <v>198326.39999999999</v>
      </c>
      <c r="P19" s="42" t="s">
        <v>221</v>
      </c>
    </row>
    <row r="20" spans="2:18">
      <c r="M20" s="133"/>
      <c r="N20" s="113" t="s">
        <v>215</v>
      </c>
      <c r="O20" s="112">
        <f>Q17/O19</f>
        <v>0.29874993949368317</v>
      </c>
      <c r="P20" s="43"/>
    </row>
    <row r="21" spans="2:18">
      <c r="M21" s="133" t="s">
        <v>226</v>
      </c>
      <c r="N21" s="113" t="s">
        <v>219</v>
      </c>
      <c r="O21" s="112">
        <v>36.07</v>
      </c>
      <c r="P21" s="42" t="s">
        <v>220</v>
      </c>
      <c r="Q21">
        <f>O21*1000</f>
        <v>36070</v>
      </c>
      <c r="R21" s="2" t="s">
        <v>221</v>
      </c>
    </row>
    <row r="22" spans="2:18" ht="12.65" customHeight="1">
      <c r="M22" s="134"/>
      <c r="N22" s="113" t="s">
        <v>223</v>
      </c>
      <c r="O22" s="112">
        <f>H9</f>
        <v>8.86</v>
      </c>
      <c r="P22" s="42" t="s">
        <v>100</v>
      </c>
    </row>
    <row r="23" spans="2:18" ht="42" customHeight="1">
      <c r="B23" s="110" t="s">
        <v>227</v>
      </c>
      <c r="C23" s="107" t="s">
        <v>191</v>
      </c>
      <c r="M23" s="134"/>
      <c r="N23" s="110" t="s">
        <v>225</v>
      </c>
      <c r="O23" s="112">
        <f>O22*8760</f>
        <v>77613.599999999991</v>
      </c>
      <c r="P23" s="42" t="s">
        <v>221</v>
      </c>
    </row>
    <row r="24" spans="2:18">
      <c r="B24" s="107" t="s">
        <v>106</v>
      </c>
      <c r="C24" s="108">
        <v>0.38540000000000002</v>
      </c>
      <c r="M24" s="134"/>
      <c r="N24" s="113" t="s">
        <v>215</v>
      </c>
      <c r="O24" s="112">
        <f>Q21/O23</f>
        <v>0.46473813867672681</v>
      </c>
      <c r="P24" s="43"/>
    </row>
    <row r="25" spans="2:18">
      <c r="B25" s="107" t="s">
        <v>102</v>
      </c>
      <c r="C25" s="108">
        <v>0.3901</v>
      </c>
      <c r="M25" s="133" t="s">
        <v>228</v>
      </c>
      <c r="N25" s="113" t="s">
        <v>219</v>
      </c>
      <c r="O25" s="112">
        <v>19.54</v>
      </c>
      <c r="P25" s="42" t="s">
        <v>220</v>
      </c>
      <c r="Q25">
        <f>O25*1000</f>
        <v>19540</v>
      </c>
      <c r="R25" s="2" t="s">
        <v>221</v>
      </c>
    </row>
    <row r="26" spans="2:18">
      <c r="B26" s="107" t="s">
        <v>104</v>
      </c>
      <c r="C26" s="108">
        <v>0.69040000000000001</v>
      </c>
      <c r="M26" s="134"/>
      <c r="N26" s="113" t="s">
        <v>223</v>
      </c>
      <c r="O26" s="112">
        <f>H10</f>
        <v>5.79</v>
      </c>
      <c r="P26" s="42" t="s">
        <v>100</v>
      </c>
    </row>
    <row r="27" spans="2:18" ht="25">
      <c r="B27" s="107" t="s">
        <v>99</v>
      </c>
      <c r="C27" s="108">
        <v>0.4037</v>
      </c>
      <c r="M27" s="134"/>
      <c r="N27" s="110" t="s">
        <v>225</v>
      </c>
      <c r="O27" s="112">
        <f>O26*8760</f>
        <v>50720.4</v>
      </c>
      <c r="P27" s="42" t="s">
        <v>221</v>
      </c>
    </row>
    <row r="28" spans="2:18">
      <c r="B28" s="107" t="s">
        <v>229</v>
      </c>
      <c r="C28" s="108">
        <v>0.71779999999999999</v>
      </c>
      <c r="M28" s="134"/>
      <c r="N28" s="113" t="s">
        <v>215</v>
      </c>
      <c r="O28" s="112">
        <f>Q25/O27</f>
        <v>0.38524932768669018</v>
      </c>
      <c r="P28" s="43"/>
    </row>
    <row r="30" spans="2:18">
      <c r="D30" s="43"/>
      <c r="E30" s="43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A2:V31"/>
  <sheetViews>
    <sheetView zoomScaleNormal="100" workbookViewId="0">
      <selection activeCell="B4" sqref="B4:R11"/>
    </sheetView>
  </sheetViews>
  <sheetFormatPr defaultColWidth="8.54296875" defaultRowHeight="12.5"/>
  <cols>
    <col min="1" max="1" width="2.54296875" customWidth="1"/>
    <col min="2" max="2" width="20.453125" customWidth="1"/>
    <col min="3" max="3" width="18.453125" customWidth="1"/>
    <col min="4" max="4" width="20.7265625" customWidth="1"/>
    <col min="5" max="5" width="20" customWidth="1"/>
    <col min="6" max="6" width="10.453125" customWidth="1"/>
    <col min="7" max="7" width="9" customWidth="1"/>
    <col min="8" max="13" width="7.453125" customWidth="1"/>
    <col min="14" max="14" width="16.453125" customWidth="1"/>
    <col min="15" max="15" width="13.54296875" customWidth="1"/>
    <col min="16" max="17" width="15.453125" customWidth="1"/>
    <col min="18" max="18" width="11.453125" customWidth="1"/>
    <col min="19" max="19" width="25.453125" customWidth="1"/>
    <col min="20" max="20" width="17.1796875" bestFit="1" customWidth="1"/>
    <col min="21" max="21" width="29.1796875" customWidth="1"/>
    <col min="23" max="23" width="11.1796875" customWidth="1"/>
  </cols>
  <sheetData>
    <row r="2" spans="1:22" ht="17.5">
      <c r="B2" s="60" t="s">
        <v>230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11" t="s">
        <v>167</v>
      </c>
      <c r="T2" s="109"/>
      <c r="U2" s="116">
        <v>4.4449470588235274</v>
      </c>
      <c r="V2" s="111" t="s">
        <v>168</v>
      </c>
    </row>
    <row r="3" spans="1:22" ht="13">
      <c r="A3" s="164"/>
      <c r="B3" s="188"/>
      <c r="C3" s="176"/>
      <c r="D3" s="164"/>
      <c r="E3" s="177"/>
      <c r="F3" s="164"/>
      <c r="G3" s="164"/>
      <c r="H3" s="189"/>
      <c r="I3" s="189"/>
      <c r="J3" s="189"/>
      <c r="K3" s="189"/>
      <c r="L3" s="189"/>
      <c r="M3" s="189"/>
      <c r="N3" s="189"/>
      <c r="O3" s="190"/>
      <c r="P3" s="191"/>
      <c r="Q3" s="192"/>
      <c r="R3" s="193"/>
      <c r="S3" s="164"/>
    </row>
    <row r="4" spans="1:22" ht="18.75" customHeight="1" thickBot="1">
      <c r="A4" s="164"/>
      <c r="B4" s="166" t="s">
        <v>169</v>
      </c>
      <c r="C4" s="167"/>
      <c r="D4" s="167"/>
      <c r="E4" s="167"/>
      <c r="F4" s="168"/>
      <c r="G4" s="168"/>
      <c r="H4" s="168"/>
      <c r="I4" s="168"/>
      <c r="J4" s="168"/>
      <c r="K4" s="168"/>
      <c r="L4" s="168"/>
      <c r="M4" s="168"/>
      <c r="N4" s="168"/>
      <c r="O4" s="179"/>
      <c r="P4" s="179"/>
      <c r="Q4" s="179"/>
      <c r="R4" s="167"/>
      <c r="S4" s="164"/>
    </row>
    <row r="5" spans="1:22" s="3" customFormat="1" ht="18.75" customHeight="1" thickBot="1">
      <c r="A5" s="194"/>
      <c r="B5" s="145" t="s">
        <v>73</v>
      </c>
      <c r="C5" s="145" t="s">
        <v>231</v>
      </c>
      <c r="D5" s="145" t="s">
        <v>171</v>
      </c>
      <c r="E5" s="145" t="s">
        <v>172</v>
      </c>
      <c r="F5" s="145" t="s">
        <v>173</v>
      </c>
      <c r="G5" s="145" t="s">
        <v>174</v>
      </c>
      <c r="H5" s="145" t="s">
        <v>175</v>
      </c>
      <c r="I5" s="145" t="s">
        <v>176</v>
      </c>
      <c r="J5" s="145" t="s">
        <v>177</v>
      </c>
      <c r="K5" s="145" t="s">
        <v>178</v>
      </c>
      <c r="L5" s="145" t="s">
        <v>179</v>
      </c>
      <c r="M5" s="145" t="s">
        <v>180</v>
      </c>
      <c r="N5" s="145" t="s">
        <v>181</v>
      </c>
      <c r="O5" s="145" t="s">
        <v>182</v>
      </c>
      <c r="P5" s="145" t="s">
        <v>232</v>
      </c>
      <c r="Q5" s="145" t="s">
        <v>185</v>
      </c>
      <c r="R5" s="145" t="s">
        <v>186</v>
      </c>
      <c r="S5" s="194"/>
    </row>
    <row r="6" spans="1:22" ht="39">
      <c r="A6" s="164"/>
      <c r="B6" s="147" t="s">
        <v>188</v>
      </c>
      <c r="C6" s="147" t="s">
        <v>83</v>
      </c>
      <c r="D6" s="147" t="s">
        <v>189</v>
      </c>
      <c r="E6" s="147" t="s">
        <v>190</v>
      </c>
      <c r="F6" s="147" t="s">
        <v>191</v>
      </c>
      <c r="G6" s="147" t="s">
        <v>192</v>
      </c>
      <c r="H6" s="180"/>
      <c r="I6" s="180"/>
      <c r="J6" s="180"/>
      <c r="K6" s="180"/>
      <c r="L6" s="180"/>
      <c r="M6" s="180"/>
      <c r="N6" s="147" t="s">
        <v>193</v>
      </c>
      <c r="O6" s="147" t="s">
        <v>194</v>
      </c>
      <c r="P6" s="147" t="s">
        <v>195</v>
      </c>
      <c r="Q6" s="147" t="s">
        <v>233</v>
      </c>
      <c r="R6" s="147" t="s">
        <v>234</v>
      </c>
      <c r="S6" s="164"/>
      <c r="T6" s="92"/>
      <c r="U6" s="115" t="s">
        <v>185</v>
      </c>
    </row>
    <row r="7" spans="1:22" ht="117">
      <c r="A7" s="164"/>
      <c r="B7" s="149" t="s">
        <v>198</v>
      </c>
      <c r="C7" s="149" t="s">
        <v>91</v>
      </c>
      <c r="D7" s="149" t="s">
        <v>199</v>
      </c>
      <c r="E7" s="149" t="s">
        <v>200</v>
      </c>
      <c r="F7" s="149" t="s">
        <v>201</v>
      </c>
      <c r="G7" s="149" t="s">
        <v>202</v>
      </c>
      <c r="H7" s="181"/>
      <c r="I7" s="181"/>
      <c r="J7" s="181"/>
      <c r="K7" s="181"/>
      <c r="L7" s="181"/>
      <c r="M7" s="181"/>
      <c r="N7" s="149" t="s">
        <v>203</v>
      </c>
      <c r="O7" s="149" t="s">
        <v>204</v>
      </c>
      <c r="P7" s="149" t="s">
        <v>204</v>
      </c>
      <c r="Q7" s="149" t="s">
        <v>235</v>
      </c>
      <c r="R7" s="149" t="s">
        <v>236</v>
      </c>
      <c r="S7" s="164"/>
      <c r="T7" s="2" t="s">
        <v>187</v>
      </c>
      <c r="U7" s="115" t="s">
        <v>207</v>
      </c>
    </row>
    <row r="8" spans="1:22" ht="18.75" customHeight="1">
      <c r="A8" s="164"/>
      <c r="B8" s="151" t="str">
        <f>SEC_Processes!D11</f>
        <v>ELE_EX_BIOM</v>
      </c>
      <c r="C8" s="143" t="str">
        <f>SEC_Processes!E11</f>
        <v>Existing Biomass Power Plants</v>
      </c>
      <c r="D8" s="157" t="str">
        <f>SEC_Comm!C11</f>
        <v>PRI_BIOM</v>
      </c>
      <c r="E8" s="157" t="str">
        <f>SEC_Comm!C16</f>
        <v>ELC_RES</v>
      </c>
      <c r="F8" s="182">
        <f>PP!C24</f>
        <v>0.38540000000000002</v>
      </c>
      <c r="G8" s="182">
        <v>31.536000000000001</v>
      </c>
      <c r="H8" s="182">
        <v>0.65</v>
      </c>
      <c r="I8" s="182">
        <f>H8</f>
        <v>0.65</v>
      </c>
      <c r="J8" s="182">
        <f t="shared" ref="J8:M8" si="0">I8</f>
        <v>0.65</v>
      </c>
      <c r="K8" s="182">
        <f t="shared" si="0"/>
        <v>0.65</v>
      </c>
      <c r="L8" s="182">
        <f t="shared" si="0"/>
        <v>0.65</v>
      </c>
      <c r="M8" s="182">
        <f t="shared" si="0"/>
        <v>0.65</v>
      </c>
      <c r="N8" s="182">
        <v>0.9</v>
      </c>
      <c r="O8" s="182">
        <f>Q19</f>
        <v>0.56431245988983847</v>
      </c>
      <c r="P8" s="182">
        <f>0.8*O8</f>
        <v>0.45144996791187081</v>
      </c>
      <c r="Q8" s="182">
        <f>U8*$U$2/1000</f>
        <v>591.17795882352914</v>
      </c>
      <c r="R8" s="183"/>
      <c r="S8" s="164"/>
      <c r="T8" s="109" t="s">
        <v>105</v>
      </c>
      <c r="U8" s="117">
        <f>133*1000</f>
        <v>133000</v>
      </c>
    </row>
    <row r="9" spans="1:22" ht="18.75" customHeight="1">
      <c r="A9" s="164"/>
      <c r="B9" s="153" t="str">
        <f>SEC_Processes!D12</f>
        <v>ELE_EX_WIND_ON</v>
      </c>
      <c r="C9" s="154" t="str">
        <f>SEC_Processes!E12</f>
        <v>Existing Onshore Wind Turbines</v>
      </c>
      <c r="D9" s="160" t="str">
        <f>SEC_Comm!C12</f>
        <v>PRI_WIND_ON</v>
      </c>
      <c r="E9" s="160" t="str">
        <f>SEC_Comm!C16</f>
        <v>ELC_RES</v>
      </c>
      <c r="F9" s="184">
        <v>1</v>
      </c>
      <c r="G9" s="184">
        <v>31.536000000000001</v>
      </c>
      <c r="H9" s="184">
        <v>10.15</v>
      </c>
      <c r="I9" s="184">
        <f>H9</f>
        <v>10.15</v>
      </c>
      <c r="J9" s="184">
        <f t="shared" ref="J9:M9" si="1">I9</f>
        <v>10.15</v>
      </c>
      <c r="K9" s="184">
        <f t="shared" si="1"/>
        <v>10.15</v>
      </c>
      <c r="L9" s="184">
        <f t="shared" si="1"/>
        <v>10.15</v>
      </c>
      <c r="M9" s="184">
        <f t="shared" si="1"/>
        <v>10.15</v>
      </c>
      <c r="N9" s="184">
        <v>0.15</v>
      </c>
      <c r="O9" s="184">
        <f>Q23</f>
        <v>0.27633443552196507</v>
      </c>
      <c r="P9" s="184">
        <f>0.8*O9</f>
        <v>0.22106754841757206</v>
      </c>
      <c r="Q9" s="184">
        <f>U9*$U$2/1000</f>
        <v>248.91703529411751</v>
      </c>
      <c r="R9" s="185"/>
      <c r="S9" s="164"/>
      <c r="T9" s="109" t="s">
        <v>107</v>
      </c>
      <c r="U9" s="117">
        <f>56*1000</f>
        <v>56000</v>
      </c>
    </row>
    <row r="10" spans="1:22" ht="18.75" customHeight="1">
      <c r="A10" s="164"/>
      <c r="B10" s="151" t="str">
        <f>SEC_Processes!D13</f>
        <v>ELE_EX_HYD</v>
      </c>
      <c r="C10" s="143" t="str">
        <f>SEC_Processes!E13</f>
        <v>Existing Hydro Power Plants</v>
      </c>
      <c r="D10" s="157" t="str">
        <f>SEC_Comm!C13</f>
        <v>PRI_HYD</v>
      </c>
      <c r="E10" s="157" t="str">
        <f>SEC_Comm!C16</f>
        <v>ELC_RES</v>
      </c>
      <c r="F10" s="182">
        <f>PP!C28</f>
        <v>0.71779999999999999</v>
      </c>
      <c r="G10" s="182">
        <v>31.536000000000001</v>
      </c>
      <c r="H10" s="182">
        <v>0.98</v>
      </c>
      <c r="I10" s="182">
        <f>H10</f>
        <v>0.98</v>
      </c>
      <c r="J10" s="182">
        <f t="shared" ref="J10:M10" si="2">I10</f>
        <v>0.98</v>
      </c>
      <c r="K10" s="182">
        <f t="shared" si="2"/>
        <v>0.98</v>
      </c>
      <c r="L10" s="182">
        <f t="shared" si="2"/>
        <v>0.98</v>
      </c>
      <c r="M10" s="182">
        <f t="shared" si="2"/>
        <v>0.98</v>
      </c>
      <c r="N10" s="182">
        <v>1</v>
      </c>
      <c r="O10" s="182">
        <f>Q27</f>
        <v>0.24694809430621567</v>
      </c>
      <c r="P10" s="182">
        <f>0.8*O10</f>
        <v>0.19755847544497254</v>
      </c>
      <c r="Q10" s="182">
        <f>U10*$U$2/1000</f>
        <v>271.14177058823515</v>
      </c>
      <c r="R10" s="183"/>
      <c r="S10" s="164"/>
      <c r="T10" s="109" t="s">
        <v>109</v>
      </c>
      <c r="U10" s="117">
        <f>AVERAGE(39,83)*1000</f>
        <v>61000</v>
      </c>
    </row>
    <row r="11" spans="1:22" ht="18.75" customHeight="1" thickBot="1">
      <c r="A11" s="164"/>
      <c r="B11" s="171" t="str">
        <f>SEC_Processes!D14</f>
        <v>ELE_EX_PV</v>
      </c>
      <c r="C11" s="172" t="str">
        <f>SEC_Processes!E14</f>
        <v>Existing PV Power Plants</v>
      </c>
      <c r="D11" s="172" t="str">
        <f>SEC_Comm!C14</f>
        <v>PRI_SOL</v>
      </c>
      <c r="E11" s="172" t="str">
        <f>SEC_Comm!C16</f>
        <v>ELC_RES</v>
      </c>
      <c r="F11" s="186">
        <v>1</v>
      </c>
      <c r="G11" s="186">
        <v>31.536000000000001</v>
      </c>
      <c r="H11" s="186">
        <v>21.46</v>
      </c>
      <c r="I11" s="186">
        <f>H11</f>
        <v>21.46</v>
      </c>
      <c r="J11" s="186">
        <f t="shared" ref="J11:M11" si="3">I11</f>
        <v>21.46</v>
      </c>
      <c r="K11" s="186">
        <f t="shared" si="3"/>
        <v>21.46</v>
      </c>
      <c r="L11" s="186">
        <f t="shared" si="3"/>
        <v>21.46</v>
      </c>
      <c r="M11" s="186">
        <f t="shared" si="3"/>
        <v>21.46</v>
      </c>
      <c r="N11" s="186">
        <v>0.05</v>
      </c>
      <c r="O11" s="186">
        <f>Q31</f>
        <v>8.0376786800971961E-2</v>
      </c>
      <c r="P11" s="186">
        <f>0.8*O11</f>
        <v>6.4301429440777574E-2</v>
      </c>
      <c r="Q11" s="186">
        <f>U11*$U$2/1000</f>
        <v>80.009047058823484</v>
      </c>
      <c r="R11" s="187"/>
      <c r="S11" s="164"/>
      <c r="T11" s="109" t="s">
        <v>111</v>
      </c>
      <c r="U11" s="117">
        <f>18*1000</f>
        <v>18000</v>
      </c>
    </row>
    <row r="12" spans="1:22" ht="13" thickTop="1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</row>
    <row r="15" spans="1:22">
      <c r="O15" s="135" t="s">
        <v>215</v>
      </c>
      <c r="P15" s="136"/>
    </row>
    <row r="16" spans="1:22" ht="13">
      <c r="N16" s="124" t="s">
        <v>237</v>
      </c>
      <c r="O16" s="133" t="s">
        <v>238</v>
      </c>
      <c r="P16" s="113" t="s">
        <v>219</v>
      </c>
      <c r="Q16" s="125">
        <v>4889</v>
      </c>
      <c r="R16" s="42" t="s">
        <v>221</v>
      </c>
    </row>
    <row r="17" spans="14:20" ht="13">
      <c r="O17" s="133"/>
      <c r="P17" s="113" t="s">
        <v>223</v>
      </c>
      <c r="Q17" s="126">
        <v>0.98899999999999999</v>
      </c>
      <c r="R17" s="42" t="s">
        <v>100</v>
      </c>
    </row>
    <row r="18" spans="14:20" ht="25">
      <c r="O18" s="133"/>
      <c r="P18" s="110" t="s">
        <v>225</v>
      </c>
      <c r="Q18" s="112">
        <f>Q17*8760</f>
        <v>8663.64</v>
      </c>
      <c r="R18" s="42" t="s">
        <v>221</v>
      </c>
    </row>
    <row r="19" spans="14:20">
      <c r="O19" s="133"/>
      <c r="P19" s="113" t="s">
        <v>215</v>
      </c>
      <c r="Q19" s="114">
        <f>Q16/Q18</f>
        <v>0.56431245988983847</v>
      </c>
      <c r="R19" s="43"/>
    </row>
    <row r="20" spans="14:20" ht="25">
      <c r="N20" s="124" t="s">
        <v>216</v>
      </c>
      <c r="O20" s="133" t="s">
        <v>239</v>
      </c>
      <c r="P20" s="113" t="s">
        <v>219</v>
      </c>
      <c r="Q20" s="112">
        <v>24.57</v>
      </c>
      <c r="R20" s="42" t="s">
        <v>220</v>
      </c>
      <c r="S20">
        <f>Q20*1000</f>
        <v>24570</v>
      </c>
      <c r="T20" s="2" t="s">
        <v>221</v>
      </c>
    </row>
    <row r="21" spans="14:20">
      <c r="O21" s="134"/>
      <c r="P21" s="113" t="s">
        <v>223</v>
      </c>
      <c r="Q21" s="112">
        <f>H9</f>
        <v>10.15</v>
      </c>
      <c r="R21" s="42" t="s">
        <v>100</v>
      </c>
    </row>
    <row r="22" spans="14:20" ht="25">
      <c r="O22" s="134"/>
      <c r="P22" s="110" t="s">
        <v>225</v>
      </c>
      <c r="Q22" s="112">
        <f>Q21*8760</f>
        <v>88914</v>
      </c>
      <c r="R22" s="42" t="s">
        <v>221</v>
      </c>
    </row>
    <row r="23" spans="14:20">
      <c r="O23" s="134"/>
      <c r="P23" s="113" t="s">
        <v>215</v>
      </c>
      <c r="Q23" s="112">
        <f>S20/Q22</f>
        <v>0.27633443552196507</v>
      </c>
      <c r="R23" s="43"/>
    </row>
    <row r="24" spans="14:20">
      <c r="O24" s="133" t="s">
        <v>240</v>
      </c>
      <c r="P24" s="113" t="s">
        <v>219</v>
      </c>
      <c r="Q24" s="112">
        <v>2.12</v>
      </c>
      <c r="R24" s="42" t="s">
        <v>220</v>
      </c>
      <c r="S24">
        <f>Q24*1000</f>
        <v>2120</v>
      </c>
      <c r="T24" s="2" t="s">
        <v>221</v>
      </c>
    </row>
    <row r="25" spans="14:20">
      <c r="O25" s="134"/>
      <c r="P25" s="113" t="s">
        <v>223</v>
      </c>
      <c r="Q25" s="112">
        <f>H10</f>
        <v>0.98</v>
      </c>
      <c r="R25" s="42" t="s">
        <v>100</v>
      </c>
    </row>
    <row r="26" spans="14:20" ht="25">
      <c r="O26" s="134"/>
      <c r="P26" s="110" t="s">
        <v>225</v>
      </c>
      <c r="Q26" s="112">
        <f>Q25*8760</f>
        <v>8584.7999999999993</v>
      </c>
      <c r="R26" s="42" t="s">
        <v>221</v>
      </c>
    </row>
    <row r="27" spans="14:20">
      <c r="O27" s="134"/>
      <c r="P27" s="113" t="s">
        <v>215</v>
      </c>
      <c r="Q27" s="112">
        <f>S24/Q26</f>
        <v>0.24694809430621567</v>
      </c>
      <c r="R27" s="43"/>
    </row>
    <row r="28" spans="14:20">
      <c r="O28" s="133" t="s">
        <v>241</v>
      </c>
      <c r="P28" s="113" t="s">
        <v>219</v>
      </c>
      <c r="Q28" s="112">
        <v>15.11</v>
      </c>
      <c r="R28" s="42" t="s">
        <v>220</v>
      </c>
      <c r="S28">
        <f>Q28*1000</f>
        <v>15110</v>
      </c>
      <c r="T28" s="2" t="s">
        <v>221</v>
      </c>
    </row>
    <row r="29" spans="14:20">
      <c r="O29" s="134"/>
      <c r="P29" s="113" t="s">
        <v>223</v>
      </c>
      <c r="Q29" s="112">
        <f>H11</f>
        <v>21.46</v>
      </c>
      <c r="R29" s="42" t="s">
        <v>100</v>
      </c>
    </row>
    <row r="30" spans="14:20" ht="25">
      <c r="O30" s="134"/>
      <c r="P30" s="110" t="s">
        <v>225</v>
      </c>
      <c r="Q30" s="112">
        <f>Q29*8760</f>
        <v>187989.6</v>
      </c>
      <c r="R30" s="42" t="s">
        <v>221</v>
      </c>
    </row>
    <row r="31" spans="14:20">
      <c r="O31" s="134"/>
      <c r="P31" s="113" t="s">
        <v>215</v>
      </c>
      <c r="Q31" s="112">
        <f>S28/Q30</f>
        <v>8.0376786800971961E-2</v>
      </c>
      <c r="R31" s="43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4296875" defaultRowHeight="12.5"/>
  <cols>
    <col min="1" max="1" width="2.54296875" customWidth="1"/>
    <col min="2" max="2" width="18.54296875" customWidth="1"/>
    <col min="3" max="3" width="32" customWidth="1"/>
    <col min="4" max="6" width="11.453125" customWidth="1"/>
    <col min="7" max="7" width="18.453125" customWidth="1"/>
    <col min="8" max="9" width="15.54296875" customWidth="1"/>
    <col min="10" max="10" width="22.453125" customWidth="1"/>
    <col min="11" max="11" width="13" customWidth="1"/>
    <col min="12" max="13" width="12.54296875" customWidth="1"/>
    <col min="14" max="14" width="16" customWidth="1"/>
    <col min="15" max="15" width="15" customWidth="1"/>
    <col min="16" max="16" width="13.453125" customWidth="1"/>
    <col min="17" max="17" width="13.54296875" customWidth="1"/>
    <col min="18" max="19" width="15.453125" customWidth="1"/>
    <col min="21" max="21" width="10.54296875" customWidth="1"/>
    <col min="22" max="22" width="29.54296875" customWidth="1"/>
    <col min="23" max="23" width="11.453125" customWidth="1"/>
    <col min="24" max="24" width="16.54296875" customWidth="1"/>
    <col min="25" max="26" width="13.54296875" customWidth="1"/>
    <col min="27" max="28" width="11.54296875" customWidth="1"/>
    <col min="29" max="29" width="16.54296875" customWidth="1"/>
    <col min="30" max="31" width="14.453125" customWidth="1"/>
    <col min="32" max="32" width="13" customWidth="1"/>
    <col min="33" max="33" width="13.54296875" customWidth="1"/>
    <col min="34" max="34" width="12.54296875" customWidth="1"/>
  </cols>
  <sheetData>
    <row r="2" spans="2:34" ht="17.5">
      <c r="B2" s="60" t="s">
        <v>242</v>
      </c>
      <c r="C2" s="20"/>
      <c r="E2" s="15" t="s">
        <v>169</v>
      </c>
      <c r="L2" s="25"/>
      <c r="M2" s="25"/>
      <c r="N2" s="9"/>
      <c r="O2" s="11"/>
      <c r="P2" s="6"/>
      <c r="Q2" s="7"/>
      <c r="R2" s="7"/>
    </row>
    <row r="3" spans="2:34" ht="15.5">
      <c r="B3" s="10"/>
      <c r="C3" s="4"/>
      <c r="E3" s="5"/>
      <c r="L3" s="8"/>
      <c r="M3" s="8"/>
      <c r="N3" s="9"/>
      <c r="O3" s="11"/>
      <c r="P3" s="6"/>
      <c r="Q3" s="7"/>
      <c r="R3" s="7"/>
      <c r="W3" s="33" t="s">
        <v>243</v>
      </c>
      <c r="X3" s="33"/>
    </row>
    <row r="4" spans="2:34" ht="15.75" customHeight="1">
      <c r="B4" s="97" t="s">
        <v>244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6">
      <c r="B5" s="63" t="s">
        <v>73</v>
      </c>
      <c r="C5" s="63" t="s">
        <v>231</v>
      </c>
      <c r="D5" s="63" t="s">
        <v>171</v>
      </c>
      <c r="E5" s="63" t="s">
        <v>172</v>
      </c>
      <c r="F5" s="63" t="s">
        <v>173</v>
      </c>
      <c r="G5" s="63" t="s">
        <v>245</v>
      </c>
      <c r="H5" s="63" t="s">
        <v>246</v>
      </c>
      <c r="I5" s="63" t="s">
        <v>247</v>
      </c>
      <c r="J5" s="63" t="s">
        <v>248</v>
      </c>
      <c r="K5" s="63" t="s">
        <v>174</v>
      </c>
      <c r="L5" s="66" t="s">
        <v>249</v>
      </c>
      <c r="M5" s="66" t="s">
        <v>180</v>
      </c>
      <c r="N5" s="63" t="s">
        <v>181</v>
      </c>
      <c r="O5" s="63" t="s">
        <v>215</v>
      </c>
      <c r="P5" s="63" t="s">
        <v>185</v>
      </c>
      <c r="Q5" s="63" t="s">
        <v>186</v>
      </c>
      <c r="R5" s="63"/>
      <c r="S5"/>
      <c r="W5" s="42" t="s">
        <v>250</v>
      </c>
      <c r="X5" s="43"/>
      <c r="Y5" s="43"/>
      <c r="Z5" s="43"/>
      <c r="AA5" s="43"/>
      <c r="AB5" s="42"/>
      <c r="AC5" s="43"/>
      <c r="AD5" s="43"/>
      <c r="AE5" s="43"/>
      <c r="AF5" s="44"/>
      <c r="AG5" s="44"/>
      <c r="AH5" s="43"/>
    </row>
    <row r="6" spans="2:34" ht="42" customHeight="1">
      <c r="B6" s="64" t="s">
        <v>188</v>
      </c>
      <c r="C6" s="64" t="s">
        <v>83</v>
      </c>
      <c r="D6" s="64" t="s">
        <v>189</v>
      </c>
      <c r="E6" s="64" t="s">
        <v>190</v>
      </c>
      <c r="F6" s="64" t="s">
        <v>191</v>
      </c>
      <c r="G6" s="64" t="s">
        <v>251</v>
      </c>
      <c r="H6" s="64" t="s">
        <v>252</v>
      </c>
      <c r="I6" s="64" t="s">
        <v>253</v>
      </c>
      <c r="J6" s="64" t="s">
        <v>254</v>
      </c>
      <c r="K6" s="64" t="s">
        <v>192</v>
      </c>
      <c r="L6" s="64" t="s">
        <v>255</v>
      </c>
      <c r="M6" s="64" t="s">
        <v>255</v>
      </c>
      <c r="N6" s="64" t="s">
        <v>193</v>
      </c>
      <c r="O6" s="64" t="s">
        <v>256</v>
      </c>
      <c r="P6" s="64" t="s">
        <v>196</v>
      </c>
      <c r="Q6" s="64" t="s">
        <v>197</v>
      </c>
      <c r="R6" s="64"/>
      <c r="W6" s="45" t="s">
        <v>257</v>
      </c>
      <c r="X6" s="45" t="s">
        <v>258</v>
      </c>
      <c r="Y6" s="45" t="s">
        <v>259</v>
      </c>
      <c r="Z6" s="45" t="s">
        <v>260</v>
      </c>
      <c r="AA6" s="45" t="s">
        <v>261</v>
      </c>
      <c r="AB6" s="45" t="s">
        <v>262</v>
      </c>
      <c r="AC6" s="45" t="s">
        <v>263</v>
      </c>
      <c r="AD6" s="45" t="s">
        <v>264</v>
      </c>
      <c r="AE6" s="45" t="s">
        <v>265</v>
      </c>
      <c r="AF6" s="45" t="s">
        <v>266</v>
      </c>
      <c r="AG6" s="45" t="s">
        <v>267</v>
      </c>
      <c r="AH6" s="45" t="s">
        <v>268</v>
      </c>
    </row>
    <row r="7" spans="2:34" ht="75.5" thickBot="1">
      <c r="B7" s="65" t="s">
        <v>198</v>
      </c>
      <c r="C7" s="65" t="s">
        <v>91</v>
      </c>
      <c r="D7" s="65" t="s">
        <v>199</v>
      </c>
      <c r="E7" s="65" t="s">
        <v>200</v>
      </c>
      <c r="F7" s="65" t="s">
        <v>201</v>
      </c>
      <c r="G7" s="65" t="s">
        <v>269</v>
      </c>
      <c r="H7" s="65" t="s">
        <v>270</v>
      </c>
      <c r="I7" s="65" t="s">
        <v>271</v>
      </c>
      <c r="J7" s="65" t="s">
        <v>272</v>
      </c>
      <c r="K7" s="65" t="s">
        <v>202</v>
      </c>
      <c r="L7" s="65" t="s">
        <v>273</v>
      </c>
      <c r="M7" s="65" t="s">
        <v>273</v>
      </c>
      <c r="N7" s="65" t="s">
        <v>203</v>
      </c>
      <c r="O7" s="65" t="s">
        <v>204</v>
      </c>
      <c r="P7" s="65" t="s">
        <v>205</v>
      </c>
      <c r="Q7" s="65" t="s">
        <v>206</v>
      </c>
      <c r="R7" s="6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2:34" ht="15" customHeight="1">
      <c r="B8" s="24" t="str">
        <f>SEC_Processes!D8</f>
        <v>ELE_EX_HC</v>
      </c>
      <c r="C8" s="24" t="e">
        <f>SEC_Processes!#REF!</f>
        <v>#REF!</v>
      </c>
      <c r="D8" s="24" t="s">
        <v>274</v>
      </c>
      <c r="E8" s="24"/>
      <c r="F8" s="46"/>
      <c r="G8" s="47"/>
      <c r="H8" s="48"/>
      <c r="I8" s="48"/>
      <c r="J8" s="48"/>
      <c r="K8" s="48">
        <v>31.536000000000001</v>
      </c>
      <c r="L8" s="46"/>
      <c r="M8" s="46"/>
      <c r="N8" s="47"/>
      <c r="O8" s="47"/>
      <c r="P8" s="47"/>
      <c r="Q8" s="47"/>
      <c r="R8" s="48"/>
      <c r="U8" s="137" t="str">
        <f>SEC_Processes!D8</f>
        <v>ELE_EX_HC</v>
      </c>
      <c r="V8" s="139" t="e">
        <f>SEC_Processes!#REF!</f>
        <v>#REF!</v>
      </c>
      <c r="W8" s="137">
        <f>L8*K8*O8</f>
        <v>0</v>
      </c>
      <c r="X8" s="137"/>
      <c r="Y8" s="138">
        <f>L8*K8*O8/3.6</f>
        <v>0</v>
      </c>
      <c r="Z8" s="137">
        <f>Y8*3.6</f>
        <v>0</v>
      </c>
      <c r="AA8" s="137"/>
      <c r="AB8" s="137"/>
      <c r="AC8" s="138">
        <f>Z8*G8</f>
        <v>0</v>
      </c>
      <c r="AD8" s="137">
        <f>Z8+AC8</f>
        <v>0</v>
      </c>
      <c r="AE8" s="137" t="e">
        <f>Z8/AC8</f>
        <v>#DIV/0!</v>
      </c>
      <c r="AF8" s="137" t="e">
        <f>W8/F8</f>
        <v>#DIV/0!</v>
      </c>
      <c r="AG8" s="137" t="e">
        <f>AF8*10^6/(#REF!/1000)/1000</f>
        <v>#DIV/0!</v>
      </c>
      <c r="AH8" s="137" t="e">
        <f>AD8/AF8</f>
        <v>#DIV/0!</v>
      </c>
    </row>
    <row r="9" spans="2:34" ht="15" customHeight="1">
      <c r="B9" s="23"/>
      <c r="C9" s="23"/>
      <c r="D9" s="23"/>
      <c r="E9" s="24" t="str">
        <f>SEC_Comm!C8</f>
        <v>PRI_HC</v>
      </c>
      <c r="F9" s="27"/>
      <c r="G9" s="27"/>
      <c r="H9" s="27"/>
      <c r="I9" s="27"/>
      <c r="J9" s="27"/>
      <c r="K9" s="23"/>
      <c r="L9" s="31"/>
      <c r="M9" s="31"/>
      <c r="N9" s="52"/>
      <c r="O9" s="52"/>
      <c r="P9" s="52"/>
      <c r="Q9" s="52"/>
      <c r="R9" s="23"/>
      <c r="U9" s="137"/>
      <c r="V9" s="139"/>
      <c r="W9" s="137"/>
      <c r="X9" s="137"/>
      <c r="Y9" s="138"/>
      <c r="Z9" s="137"/>
      <c r="AA9" s="137"/>
      <c r="AB9" s="137"/>
      <c r="AC9" s="138"/>
      <c r="AD9" s="137"/>
      <c r="AE9" s="137"/>
      <c r="AF9" s="137"/>
      <c r="AG9" s="137"/>
      <c r="AH9" s="137"/>
    </row>
    <row r="10" spans="2:34" ht="15" customHeight="1">
      <c r="B10" s="23"/>
      <c r="C10" s="23"/>
      <c r="D10" s="23"/>
      <c r="E10" s="24" t="e">
        <f>SEC_Comm!#REF!</f>
        <v>#REF!</v>
      </c>
      <c r="F10" s="27"/>
      <c r="G10" s="27"/>
      <c r="H10" s="27"/>
      <c r="I10" s="27"/>
      <c r="J10" s="27"/>
      <c r="K10" s="23"/>
      <c r="L10" s="31"/>
      <c r="M10" s="31"/>
      <c r="N10" s="52"/>
      <c r="O10" s="52"/>
      <c r="P10" s="52"/>
      <c r="Q10" s="52"/>
      <c r="R10" s="23"/>
      <c r="U10" s="137"/>
      <c r="V10" s="139"/>
      <c r="W10" s="137"/>
      <c r="X10" s="137"/>
      <c r="Y10" s="138"/>
      <c r="Z10" s="137"/>
      <c r="AA10" s="137"/>
      <c r="AB10" s="137"/>
      <c r="AC10" s="138"/>
      <c r="AD10" s="137"/>
      <c r="AE10" s="137"/>
      <c r="AF10" s="137"/>
      <c r="AG10" s="137"/>
      <c r="AH10" s="137"/>
    </row>
    <row r="11" spans="2:34" ht="15" customHeight="1">
      <c r="B11" s="35" t="e">
        <f>SEC_Processes!#REF!</f>
        <v>#REF!</v>
      </c>
      <c r="C11" s="35" t="e">
        <f>SEC_Processes!#REF!</f>
        <v>#REF!</v>
      </c>
      <c r="D11" s="35" t="s">
        <v>275</v>
      </c>
      <c r="E11" s="35"/>
      <c r="F11" s="50"/>
      <c r="G11" s="49"/>
      <c r="H11" s="51"/>
      <c r="I11" s="51"/>
      <c r="J11" s="49"/>
      <c r="K11" s="49">
        <v>31.536000000000001</v>
      </c>
      <c r="L11" s="50"/>
      <c r="M11" s="50"/>
      <c r="N11" s="51"/>
      <c r="O11" s="51"/>
      <c r="P11" s="51"/>
      <c r="Q11" s="51"/>
      <c r="R11" s="49"/>
      <c r="U11" s="137" t="e">
        <f>SEC_Processes!#REF!</f>
        <v>#REF!</v>
      </c>
      <c r="V11" s="139" t="e">
        <f>SEC_Processes!#REF!</f>
        <v>#REF!</v>
      </c>
      <c r="W11" s="137">
        <f>L11*K11*O11</f>
        <v>0</v>
      </c>
      <c r="X11" s="137">
        <f>L11*K11*O11/3.6</f>
        <v>0</v>
      </c>
      <c r="Y11" s="138" t="e">
        <f>#REF!/1000</f>
        <v>#REF!</v>
      </c>
      <c r="Z11" s="137" t="e">
        <f>Y11*3.6</f>
        <v>#REF!</v>
      </c>
      <c r="AA11" s="137" t="e">
        <f>X11-Y11</f>
        <v>#REF!</v>
      </c>
      <c r="AB11" s="137" t="e">
        <f>AA11*3.6</f>
        <v>#REF!</v>
      </c>
      <c r="AC11" s="138" t="e">
        <f>AB11/J11</f>
        <v>#REF!</v>
      </c>
      <c r="AD11" s="137" t="e">
        <f>Z11+AC11</f>
        <v>#REF!</v>
      </c>
      <c r="AE11" s="137" t="e">
        <f>Z11/AC11</f>
        <v>#REF!</v>
      </c>
      <c r="AF11" s="137" t="e">
        <f>W11/F11</f>
        <v>#DIV/0!</v>
      </c>
      <c r="AG11" s="137" t="e">
        <f>AF11*10^6/(#REF!/1000)/1000</f>
        <v>#DIV/0!</v>
      </c>
      <c r="AH11" s="137" t="e">
        <f>AD11/AF11</f>
        <v>#REF!</v>
      </c>
    </row>
    <row r="12" spans="2:34" ht="15" customHeight="1">
      <c r="B12" s="36"/>
      <c r="C12" s="36"/>
      <c r="D12" s="36"/>
      <c r="E12" s="35" t="str">
        <f>SEC_Comm!C8</f>
        <v>PRI_HC</v>
      </c>
      <c r="F12" s="37"/>
      <c r="G12" s="37"/>
      <c r="H12" s="37"/>
      <c r="I12" s="37"/>
      <c r="J12" s="37"/>
      <c r="K12" s="36"/>
      <c r="L12" s="38"/>
      <c r="M12" s="38"/>
      <c r="N12" s="36"/>
      <c r="O12" s="36"/>
      <c r="P12" s="36"/>
      <c r="Q12" s="36"/>
      <c r="R12" s="36"/>
      <c r="U12" s="137"/>
      <c r="V12" s="139"/>
      <c r="W12" s="137"/>
      <c r="X12" s="137"/>
      <c r="Y12" s="138"/>
      <c r="Z12" s="137"/>
      <c r="AA12" s="137"/>
      <c r="AB12" s="137"/>
      <c r="AC12" s="138"/>
      <c r="AD12" s="137"/>
      <c r="AE12" s="137"/>
      <c r="AF12" s="137"/>
      <c r="AG12" s="137"/>
      <c r="AH12" s="137"/>
    </row>
    <row r="13" spans="2:34" ht="15" customHeight="1" thickBot="1">
      <c r="B13" s="39"/>
      <c r="C13" s="39"/>
      <c r="D13" s="39"/>
      <c r="E13" s="40" t="e">
        <f>SEC_Comm!#REF!</f>
        <v>#REF!</v>
      </c>
      <c r="F13" s="41"/>
      <c r="G13" s="41"/>
      <c r="H13" s="41"/>
      <c r="I13" s="41"/>
      <c r="J13" s="41"/>
      <c r="K13" s="39"/>
      <c r="L13" s="39"/>
      <c r="M13" s="39"/>
      <c r="N13" s="39"/>
      <c r="O13" s="39"/>
      <c r="P13" s="39"/>
      <c r="Q13" s="39"/>
      <c r="R13" s="39"/>
      <c r="U13" s="137"/>
      <c r="V13" s="139"/>
      <c r="W13" s="137"/>
      <c r="X13" s="137"/>
      <c r="Y13" s="138"/>
      <c r="Z13" s="137"/>
      <c r="AA13" s="137"/>
      <c r="AB13" s="137"/>
      <c r="AC13" s="138"/>
      <c r="AD13" s="137"/>
      <c r="AE13" s="137"/>
      <c r="AF13" s="137"/>
      <c r="AG13" s="137"/>
      <c r="AH13" s="137"/>
    </row>
    <row r="17" spans="5:34">
      <c r="E17" t="s">
        <v>276</v>
      </c>
    </row>
    <row r="18" spans="5:34">
      <c r="AC18" s="2"/>
      <c r="AD18" s="2"/>
      <c r="AE18" s="2"/>
      <c r="AF18" s="29"/>
      <c r="AG18" s="29"/>
      <c r="AH18" s="29"/>
    </row>
    <row r="19" spans="5:34">
      <c r="AC19" s="2"/>
      <c r="AD19" s="2"/>
      <c r="AE19" s="2"/>
      <c r="AF19" s="29"/>
      <c r="AG19" s="29"/>
      <c r="AH19" s="29"/>
    </row>
    <row r="20" spans="5:34">
      <c r="AC20" s="2"/>
      <c r="AD20" s="2"/>
      <c r="AE20" s="2"/>
      <c r="AH20" s="29"/>
    </row>
    <row r="21" spans="5:34">
      <c r="AD21" s="2"/>
      <c r="AE21" s="2"/>
      <c r="AG21" s="29"/>
      <c r="AH21" s="29"/>
    </row>
    <row r="24" spans="5:34" ht="13">
      <c r="AH24" s="32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A2:I21"/>
  <sheetViews>
    <sheetView zoomScaleNormal="100" workbookViewId="0">
      <selection activeCell="B4" sqref="B4:H13"/>
    </sheetView>
  </sheetViews>
  <sheetFormatPr defaultColWidth="8.54296875" defaultRowHeight="12.5"/>
  <cols>
    <col min="1" max="1" width="2.54296875" customWidth="1"/>
    <col min="2" max="2" width="27.81640625" customWidth="1"/>
    <col min="3" max="3" width="66.453125" customWidth="1"/>
    <col min="4" max="4" width="14.1796875" bestFit="1" customWidth="1"/>
    <col min="5" max="5" width="18" customWidth="1"/>
    <col min="6" max="6" width="9.81640625" bestFit="1" customWidth="1"/>
    <col min="7" max="7" width="16.1796875" bestFit="1" customWidth="1"/>
    <col min="8" max="8" width="12.453125" customWidth="1"/>
    <col min="9" max="9" width="53.453125" customWidth="1"/>
  </cols>
  <sheetData>
    <row r="2" spans="1:9" ht="17.5">
      <c r="B2" s="60" t="s">
        <v>277</v>
      </c>
      <c r="C2" s="20"/>
      <c r="E2" s="15"/>
      <c r="I2" t="s">
        <v>278</v>
      </c>
    </row>
    <row r="3" spans="1:9" ht="13">
      <c r="A3" s="164"/>
      <c r="B3" s="175"/>
      <c r="C3" s="176"/>
      <c r="D3" s="164"/>
      <c r="E3" s="177"/>
      <c r="F3" s="164"/>
      <c r="G3" s="164"/>
      <c r="H3" s="164"/>
      <c r="I3" s="164"/>
    </row>
    <row r="4" spans="1:9" ht="18.75" customHeight="1" thickBot="1">
      <c r="A4" s="164"/>
      <c r="B4" s="166" t="s">
        <v>169</v>
      </c>
      <c r="C4" s="167"/>
      <c r="D4" s="167"/>
      <c r="E4" s="167"/>
      <c r="F4" s="168"/>
      <c r="G4" s="167"/>
      <c r="H4" s="167"/>
      <c r="I4" s="164"/>
    </row>
    <row r="5" spans="1:9" ht="18.75" customHeight="1" thickBot="1">
      <c r="A5" s="164"/>
      <c r="B5" s="145" t="s">
        <v>73</v>
      </c>
      <c r="C5" s="145" t="s">
        <v>170</v>
      </c>
      <c r="D5" s="145" t="s">
        <v>171</v>
      </c>
      <c r="E5" s="145" t="s">
        <v>172</v>
      </c>
      <c r="F5" s="145" t="s">
        <v>173</v>
      </c>
      <c r="G5" s="145" t="s">
        <v>279</v>
      </c>
      <c r="H5" s="145" t="s">
        <v>279</v>
      </c>
      <c r="I5" s="178"/>
    </row>
    <row r="6" spans="1:9" ht="18.75" customHeight="1">
      <c r="A6" s="164"/>
      <c r="B6" s="147" t="s">
        <v>188</v>
      </c>
      <c r="C6" s="147" t="s">
        <v>83</v>
      </c>
      <c r="D6" s="147" t="s">
        <v>189</v>
      </c>
      <c r="E6" s="147" t="s">
        <v>190</v>
      </c>
      <c r="F6" s="147" t="s">
        <v>191</v>
      </c>
      <c r="G6" s="147" t="s">
        <v>280</v>
      </c>
      <c r="H6" s="147" t="s">
        <v>281</v>
      </c>
      <c r="I6" s="164"/>
    </row>
    <row r="7" spans="1:9" ht="18.75" customHeight="1">
      <c r="A7" s="164"/>
      <c r="B7" s="149" t="s">
        <v>198</v>
      </c>
      <c r="C7" s="149" t="s">
        <v>91</v>
      </c>
      <c r="D7" s="149" t="s">
        <v>199</v>
      </c>
      <c r="E7" s="149" t="s">
        <v>200</v>
      </c>
      <c r="F7" s="149" t="s">
        <v>201</v>
      </c>
      <c r="G7" s="149" t="s">
        <v>282</v>
      </c>
      <c r="H7" s="149" t="s">
        <v>283</v>
      </c>
      <c r="I7" s="164"/>
    </row>
    <row r="8" spans="1:9" ht="18.75" customHeight="1">
      <c r="A8" s="164"/>
      <c r="B8" s="156" t="str">
        <f>SEC_Processes!D15</f>
        <v>TaD_EX_GRID</v>
      </c>
      <c r="C8" s="157" t="str">
        <f>SEC_Processes!E15</f>
        <v>Existing Grid</v>
      </c>
      <c r="D8" s="157" t="str">
        <f>SEC_Comm!C17</f>
        <v>ELC</v>
      </c>
      <c r="E8" s="157" t="str">
        <f>SEC_Comm!C18</f>
        <v>ELC_GRID</v>
      </c>
      <c r="F8" s="169">
        <f>(100-1.59)/100</f>
        <v>0.98409999999999997</v>
      </c>
      <c r="G8" s="157"/>
      <c r="H8" s="158"/>
      <c r="I8" s="164"/>
    </row>
    <row r="9" spans="1:9" ht="18.75" customHeight="1">
      <c r="A9" s="164"/>
      <c r="B9" s="159" t="str">
        <f>SEC_Processes!D16</f>
        <v>TaD_EX_GRID_RES</v>
      </c>
      <c r="C9" s="160" t="str">
        <f>SEC_Processes!E16</f>
        <v>Existing grid transporting electricity from OZE</v>
      </c>
      <c r="D9" s="160" t="str">
        <f>SEC_Comm!C16</f>
        <v>ELC_RES</v>
      </c>
      <c r="E9" s="160" t="str">
        <f>SEC_Comm!C19</f>
        <v>ELC_GRID_RES</v>
      </c>
      <c r="F9" s="170">
        <f>F8</f>
        <v>0.98409999999999997</v>
      </c>
      <c r="G9" s="160"/>
      <c r="H9" s="161"/>
      <c r="I9" s="164"/>
    </row>
    <row r="10" spans="1:9" ht="18.75" customHeight="1">
      <c r="A10" s="164"/>
      <c r="B10" s="156"/>
      <c r="C10" s="157"/>
      <c r="D10" s="157"/>
      <c r="E10" s="157"/>
      <c r="F10" s="169"/>
      <c r="G10" s="157"/>
      <c r="H10" s="158"/>
      <c r="I10" s="164"/>
    </row>
    <row r="11" spans="1:9" ht="18.75" customHeight="1">
      <c r="A11" s="164"/>
      <c r="B11" s="159"/>
      <c r="C11" s="160"/>
      <c r="D11" s="160"/>
      <c r="E11" s="160"/>
      <c r="F11" s="170"/>
      <c r="G11" s="160"/>
      <c r="H11" s="161"/>
      <c r="I11" s="164"/>
    </row>
    <row r="12" spans="1:9" ht="18.75" customHeight="1">
      <c r="A12" s="164"/>
      <c r="B12" s="156" t="str">
        <f>SEC_Processes!C31</f>
        <v>TaD_H2G_GRID</v>
      </c>
      <c r="C12" s="157" t="str">
        <f>SEC_Processes!D31</f>
        <v>H2 distribution grid</v>
      </c>
      <c r="D12" s="157" t="str">
        <f>SEC_Comm!$C$20</f>
        <v>SEC_H2G</v>
      </c>
      <c r="E12" s="157" t="str">
        <f>SEC_Comm!C21</f>
        <v>H2G_GRID</v>
      </c>
      <c r="F12" s="169">
        <v>0.98</v>
      </c>
      <c r="G12" s="157"/>
      <c r="H12" s="158"/>
      <c r="I12" s="164"/>
    </row>
    <row r="13" spans="1:9" ht="18.75" customHeight="1" thickBot="1">
      <c r="A13" s="164"/>
      <c r="B13" s="171" t="str">
        <f>SEC_Processes!C32</f>
        <v>TaD_H2G_TRUCK</v>
      </c>
      <c r="C13" s="172" t="str">
        <f>SEC_Processes!D32</f>
        <v>H2 distribution via trucks</v>
      </c>
      <c r="D13" s="172" t="str">
        <f>SEC_Comm!$C$20</f>
        <v>SEC_H2G</v>
      </c>
      <c r="E13" s="172" t="str">
        <f>SEC_Comm!C22</f>
        <v>H2G_TRUCK</v>
      </c>
      <c r="F13" s="173">
        <v>0.95</v>
      </c>
      <c r="G13" s="172"/>
      <c r="H13" s="174"/>
      <c r="I13" s="164"/>
    </row>
    <row r="14" spans="1:9" ht="15.75" customHeight="1" thickTop="1">
      <c r="A14" s="164"/>
      <c r="B14" s="164"/>
      <c r="C14" s="164"/>
      <c r="D14" s="164"/>
      <c r="E14" s="164"/>
      <c r="F14" s="164"/>
      <c r="G14" s="164"/>
      <c r="H14" s="164"/>
      <c r="I14" s="164"/>
    </row>
    <row r="15" spans="1:9" ht="15.75" customHeight="1"/>
    <row r="18" spans="5:8">
      <c r="E18" s="2"/>
      <c r="F18" s="2"/>
    </row>
    <row r="19" spans="5:8">
      <c r="E19" s="2"/>
      <c r="H19" s="2" t="s">
        <v>284</v>
      </c>
    </row>
    <row r="20" spans="5:8">
      <c r="H20" s="2" t="s">
        <v>285</v>
      </c>
    </row>
    <row r="21" spans="5:8">
      <c r="H21" t="s">
        <v>286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4296875" defaultRowHeight="12.5"/>
  <cols>
    <col min="2" max="2" width="12.54296875" bestFit="1" customWidth="1"/>
    <col min="3" max="3" width="19.453125" bestFit="1" customWidth="1"/>
    <col min="4" max="5" width="12.453125" customWidth="1"/>
    <col min="6" max="6" width="10.1796875" customWidth="1"/>
    <col min="7" max="7" width="18.54296875" customWidth="1"/>
    <col min="8" max="14" width="8.453125" bestFit="1" customWidth="1"/>
    <col min="15" max="15" width="15.54296875" customWidth="1"/>
    <col min="16" max="18" width="17.1796875" customWidth="1"/>
    <col min="19" max="19" width="11" customWidth="1"/>
    <col min="20" max="20" width="11.453125" customWidth="1"/>
    <col min="21" max="21" width="10.453125" customWidth="1"/>
  </cols>
  <sheetData>
    <row r="2" spans="2:22" ht="13">
      <c r="E2" s="15" t="s">
        <v>169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5">
      <c r="B3" s="63" t="s">
        <v>73</v>
      </c>
      <c r="C3" s="63" t="s">
        <v>231</v>
      </c>
      <c r="D3" s="63" t="s">
        <v>171</v>
      </c>
      <c r="E3" s="63" t="s">
        <v>172</v>
      </c>
      <c r="F3" s="98" t="s">
        <v>287</v>
      </c>
      <c r="G3" s="63" t="s">
        <v>174</v>
      </c>
      <c r="H3" s="66" t="s">
        <v>175</v>
      </c>
      <c r="I3" s="66" t="s">
        <v>288</v>
      </c>
      <c r="J3" s="66" t="s">
        <v>176</v>
      </c>
      <c r="K3" s="66" t="s">
        <v>177</v>
      </c>
      <c r="L3" s="66" t="s">
        <v>178</v>
      </c>
      <c r="M3" s="66" t="s">
        <v>179</v>
      </c>
      <c r="N3" s="66" t="s">
        <v>180</v>
      </c>
      <c r="O3" s="63" t="s">
        <v>181</v>
      </c>
      <c r="P3" s="63" t="s">
        <v>215</v>
      </c>
      <c r="Q3" s="63" t="s">
        <v>185</v>
      </c>
      <c r="R3" s="63" t="s">
        <v>186</v>
      </c>
      <c r="S3" s="63" t="s">
        <v>289</v>
      </c>
      <c r="T3" s="66" t="s">
        <v>290</v>
      </c>
      <c r="U3" s="66" t="s">
        <v>291</v>
      </c>
      <c r="V3" s="66" t="s">
        <v>292</v>
      </c>
    </row>
    <row r="4" spans="2:22" ht="25">
      <c r="B4" s="64" t="s">
        <v>188</v>
      </c>
      <c r="C4" s="64" t="s">
        <v>83</v>
      </c>
      <c r="D4" s="64" t="s">
        <v>189</v>
      </c>
      <c r="E4" s="64" t="s">
        <v>190</v>
      </c>
      <c r="F4" s="64" t="s">
        <v>191</v>
      </c>
      <c r="G4" s="64" t="s">
        <v>192</v>
      </c>
      <c r="H4" s="131" t="s">
        <v>255</v>
      </c>
      <c r="I4" s="131"/>
      <c r="J4" s="131"/>
      <c r="K4" s="131"/>
      <c r="L4" s="131"/>
      <c r="M4" s="131"/>
      <c r="N4" s="131"/>
      <c r="O4" s="64" t="s">
        <v>193</v>
      </c>
      <c r="P4" s="64" t="s">
        <v>256</v>
      </c>
      <c r="Q4" s="64" t="s">
        <v>233</v>
      </c>
      <c r="R4" s="64" t="s">
        <v>234</v>
      </c>
      <c r="S4" s="64"/>
      <c r="T4" s="64"/>
      <c r="U4" s="64" t="s">
        <v>293</v>
      </c>
      <c r="V4" s="64" t="s">
        <v>293</v>
      </c>
    </row>
    <row r="5" spans="2:22" ht="50.5" thickBot="1">
      <c r="B5" s="94" t="s">
        <v>198</v>
      </c>
      <c r="C5" s="94" t="s">
        <v>91</v>
      </c>
      <c r="D5" s="94" t="s">
        <v>199</v>
      </c>
      <c r="E5" s="94" t="s">
        <v>200</v>
      </c>
      <c r="F5" s="94" t="s">
        <v>201</v>
      </c>
      <c r="G5" s="94" t="s">
        <v>202</v>
      </c>
      <c r="H5" s="132" t="s">
        <v>273</v>
      </c>
      <c r="I5" s="132"/>
      <c r="J5" s="132"/>
      <c r="K5" s="132"/>
      <c r="L5" s="132"/>
      <c r="M5" s="132"/>
      <c r="N5" s="132"/>
      <c r="O5" s="94" t="s">
        <v>203</v>
      </c>
      <c r="P5" s="94" t="s">
        <v>204</v>
      </c>
      <c r="Q5" s="94" t="s">
        <v>235</v>
      </c>
      <c r="R5" s="94" t="s">
        <v>236</v>
      </c>
      <c r="S5" s="94"/>
      <c r="T5" s="94"/>
      <c r="U5" s="94" t="s">
        <v>293</v>
      </c>
      <c r="V5" s="94" t="s">
        <v>293</v>
      </c>
    </row>
    <row r="6" spans="2:22">
      <c r="B6" s="101"/>
      <c r="C6" s="101"/>
      <c r="D6" s="102"/>
      <c r="E6" s="102"/>
      <c r="F6" s="102"/>
      <c r="G6" s="103"/>
      <c r="H6" s="102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1"/>
    </row>
    <row r="7" spans="2:22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104"/>
      <c r="T7" s="36"/>
      <c r="U7" s="36"/>
      <c r="V7" s="36"/>
    </row>
    <row r="8" spans="2:22" ht="13" thickBot="1"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6"/>
      <c r="T8" s="105"/>
      <c r="U8" s="105"/>
      <c r="V8" s="105"/>
    </row>
    <row r="10" spans="2:22" ht="15.5">
      <c r="H10" s="140" t="s">
        <v>294</v>
      </c>
      <c r="I10" s="140"/>
      <c r="J10" s="140"/>
      <c r="K10" s="140"/>
      <c r="L10" s="140"/>
      <c r="M10" s="140"/>
      <c r="N10" s="140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4296875" defaultRowHeight="12.5"/>
  <cols>
    <col min="1" max="1" width="2.54296875" customWidth="1"/>
    <col min="2" max="2" width="20.54296875" customWidth="1"/>
    <col min="3" max="3" width="13.54296875" customWidth="1"/>
    <col min="6" max="6" width="10.54296875" customWidth="1"/>
    <col min="16383" max="16384" width="9.453125" bestFit="1" customWidth="1"/>
  </cols>
  <sheetData>
    <row r="2" spans="2:10" ht="15.5">
      <c r="B2" s="33" t="s">
        <v>295</v>
      </c>
      <c r="C2" s="18"/>
      <c r="D2" s="18"/>
      <c r="E2" s="18"/>
      <c r="F2" s="18"/>
      <c r="G2" s="18"/>
      <c r="H2" s="18"/>
      <c r="I2" s="18"/>
    </row>
    <row r="3" spans="2:10">
      <c r="B3" s="34"/>
      <c r="C3" s="34"/>
      <c r="D3" s="34"/>
      <c r="E3" s="34"/>
      <c r="F3" s="19"/>
      <c r="G3" s="19"/>
      <c r="H3" s="19"/>
      <c r="I3" s="19"/>
    </row>
    <row r="4" spans="2:10" ht="15.75" customHeight="1">
      <c r="B4" s="17"/>
      <c r="C4" s="15" t="s">
        <v>296</v>
      </c>
      <c r="D4" s="19"/>
      <c r="E4" s="19"/>
    </row>
    <row r="5" spans="2:10" ht="15.75" customHeight="1">
      <c r="B5" s="90" t="s">
        <v>73</v>
      </c>
      <c r="C5" s="90" t="s">
        <v>3</v>
      </c>
      <c r="D5" s="90" t="str">
        <f>SEC_Comm!C15</f>
        <v>PRI_OTH</v>
      </c>
      <c r="E5" s="90" t="str">
        <f>SEC_Comm!C13</f>
        <v>PRI_HYD</v>
      </c>
      <c r="F5" s="90" t="str">
        <f>SEC_Comm!C14</f>
        <v>PRI_SOL</v>
      </c>
      <c r="G5" s="93" t="e">
        <f>SEC_Comm!#REF!</f>
        <v>#REF!</v>
      </c>
      <c r="H5" s="93" t="str">
        <f>SEC_Comm!C20</f>
        <v>SEC_H2G</v>
      </c>
      <c r="J5" s="53" t="s">
        <v>297</v>
      </c>
    </row>
    <row r="6" spans="2:10" ht="37.5">
      <c r="B6" s="64" t="s">
        <v>188</v>
      </c>
      <c r="C6" s="64" t="s">
        <v>298</v>
      </c>
      <c r="D6" s="141" t="s">
        <v>299</v>
      </c>
      <c r="E6" s="141"/>
      <c r="F6" s="141"/>
      <c r="G6" s="141"/>
      <c r="H6" s="141"/>
    </row>
    <row r="7" spans="2:10" ht="100.5" customHeight="1" thickBot="1">
      <c r="B7" s="65" t="s">
        <v>198</v>
      </c>
      <c r="C7" s="65" t="s">
        <v>300</v>
      </c>
      <c r="D7" s="142" t="s">
        <v>301</v>
      </c>
      <c r="E7" s="142"/>
      <c r="F7" s="142"/>
      <c r="G7" s="142"/>
      <c r="H7" s="142"/>
    </row>
    <row r="8" spans="2:10" ht="15.75" customHeight="1">
      <c r="B8" s="72" t="str">
        <f>SEC_Processes!D9</f>
        <v>ELE_EX_LIG</v>
      </c>
      <c r="C8" s="81" t="s">
        <v>302</v>
      </c>
      <c r="D8" s="82"/>
      <c r="E8" s="83">
        <v>101</v>
      </c>
      <c r="F8" s="84"/>
      <c r="G8" s="85"/>
      <c r="H8" s="85"/>
      <c r="I8" s="22"/>
    </row>
    <row r="9" spans="2:10" ht="15.75" customHeight="1">
      <c r="B9" t="str">
        <f>SEC_Processes!D10</f>
        <v>ELE_EX_GAS_CCGT</v>
      </c>
      <c r="C9" s="74" t="s">
        <v>302</v>
      </c>
      <c r="E9" s="73"/>
      <c r="F9" s="73">
        <v>57</v>
      </c>
      <c r="G9" s="52"/>
      <c r="H9" s="52"/>
      <c r="I9" s="22"/>
    </row>
    <row r="10" spans="2:10" ht="15.75" customHeight="1">
      <c r="B10" t="str">
        <f>SEC_Processes!D8</f>
        <v>ELE_EX_HC</v>
      </c>
      <c r="C10" s="75" t="s">
        <v>302</v>
      </c>
      <c r="D10" s="78">
        <v>94</v>
      </c>
      <c r="E10" s="79"/>
      <c r="F10" s="78"/>
      <c r="G10" s="80"/>
      <c r="H10" s="80"/>
      <c r="I10" s="22"/>
    </row>
    <row r="11" spans="2:10" ht="15.75" customHeight="1">
      <c r="B11" t="e">
        <f>SEC_Processes!#REF!</f>
        <v>#REF!</v>
      </c>
      <c r="C11" s="76" t="s">
        <v>302</v>
      </c>
      <c r="D11" s="73"/>
      <c r="E11" s="73"/>
      <c r="F11" s="73"/>
      <c r="G11" s="52">
        <v>100</v>
      </c>
      <c r="H11" s="52"/>
      <c r="I11" s="22"/>
    </row>
    <row r="12" spans="2:10" ht="15.75" customHeight="1">
      <c r="B12" s="86" t="e">
        <f>SEC_Processes!#REF!</f>
        <v>#REF!</v>
      </c>
      <c r="C12" s="87" t="s">
        <v>302</v>
      </c>
      <c r="D12" s="89"/>
      <c r="E12" s="89"/>
      <c r="F12" s="89"/>
      <c r="G12" s="89"/>
      <c r="H12" s="91">
        <v>100</v>
      </c>
      <c r="I12" s="22"/>
    </row>
    <row r="13" spans="2:10" ht="15.75" customHeight="1">
      <c r="B13" s="3"/>
      <c r="C13" s="88"/>
      <c r="D13" s="77"/>
      <c r="E13" s="7"/>
      <c r="F13" s="7"/>
      <c r="G13" s="30"/>
      <c r="H13" s="30"/>
      <c r="I13" s="22"/>
    </row>
    <row r="14" spans="2:10">
      <c r="I14" s="22"/>
    </row>
    <row r="15" spans="2:10">
      <c r="B15" s="22"/>
      <c r="I15" s="22"/>
    </row>
    <row r="16" spans="2:10">
      <c r="B16" s="22"/>
      <c r="I16" s="22"/>
    </row>
    <row r="17" spans="2:9">
      <c r="B17" s="22"/>
      <c r="I17" s="22"/>
    </row>
    <row r="18" spans="2:9">
      <c r="B18" s="22"/>
      <c r="I18" s="22"/>
    </row>
    <row r="19" spans="2:9">
      <c r="B19" s="22"/>
      <c r="I19" s="22"/>
    </row>
    <row r="20" spans="2:9">
      <c r="B20" s="22"/>
    </row>
    <row r="21" spans="2:9">
      <c r="B21" s="22"/>
    </row>
    <row r="22" spans="2:9">
      <c r="B22" s="22"/>
    </row>
    <row r="23" spans="2:9">
      <c r="B23" s="22"/>
    </row>
    <row r="24" spans="2:9">
      <c r="B24" s="22"/>
    </row>
    <row r="25" spans="2:9">
      <c r="B25" s="22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6" ma:contentTypeDescription="Utwórz nowy dokument." ma:contentTypeScope="" ma:versionID="057b666864f408644a45de64f989bb6e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35205d6420adaf241ab78c5bea6a41fe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8d6b01-37ca-4db4-bc7f-9b68f32c58b8" xsi:nil="true"/>
    <lcf76f155ced4ddcb4097134ff3c332f xmlns="8acd6055-54fc-4ce7-b3df-0a09834a03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523018-3B04-4337-849B-CE020061C56E}"/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708d6b01-37ca-4db4-bc7f-9b68f32c58b8"/>
    <ds:schemaRef ds:uri="8acd6055-54fc-4ce7-b3df-0a09834a03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Julia Machnik</cp:lastModifiedBy>
  <cp:revision/>
  <dcterms:created xsi:type="dcterms:W3CDTF">2000-12-13T15:53:11Z</dcterms:created>
  <dcterms:modified xsi:type="dcterms:W3CDTF">2025-09-15T14:46:04Z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