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lk\Documents\GitHub\graduatework\graduatework\bin\Debug\"/>
    </mc:Choice>
  </mc:AlternateContent>
  <xr:revisionPtr revIDLastSave="0" documentId="13_ncr:1_{B2F4A019-E61D-4058-A102-D845B7FD2B38}" xr6:coauthVersionLast="47" xr6:coauthVersionMax="47" xr10:uidLastSave="{00000000-0000-0000-0000-000000000000}"/>
  <bookViews>
    <workbookView xWindow="-120" yWindow="-120" windowWidth="29040" windowHeight="15720" tabRatio="795" xr2:uid="{00000000-000D-0000-FFFF-FFFF00000000}"/>
  </bookViews>
  <sheets>
    <sheet name="Описание_формуляр" sheetId="1" r:id="rId1"/>
    <sheet name="Расчет износа" sheetId="2" r:id="rId2"/>
    <sheet name="Задание на оценку" sheetId="3" r:id="rId3"/>
    <sheet name="Инф_О_Заказчике" sheetId="4" r:id="rId4"/>
    <sheet name="Сравнительный" sheetId="5" r:id="rId5"/>
    <sheet name="Проверка на норм распр" sheetId="6" r:id="rId6"/>
    <sheet name="Корректировки" sheetId="19" state="hidden" r:id="rId7"/>
    <sheet name="Корректировка на этаж" sheetId="18" state="hidden" r:id="rId8"/>
    <sheet name="ФормаАИЖК" sheetId="10" r:id="rId9"/>
    <sheet name="РасчетЛиквидационнойСтоимости" sheetId="11" r:id="rId10"/>
    <sheet name="Обложка отчета" sheetId="12" r:id="rId11"/>
    <sheet name="В отчет" sheetId="13" r:id="rId12"/>
  </sheets>
  <definedNames>
    <definedName name="_xlnm._FilterDatabase" localSheetId="0" hidden="1">Описание_формуляр!$AE$4:$AE$4</definedName>
    <definedName name="_xlnm._FilterDatabase" localSheetId="4" hidden="1">Сравнительный!$C$20:$G$20</definedName>
    <definedName name="Z_BF874629_29E4_4E42_B267_D30BB270BE2E_.wvu.Cols" localSheetId="3" hidden="1">Инф_О_Заказчике!$G:$J</definedName>
    <definedName name="Z_BF874629_29E4_4E42_B267_D30BB270BE2E_.wvu.Cols" localSheetId="7" hidden="1">'Корректировка на этаж'!$E:$E,'Корректировка на этаж'!$G:$G,'Корректировка на этаж'!$P:$P,'Корректировка на этаж'!$R:$R</definedName>
    <definedName name="Z_BF874629_29E4_4E42_B267_D30BB270BE2E_.wvu.FilterData" localSheetId="0" hidden="1">Описание_формуляр!$AE$4</definedName>
    <definedName name="Z_BF874629_29E4_4E42_B267_D30BB270BE2E_.wvu.FilterData" localSheetId="4" hidden="1">Сравнительный!$C$20:$G$20</definedName>
    <definedName name="Z_BF874629_29E4_4E42_B267_D30BB270BE2E_.wvu.PrintArea" localSheetId="2" hidden="1">'Задание на оценку'!$A$3:$C$106</definedName>
    <definedName name="Z_BF874629_29E4_4E42_B267_D30BB270BE2E_.wvu.PrintArea" localSheetId="0" hidden="1">Описание_формуляр!$A$1:$O$73</definedName>
    <definedName name="Z_BF874629_29E4_4E42_B267_D30BB270BE2E_.wvu.PrintArea" localSheetId="4" hidden="1">Сравнительный!$A$1:$G$108</definedName>
    <definedName name="Z_BF874629_29E4_4E42_B267_D30BB270BE2E_.wvu.Rows" localSheetId="2" hidden="1">'Задание на оценку'!$22:$28,'Задание на оценку'!$30:$31,'Задание на оценку'!$33:$33,'Задание на оценку'!$36:$36,'Задание на оценку'!$42:$48,'Задание на оценку'!$61:$76,'Задание на оценку'!$80:$84,'Задание на оценку'!$99:$99</definedName>
    <definedName name="Z_BF874629_29E4_4E42_B267_D30BB270BE2E_.wvu.Rows" localSheetId="3" hidden="1">Инф_О_Заказчике!$20:$25,Инф_О_Заказчике!$33:$33,Инф_О_Заказчике!$38:$49</definedName>
    <definedName name="Z_BF874629_29E4_4E42_B267_D30BB270BE2E_.wvu.Rows" localSheetId="7" hidden="1">'Корректировка на этаж'!$5:$5,'Корректировка на этаж'!$14:$14,'Корректировка на этаж'!$22:$22,'Корректировка на этаж'!$31:$31</definedName>
    <definedName name="Z_BF874629_29E4_4E42_B267_D30BB270BE2E_.wvu.Rows" localSheetId="10" hidden="1">'Обложка отчета'!$5:$8</definedName>
    <definedName name="Z_BF874629_29E4_4E42_B267_D30BB270BE2E_.wvu.Rows" localSheetId="0" hidden="1">Описание_формуляр!$51:$51,Описание_формуляр!$61:$61</definedName>
    <definedName name="Z_BF874629_29E4_4E42_B267_D30BB270BE2E_.wvu.Rows" localSheetId="4" hidden="1">Сравнительный!$6:$6,Сравнительный!$14:$14,Сравнительный!$27:$28,Сравнительный!$30:$31,Сравнительный!$87:$89,Сравнительный!$91:$92,Сравнительный!$97:$105</definedName>
    <definedName name="Z_BF874629_29E4_4E42_B267_D30BB270BE2E_.wvu.Rows" localSheetId="8" hidden="1">ФормаАИЖК!$23:$24,ФормаАИЖК!$32:$36</definedName>
    <definedName name="ДатаОтчета" localSheetId="2">'Задание на оценку'!$G$78</definedName>
    <definedName name="_xlnm.Print_Area" localSheetId="2">'Задание на оценку'!$A$3:$C$106</definedName>
    <definedName name="_xlnm.Print_Area" localSheetId="6">Корректировки!$A$1:$J$72</definedName>
    <definedName name="_xlnm.Print_Area" localSheetId="0">Описание_формуляр!$A$1:$O$73</definedName>
    <definedName name="_xlnm.Print_Area" localSheetId="4">Сравнительный!$A$1:$G$108</definedName>
    <definedName name="ФормаАИЖК">ФормаАИЖК!$A$2:$L$30</definedName>
    <definedName name="ЦенаОфисная">#REF!</definedName>
  </definedNames>
  <calcPr calcId="191029"/>
  <customWorkbookViews>
    <customWorkbookView name="podrezov.nv - Личное представление" guid="{BF874629-29E4-4E42-B267-D30BB270BE2E}" mergeInterval="0" personalView="1" maximized="1" xWindow="1" yWindow="1" windowWidth="1920" windowHeight="859" tabRatio="796" activeSheetId="5"/>
  </customWorkbookViews>
</workbook>
</file>

<file path=xl/calcChain.xml><?xml version="1.0" encoding="utf-8"?>
<calcChain xmlns="http://schemas.openxmlformats.org/spreadsheetml/2006/main">
  <c r="H3" i="5" l="1"/>
  <c r="F78" i="5"/>
  <c r="E84" i="5"/>
  <c r="B12" i="12"/>
  <c r="A22" i="12" s="1"/>
  <c r="H28" i="1"/>
  <c r="H25" i="1"/>
  <c r="B15" i="2" s="1"/>
  <c r="B16" i="2" s="1"/>
  <c r="B19" i="2" s="1"/>
  <c r="H27" i="1"/>
  <c r="K7" i="10" s="1"/>
  <c r="L85" i="5"/>
  <c r="K85" i="5"/>
  <c r="B9" i="12"/>
  <c r="F64" i="5"/>
  <c r="F85" i="5"/>
  <c r="N85" i="5" s="1"/>
  <c r="D88" i="5"/>
  <c r="C88" i="5"/>
  <c r="K88" i="5" s="1"/>
  <c r="F62" i="5"/>
  <c r="C50" i="5"/>
  <c r="D50" i="5"/>
  <c r="L50" i="5" s="1"/>
  <c r="C6" i="3"/>
  <c r="E87" i="5"/>
  <c r="F87" i="5" s="1"/>
  <c r="E85" i="5"/>
  <c r="M85" i="5" s="1"/>
  <c r="F84" i="5"/>
  <c r="A19" i="12"/>
  <c r="C86" i="3"/>
  <c r="C85" i="3"/>
  <c r="H14" i="10" s="1"/>
  <c r="E55" i="5"/>
  <c r="G76" i="5"/>
  <c r="O76" i="5"/>
  <c r="N73" i="5"/>
  <c r="E29" i="5"/>
  <c r="D3" i="6" s="1"/>
  <c r="C52" i="5"/>
  <c r="Y2" i="3"/>
  <c r="B4" i="13"/>
  <c r="B3" i="13"/>
  <c r="E33" i="10"/>
  <c r="B33" i="10"/>
  <c r="A33" i="10"/>
  <c r="B10" i="10"/>
  <c r="B99" i="5"/>
  <c r="H3" i="4" s="1"/>
  <c r="B100" i="5"/>
  <c r="B35" i="10" s="1"/>
  <c r="I4" i="4" s="1"/>
  <c r="O88" i="5"/>
  <c r="N88" i="5"/>
  <c r="M88" i="5"/>
  <c r="L88" i="5"/>
  <c r="O85" i="5"/>
  <c r="O82" i="5"/>
  <c r="N82" i="5"/>
  <c r="M82" i="5"/>
  <c r="L82" i="5"/>
  <c r="K82" i="5"/>
  <c r="N79" i="5"/>
  <c r="M79" i="5"/>
  <c r="L79" i="5"/>
  <c r="K79" i="5"/>
  <c r="I79" i="5"/>
  <c r="O79" i="5"/>
  <c r="N76" i="5"/>
  <c r="M76" i="5"/>
  <c r="L76" i="5"/>
  <c r="K76" i="5"/>
  <c r="I76" i="5"/>
  <c r="M73" i="5"/>
  <c r="L73" i="5"/>
  <c r="K73" i="5"/>
  <c r="I73" i="5"/>
  <c r="I70" i="5"/>
  <c r="N65" i="5"/>
  <c r="M65" i="5"/>
  <c r="L65" i="5"/>
  <c r="K65" i="5"/>
  <c r="I65" i="5"/>
  <c r="G65" i="5"/>
  <c r="O65" i="5" s="1"/>
  <c r="I62" i="5"/>
  <c r="K62" i="5"/>
  <c r="L62" i="5"/>
  <c r="M62" i="5"/>
  <c r="N62" i="5"/>
  <c r="O62" i="5"/>
  <c r="N59" i="5"/>
  <c r="M59" i="5"/>
  <c r="L59" i="5"/>
  <c r="K59" i="5"/>
  <c r="O56" i="5"/>
  <c r="N56" i="5"/>
  <c r="M56" i="5"/>
  <c r="L56" i="5"/>
  <c r="K56" i="5"/>
  <c r="O53" i="5"/>
  <c r="N53" i="5"/>
  <c r="M53" i="5"/>
  <c r="L53" i="5"/>
  <c r="K53" i="5"/>
  <c r="O50" i="5"/>
  <c r="O47" i="5"/>
  <c r="N47" i="5"/>
  <c r="M47" i="5"/>
  <c r="L47" i="5"/>
  <c r="K47" i="5"/>
  <c r="I44" i="5"/>
  <c r="H44" i="5"/>
  <c r="G44" i="5"/>
  <c r="O44" i="5" s="1"/>
  <c r="F44" i="5"/>
  <c r="N44" i="5"/>
  <c r="E44" i="5"/>
  <c r="M44" i="5" s="1"/>
  <c r="D44" i="5"/>
  <c r="L44" i="5" s="1"/>
  <c r="C44" i="5"/>
  <c r="K44" i="5" s="1"/>
  <c r="D52" i="5"/>
  <c r="E52" i="5"/>
  <c r="F52" i="5"/>
  <c r="A39" i="5"/>
  <c r="B23" i="5"/>
  <c r="B75" i="5" s="1"/>
  <c r="D72" i="5"/>
  <c r="B12" i="5"/>
  <c r="B40" i="5" s="1"/>
  <c r="C40" i="5" s="1"/>
  <c r="D40" i="5" s="1"/>
  <c r="E40" i="5" s="1"/>
  <c r="F40" i="5" s="1"/>
  <c r="G40" i="5" s="1"/>
  <c r="H40" i="5" s="1"/>
  <c r="I40" i="5" s="1"/>
  <c r="C92" i="3"/>
  <c r="C93" i="3" s="1"/>
  <c r="H9" i="10"/>
  <c r="B22" i="5"/>
  <c r="B72" i="5" s="1"/>
  <c r="D67" i="5"/>
  <c r="D69" i="5" s="1"/>
  <c r="F67" i="5"/>
  <c r="F69" i="5" s="1"/>
  <c r="C29" i="5"/>
  <c r="B3" i="6" s="1"/>
  <c r="L3" i="10"/>
  <c r="B20" i="5"/>
  <c r="B58" i="5" s="1"/>
  <c r="B26" i="5"/>
  <c r="B84" i="5" s="1"/>
  <c r="J14" i="10"/>
  <c r="B6" i="3"/>
  <c r="H8" i="10"/>
  <c r="E9" i="10"/>
  <c r="B19" i="5"/>
  <c r="B55" i="5" s="1"/>
  <c r="B26" i="10"/>
  <c r="C7" i="3"/>
  <c r="B7" i="3"/>
  <c r="B8" i="3"/>
  <c r="B9" i="3"/>
  <c r="B11" i="3"/>
  <c r="B12" i="3"/>
  <c r="B5" i="5"/>
  <c r="B64" i="5" s="1"/>
  <c r="C78" i="5"/>
  <c r="B2" i="12"/>
  <c r="B81" i="5"/>
  <c r="A100" i="5"/>
  <c r="A35" i="10" s="1"/>
  <c r="A99" i="5"/>
  <c r="A34" i="10" s="1"/>
  <c r="D64" i="5"/>
  <c r="C64" i="5"/>
  <c r="B3" i="12"/>
  <c r="A101" i="5"/>
  <c r="G5" i="4" s="1"/>
  <c r="J3" i="10"/>
  <c r="C12" i="3"/>
  <c r="D78" i="5"/>
  <c r="C11" i="3"/>
  <c r="G40" i="3" s="1"/>
  <c r="D108" i="5"/>
  <c r="D81" i="5"/>
  <c r="D61" i="5"/>
  <c r="D55" i="5"/>
  <c r="D49" i="5"/>
  <c r="D43" i="5"/>
  <c r="L114" i="5"/>
  <c r="H90" i="5"/>
  <c r="H87" i="5"/>
  <c r="H84" i="5"/>
  <c r="H81" i="5"/>
  <c r="H78" i="5"/>
  <c r="H72" i="5"/>
  <c r="H67" i="5"/>
  <c r="H64" i="5"/>
  <c r="H61" i="5"/>
  <c r="H58" i="5"/>
  <c r="H55" i="5"/>
  <c r="H49" i="5"/>
  <c r="H43" i="5"/>
  <c r="H39" i="5"/>
  <c r="H29" i="5"/>
  <c r="I108" i="5"/>
  <c r="I90" i="5"/>
  <c r="I87" i="5"/>
  <c r="I84" i="5"/>
  <c r="I81" i="5"/>
  <c r="I78" i="5"/>
  <c r="I72" i="5"/>
  <c r="I67" i="5"/>
  <c r="I64" i="5"/>
  <c r="I61" i="5"/>
  <c r="I59" i="5"/>
  <c r="I58" i="5"/>
  <c r="I55" i="5"/>
  <c r="I49" i="5"/>
  <c r="I43" i="5"/>
  <c r="I39" i="5"/>
  <c r="I29" i="5"/>
  <c r="I17" i="5"/>
  <c r="I15" i="5"/>
  <c r="I46" i="5" s="1"/>
  <c r="D46" i="5"/>
  <c r="B24" i="5"/>
  <c r="B78" i="5" s="1"/>
  <c r="E64" i="5"/>
  <c r="F108" i="5"/>
  <c r="F72" i="5"/>
  <c r="F61" i="5"/>
  <c r="F55" i="5"/>
  <c r="F49" i="5"/>
  <c r="F43" i="5"/>
  <c r="H17" i="5"/>
  <c r="B46" i="5"/>
  <c r="Q53" i="3"/>
  <c r="G61" i="5"/>
  <c r="E61" i="5"/>
  <c r="G84" i="5"/>
  <c r="G67" i="5"/>
  <c r="G29" i="5"/>
  <c r="F3" i="6" s="1"/>
  <c r="C72" i="5"/>
  <c r="E72" i="5"/>
  <c r="G72" i="5"/>
  <c r="G64" i="5"/>
  <c r="C61" i="5"/>
  <c r="G58" i="5"/>
  <c r="C55" i="5"/>
  <c r="G55" i="5"/>
  <c r="E49" i="5"/>
  <c r="G49" i="5"/>
  <c r="C49" i="5"/>
  <c r="C46" i="5"/>
  <c r="E46" i="5"/>
  <c r="Y1" i="3"/>
  <c r="B5" i="12"/>
  <c r="T68" i="5"/>
  <c r="C81" i="5"/>
  <c r="G81" i="5"/>
  <c r="B11" i="13"/>
  <c r="C11" i="13" s="1"/>
  <c r="G75" i="5"/>
  <c r="B4" i="5"/>
  <c r="B52" i="5" s="1"/>
  <c r="G17" i="5"/>
  <c r="F30" i="18"/>
  <c r="C29" i="18"/>
  <c r="F29" i="18"/>
  <c r="Q28" i="18"/>
  <c r="P28" i="18"/>
  <c r="O28" i="18"/>
  <c r="N28" i="18"/>
  <c r="F28" i="18"/>
  <c r="E28" i="18"/>
  <c r="D28" i="18"/>
  <c r="C28" i="18"/>
  <c r="F21" i="18"/>
  <c r="E21" i="18"/>
  <c r="D21" i="18"/>
  <c r="C21" i="18"/>
  <c r="F20" i="18"/>
  <c r="E20" i="18"/>
  <c r="D20" i="18"/>
  <c r="C20" i="18"/>
  <c r="F19" i="18"/>
  <c r="E19" i="18"/>
  <c r="D19" i="18"/>
  <c r="C19" i="18"/>
  <c r="F18" i="18"/>
  <c r="E18" i="18"/>
  <c r="D18" i="18"/>
  <c r="C18" i="18"/>
  <c r="R17" i="18"/>
  <c r="Q17" i="18"/>
  <c r="P17" i="18"/>
  <c r="O17" i="18"/>
  <c r="N17" i="18"/>
  <c r="G17" i="18"/>
  <c r="F17" i="18"/>
  <c r="E17" i="18"/>
  <c r="D17" i="18"/>
  <c r="C17" i="18"/>
  <c r="F13" i="18"/>
  <c r="E13" i="18"/>
  <c r="D13" i="18"/>
  <c r="C13" i="18"/>
  <c r="F12" i="18"/>
  <c r="E12" i="18"/>
  <c r="D12" i="18"/>
  <c r="C12" i="18"/>
  <c r="F11" i="18"/>
  <c r="E11" i="18"/>
  <c r="D11" i="18"/>
  <c r="C11" i="18"/>
  <c r="F10" i="18"/>
  <c r="E10" i="18"/>
  <c r="D10" i="18"/>
  <c r="C10" i="18"/>
  <c r="R9" i="18"/>
  <c r="Q9" i="18"/>
  <c r="P9" i="18"/>
  <c r="O9" i="18"/>
  <c r="N9" i="18"/>
  <c r="G9" i="18"/>
  <c r="F9" i="18"/>
  <c r="E9" i="18"/>
  <c r="D9" i="18"/>
  <c r="C9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Q2" i="18"/>
  <c r="P2" i="18"/>
  <c r="O2" i="18"/>
  <c r="N2" i="18"/>
  <c r="F2" i="18"/>
  <c r="E2" i="18"/>
  <c r="D2" i="18"/>
  <c r="C2" i="18"/>
  <c r="E108" i="19"/>
  <c r="G108" i="19" s="1"/>
  <c r="I108" i="19" s="1"/>
  <c r="I107" i="19"/>
  <c r="G107" i="19"/>
  <c r="E106" i="19"/>
  <c r="C105" i="19"/>
  <c r="C110" i="19" s="1"/>
  <c r="P100" i="19"/>
  <c r="O100" i="19"/>
  <c r="Q99" i="19"/>
  <c r="O99" i="19"/>
  <c r="Q98" i="19"/>
  <c r="P98" i="19"/>
  <c r="Q97" i="19"/>
  <c r="P97" i="19"/>
  <c r="O97" i="19"/>
  <c r="G94" i="19"/>
  <c r="H89" i="19"/>
  <c r="G89" i="19"/>
  <c r="F89" i="19"/>
  <c r="E89" i="19"/>
  <c r="D89" i="19"/>
  <c r="C89" i="19"/>
  <c r="A84" i="19"/>
  <c r="E82" i="19" s="1"/>
  <c r="A83" i="19"/>
  <c r="M78" i="19"/>
  <c r="Q76" i="19" s="1"/>
  <c r="M77" i="19"/>
  <c r="A77" i="19"/>
  <c r="E76" i="19"/>
  <c r="F71" i="19"/>
  <c r="F72" i="19" s="1"/>
  <c r="K69" i="19"/>
  <c r="E60" i="19"/>
  <c r="C60" i="19"/>
  <c r="G56" i="19"/>
  <c r="E56" i="19"/>
  <c r="C56" i="19"/>
  <c r="G55" i="19"/>
  <c r="E55" i="19"/>
  <c r="C55" i="19"/>
  <c r="G54" i="19"/>
  <c r="E54" i="19"/>
  <c r="C54" i="19"/>
  <c r="G53" i="19"/>
  <c r="E53" i="19"/>
  <c r="C53" i="19"/>
  <c r="Q45" i="19"/>
  <c r="P45" i="19"/>
  <c r="O45" i="19"/>
  <c r="N45" i="19"/>
  <c r="F45" i="19"/>
  <c r="E45" i="19"/>
  <c r="D45" i="19"/>
  <c r="C45" i="19"/>
  <c r="L42" i="19"/>
  <c r="K42" i="19"/>
  <c r="J42" i="19"/>
  <c r="I42" i="19"/>
  <c r="H42" i="19"/>
  <c r="G42" i="19"/>
  <c r="F42" i="19"/>
  <c r="E42" i="19"/>
  <c r="D42" i="19"/>
  <c r="C42" i="19"/>
  <c r="L41" i="19"/>
  <c r="K41" i="19"/>
  <c r="J41" i="19"/>
  <c r="I41" i="19"/>
  <c r="H41" i="19"/>
  <c r="G41" i="19"/>
  <c r="F41" i="19"/>
  <c r="E41" i="19"/>
  <c r="D41" i="19"/>
  <c r="C41" i="19"/>
  <c r="L40" i="19"/>
  <c r="K40" i="19"/>
  <c r="J40" i="19"/>
  <c r="I40" i="19"/>
  <c r="H40" i="19"/>
  <c r="G40" i="19"/>
  <c r="F40" i="19"/>
  <c r="E40" i="19"/>
  <c r="D40" i="19"/>
  <c r="C40" i="19"/>
  <c r="L39" i="19"/>
  <c r="K39" i="19"/>
  <c r="J39" i="19"/>
  <c r="I39" i="19"/>
  <c r="H39" i="19"/>
  <c r="G39" i="19"/>
  <c r="F39" i="19"/>
  <c r="E39" i="19"/>
  <c r="D39" i="19"/>
  <c r="C39" i="19"/>
  <c r="L38" i="19"/>
  <c r="K38" i="19"/>
  <c r="J38" i="19"/>
  <c r="I38" i="19"/>
  <c r="H38" i="19"/>
  <c r="G38" i="19"/>
  <c r="F38" i="19"/>
  <c r="E38" i="19"/>
  <c r="D38" i="19"/>
  <c r="C38" i="19"/>
  <c r="L37" i="19"/>
  <c r="K37" i="19"/>
  <c r="J37" i="19"/>
  <c r="I37" i="19"/>
  <c r="H37" i="19"/>
  <c r="G37" i="19"/>
  <c r="F37" i="19"/>
  <c r="E37" i="19"/>
  <c r="D37" i="19"/>
  <c r="C37" i="19"/>
  <c r="L36" i="19"/>
  <c r="K36" i="19"/>
  <c r="J36" i="19"/>
  <c r="I36" i="19"/>
  <c r="H36" i="19"/>
  <c r="G36" i="19"/>
  <c r="F36" i="19"/>
  <c r="E36" i="19"/>
  <c r="D36" i="19"/>
  <c r="C36" i="19"/>
  <c r="L35" i="19"/>
  <c r="K35" i="19"/>
  <c r="J35" i="19"/>
  <c r="I35" i="19"/>
  <c r="H35" i="19"/>
  <c r="G35" i="19"/>
  <c r="F35" i="19"/>
  <c r="E35" i="19"/>
  <c r="D35" i="19"/>
  <c r="C35" i="19"/>
  <c r="L34" i="19"/>
  <c r="K34" i="19"/>
  <c r="J34" i="19"/>
  <c r="I34" i="19"/>
  <c r="H34" i="19"/>
  <c r="G34" i="19"/>
  <c r="F34" i="19"/>
  <c r="E34" i="19"/>
  <c r="D34" i="19"/>
  <c r="C34" i="19"/>
  <c r="L33" i="19"/>
  <c r="K33" i="19"/>
  <c r="J33" i="19"/>
  <c r="I33" i="19"/>
  <c r="H33" i="19"/>
  <c r="G33" i="19"/>
  <c r="F33" i="19"/>
  <c r="E33" i="19"/>
  <c r="D33" i="19"/>
  <c r="C33" i="19"/>
  <c r="L32" i="19"/>
  <c r="K32" i="19"/>
  <c r="J32" i="19"/>
  <c r="I32" i="19"/>
  <c r="H32" i="19"/>
  <c r="G32" i="19"/>
  <c r="F32" i="19"/>
  <c r="E32" i="19"/>
  <c r="D32" i="19"/>
  <c r="C32" i="19"/>
  <c r="F28" i="19"/>
  <c r="F27" i="19"/>
  <c r="F26" i="19"/>
  <c r="H19" i="19"/>
  <c r="D18" i="19"/>
  <c r="H17" i="19"/>
  <c r="G16" i="19"/>
  <c r="A16" i="19"/>
  <c r="E13" i="19"/>
  <c r="F13" i="19"/>
  <c r="A20" i="19"/>
  <c r="I13" i="19" s="1"/>
  <c r="H3" i="19"/>
  <c r="G4" i="19"/>
  <c r="G7" i="19"/>
  <c r="G6" i="19"/>
  <c r="H4" i="19"/>
  <c r="C3" i="19"/>
  <c r="F3" i="19"/>
  <c r="E3" i="19"/>
  <c r="C15" i="3"/>
  <c r="B1" i="12" s="1"/>
  <c r="F69" i="18"/>
  <c r="G87" i="5"/>
  <c r="X60" i="10"/>
  <c r="O60" i="10"/>
  <c r="Y4" i="3"/>
  <c r="A21" i="10"/>
  <c r="E21" i="10" s="1"/>
  <c r="L5" i="10"/>
  <c r="C13" i="3"/>
  <c r="B8" i="12" s="1"/>
  <c r="H6" i="10"/>
  <c r="B1" i="13"/>
  <c r="B2" i="13"/>
  <c r="A2" i="12"/>
  <c r="B6" i="12"/>
  <c r="A15" i="12"/>
  <c r="B15" i="12" s="1"/>
  <c r="A17" i="12"/>
  <c r="A16" i="12" s="1"/>
  <c r="C3" i="11"/>
  <c r="C7" i="11" s="1"/>
  <c r="B3" i="10"/>
  <c r="E3" i="10"/>
  <c r="H3" i="10"/>
  <c r="B5" i="10"/>
  <c r="H5" i="10"/>
  <c r="J5" i="10"/>
  <c r="E7" i="10"/>
  <c r="H7" i="10"/>
  <c r="J7" i="10"/>
  <c r="B9" i="10"/>
  <c r="J9" i="10"/>
  <c r="AJ21" i="10"/>
  <c r="AV21" i="10"/>
  <c r="BH21" i="10"/>
  <c r="AJ23" i="10"/>
  <c r="A36" i="10"/>
  <c r="X56" i="10"/>
  <c r="X58" i="10"/>
  <c r="X62" i="10"/>
  <c r="X64" i="10"/>
  <c r="B2" i="6"/>
  <c r="B13" i="6" s="1"/>
  <c r="C2" i="6"/>
  <c r="C13" i="6"/>
  <c r="D2" i="6"/>
  <c r="D13" i="6" s="1"/>
  <c r="E2" i="6"/>
  <c r="E13" i="6" s="1"/>
  <c r="F2" i="6"/>
  <c r="F13" i="6" s="1"/>
  <c r="B3" i="5"/>
  <c r="G3" i="5" s="1"/>
  <c r="I3" i="5" s="1"/>
  <c r="BS3" i="5"/>
  <c r="BV3" i="5"/>
  <c r="BS4" i="5"/>
  <c r="BV4" i="5"/>
  <c r="BS5" i="5"/>
  <c r="BV5" i="5"/>
  <c r="B6" i="5"/>
  <c r="BS7" i="5"/>
  <c r="BV7" i="5"/>
  <c r="BS8" i="5"/>
  <c r="BV8" i="5"/>
  <c r="B9" i="5"/>
  <c r="B34" i="5" s="1"/>
  <c r="BS9" i="5"/>
  <c r="BV9" i="5"/>
  <c r="BV10" i="5"/>
  <c r="BV11" i="5"/>
  <c r="BV12" i="5"/>
  <c r="BV13" i="5"/>
  <c r="BV14" i="5"/>
  <c r="B21" i="5"/>
  <c r="B61" i="5" s="1"/>
  <c r="C34" i="5"/>
  <c r="A40" i="5"/>
  <c r="B43" i="5"/>
  <c r="C43" i="5"/>
  <c r="E43" i="5"/>
  <c r="G43" i="5"/>
  <c r="K68" i="5"/>
  <c r="L68" i="5"/>
  <c r="M68" i="5"/>
  <c r="N68" i="5"/>
  <c r="O68" i="5"/>
  <c r="A78" i="5"/>
  <c r="E78" i="5"/>
  <c r="G78" i="5"/>
  <c r="A84" i="5"/>
  <c r="A87" i="5"/>
  <c r="B101" i="5"/>
  <c r="H5" i="4"/>
  <c r="A102" i="5"/>
  <c r="B102" i="5"/>
  <c r="A103" i="5"/>
  <c r="B103" i="5"/>
  <c r="A104" i="5"/>
  <c r="A105" i="5"/>
  <c r="J108" i="5"/>
  <c r="G1" i="4"/>
  <c r="H1" i="4"/>
  <c r="I1" i="4"/>
  <c r="E4" i="4"/>
  <c r="Y3" i="3"/>
  <c r="B5" i="3"/>
  <c r="C5" i="3"/>
  <c r="C8" i="3"/>
  <c r="E10" i="3"/>
  <c r="C9" i="3"/>
  <c r="G39" i="3" s="1"/>
  <c r="C10" i="3"/>
  <c r="G38" i="3" s="1"/>
  <c r="Q37" i="3"/>
  <c r="Q38" i="3"/>
  <c r="Q39" i="3"/>
  <c r="Q40" i="3"/>
  <c r="Q41" i="3"/>
  <c r="Q42" i="3"/>
  <c r="Q43" i="3"/>
  <c r="Q44" i="3"/>
  <c r="Q45" i="3"/>
  <c r="Q46" i="3"/>
  <c r="Q48" i="3"/>
  <c r="Q49" i="3"/>
  <c r="Q50" i="3"/>
  <c r="F51" i="3"/>
  <c r="Q51" i="3"/>
  <c r="Q52" i="3"/>
  <c r="P54" i="3"/>
  <c r="Q54" i="3"/>
  <c r="F55" i="3"/>
  <c r="Q55" i="3"/>
  <c r="Q56" i="3"/>
  <c r="P58" i="3"/>
  <c r="Q58" i="3"/>
  <c r="Q59" i="3"/>
  <c r="Q60" i="3"/>
  <c r="Q61" i="3"/>
  <c r="Q62" i="3"/>
  <c r="Q63" i="3"/>
  <c r="Q64" i="3"/>
  <c r="Q65" i="3"/>
  <c r="Q66" i="3"/>
  <c r="Q67" i="3"/>
  <c r="Q68" i="3"/>
  <c r="B104" i="5"/>
  <c r="B105" i="5"/>
  <c r="B8" i="13"/>
  <c r="E15" i="2"/>
  <c r="AF3" i="1"/>
  <c r="AG3" i="1"/>
  <c r="AH3" i="1"/>
  <c r="AK3" i="1"/>
  <c r="AL3" i="1"/>
  <c r="AN3" i="1"/>
  <c r="AO3" i="1"/>
  <c r="AP3" i="1"/>
  <c r="AQ3" i="1"/>
  <c r="AR3" i="1"/>
  <c r="AS3" i="1"/>
  <c r="AU3" i="1"/>
  <c r="BD3" i="1"/>
  <c r="BE3" i="1"/>
  <c r="BF3" i="1"/>
  <c r="AI4" i="1"/>
  <c r="AJ4" i="1"/>
  <c r="B87" i="5"/>
  <c r="A20" i="12"/>
  <c r="G8" i="19"/>
  <c r="C92" i="19"/>
  <c r="Q68" i="5"/>
  <c r="D19" i="19"/>
  <c r="G39" i="5"/>
  <c r="E7" i="19"/>
  <c r="F46" i="5"/>
  <c r="U68" i="5"/>
  <c r="S68" i="5"/>
  <c r="G46" i="5"/>
  <c r="F5" i="19"/>
  <c r="C94" i="19"/>
  <c r="G106" i="19"/>
  <c r="I106" i="19" s="1"/>
  <c r="I105" i="19" s="1"/>
  <c r="I110" i="19" s="1"/>
  <c r="H46" i="5"/>
  <c r="C75" i="5"/>
  <c r="F75" i="5"/>
  <c r="C28" i="19"/>
  <c r="C32" i="18"/>
  <c r="F17" i="19"/>
  <c r="F16" i="19"/>
  <c r="A15" i="19"/>
  <c r="D13" i="19" s="1"/>
  <c r="D3" i="19"/>
  <c r="C27" i="19"/>
  <c r="G59" i="5"/>
  <c r="O59" i="5" s="1"/>
  <c r="E75" i="5"/>
  <c r="D75" i="5"/>
  <c r="D90" i="19"/>
  <c r="C91" i="19"/>
  <c r="D94" i="19"/>
  <c r="A14" i="19"/>
  <c r="C13" i="19" s="1"/>
  <c r="D5" i="19"/>
  <c r="D8" i="19"/>
  <c r="C95" i="19"/>
  <c r="D7" i="19"/>
  <c r="I19" i="19"/>
  <c r="D4" i="19"/>
  <c r="C7" i="19"/>
  <c r="I17" i="19"/>
  <c r="C4" i="19"/>
  <c r="I8" i="19"/>
  <c r="D32" i="18"/>
  <c r="E4" i="19"/>
  <c r="H20" i="19"/>
  <c r="C10" i="19"/>
  <c r="C5" i="19"/>
  <c r="B4" i="12"/>
  <c r="Q57" i="3"/>
  <c r="R68" i="5"/>
  <c r="F10" i="19"/>
  <c r="A19" i="19"/>
  <c r="H13" i="19"/>
  <c r="J5" i="4"/>
  <c r="J4" i="4"/>
  <c r="J3" i="4"/>
  <c r="H18" i="19"/>
  <c r="H91" i="19"/>
  <c r="I6" i="19"/>
  <c r="F18" i="19"/>
  <c r="I3" i="19"/>
  <c r="E94" i="19"/>
  <c r="G18" i="19"/>
  <c r="H92" i="19"/>
  <c r="F6" i="19"/>
  <c r="G95" i="19"/>
  <c r="G92" i="19"/>
  <c r="G19" i="19"/>
  <c r="K26" i="19"/>
  <c r="H94" i="19"/>
  <c r="C8" i="19"/>
  <c r="C6" i="19"/>
  <c r="D20" i="19"/>
  <c r="G91" i="19"/>
  <c r="D15" i="19"/>
  <c r="F19" i="19"/>
  <c r="G90" i="19"/>
  <c r="C26" i="19"/>
  <c r="G17" i="19"/>
  <c r="F8" i="19"/>
  <c r="G20" i="19"/>
  <c r="H15" i="19"/>
  <c r="G5" i="19"/>
  <c r="D16" i="19"/>
  <c r="E18" i="19"/>
  <c r="E5" i="19"/>
  <c r="E6" i="19"/>
  <c r="I18" i="19"/>
  <c r="H26" i="10"/>
  <c r="B10" i="12"/>
  <c r="G10" i="19"/>
  <c r="O31" i="18"/>
  <c r="Q31" i="18"/>
  <c r="N31" i="18"/>
  <c r="S77" i="19"/>
  <c r="E14" i="18"/>
  <c r="G13" i="18"/>
  <c r="G10" i="18"/>
  <c r="G12" i="18"/>
  <c r="G14" i="18"/>
  <c r="F14" i="18"/>
  <c r="C14" i="18"/>
  <c r="G11" i="18"/>
  <c r="D14" i="18"/>
  <c r="O19" i="18"/>
  <c r="P19" i="18"/>
  <c r="Q19" i="18"/>
  <c r="N19" i="18"/>
  <c r="R19" i="18"/>
  <c r="P32" i="18"/>
  <c r="O32" i="18"/>
  <c r="N32" i="18"/>
  <c r="O4" i="18"/>
  <c r="Q4" i="18"/>
  <c r="P4" i="18"/>
  <c r="N4" i="18"/>
  <c r="P22" i="18"/>
  <c r="O22" i="18"/>
  <c r="N22" i="18"/>
  <c r="Q22" i="18"/>
  <c r="R22" i="18"/>
  <c r="N18" i="18"/>
  <c r="O18" i="18"/>
  <c r="P18" i="18"/>
  <c r="Q18" i="18"/>
  <c r="R18" i="18"/>
  <c r="N47" i="19"/>
  <c r="Q47" i="19"/>
  <c r="O47" i="19"/>
  <c r="P47" i="19"/>
  <c r="O6" i="18"/>
  <c r="Q6" i="18"/>
  <c r="P6" i="18"/>
  <c r="N6" i="18"/>
  <c r="O14" i="18"/>
  <c r="P14" i="18"/>
  <c r="Q14" i="18"/>
  <c r="R14" i="18"/>
  <c r="N14" i="18"/>
  <c r="O48" i="19"/>
  <c r="N48" i="19"/>
  <c r="P48" i="19"/>
  <c r="Q48" i="19"/>
  <c r="G21" i="18"/>
  <c r="C22" i="18"/>
  <c r="G22" i="18"/>
  <c r="E22" i="18"/>
  <c r="D22" i="18"/>
  <c r="G20" i="18"/>
  <c r="G19" i="18"/>
  <c r="G18" i="18"/>
  <c r="F22" i="18"/>
  <c r="N10" i="18"/>
  <c r="P10" i="18"/>
  <c r="Q10" i="18"/>
  <c r="R10" i="18"/>
  <c r="O10" i="18"/>
  <c r="P3" i="18"/>
  <c r="N3" i="18"/>
  <c r="O3" i="18"/>
  <c r="Q3" i="18"/>
  <c r="P21" i="18"/>
  <c r="O21" i="18"/>
  <c r="N21" i="18"/>
  <c r="Q21" i="18"/>
  <c r="R21" i="18"/>
  <c r="C50" i="19"/>
  <c r="F50" i="19"/>
  <c r="E50" i="19"/>
  <c r="D50" i="19"/>
  <c r="G50" i="19"/>
  <c r="D47" i="19"/>
  <c r="C47" i="19"/>
  <c r="F47" i="19"/>
  <c r="E47" i="19"/>
  <c r="G78" i="19"/>
  <c r="P13" i="18"/>
  <c r="R13" i="18"/>
  <c r="O13" i="18"/>
  <c r="N13" i="18"/>
  <c r="Q13" i="18"/>
  <c r="P50" i="19"/>
  <c r="N50" i="19"/>
  <c r="O50" i="19"/>
  <c r="Q50" i="19"/>
  <c r="Q46" i="19"/>
  <c r="N46" i="19"/>
  <c r="O46" i="19"/>
  <c r="P46" i="19"/>
  <c r="S78" i="19"/>
  <c r="O78" i="19" s="1"/>
  <c r="Q49" i="19"/>
  <c r="N49" i="19"/>
  <c r="P49" i="19"/>
  <c r="O49" i="19"/>
  <c r="O12" i="18"/>
  <c r="Q12" i="18"/>
  <c r="N12" i="18"/>
  <c r="P12" i="18"/>
  <c r="R12" i="18"/>
  <c r="N5" i="18"/>
  <c r="Q5" i="18"/>
  <c r="O5" i="18"/>
  <c r="P5" i="18"/>
  <c r="P30" i="18"/>
  <c r="Q30" i="18"/>
  <c r="N30" i="18"/>
  <c r="R20" i="18"/>
  <c r="P20" i="18"/>
  <c r="N20" i="18"/>
  <c r="O20" i="18"/>
  <c r="Q20" i="18"/>
  <c r="E29" i="18"/>
  <c r="E32" i="18"/>
  <c r="C31" i="18"/>
  <c r="E30" i="18"/>
  <c r="F31" i="18"/>
  <c r="D31" i="18"/>
  <c r="O29" i="18"/>
  <c r="P29" i="18"/>
  <c r="Q29" i="18"/>
  <c r="D48" i="19"/>
  <c r="F48" i="19"/>
  <c r="C48" i="19"/>
  <c r="E48" i="19"/>
  <c r="N11" i="18"/>
  <c r="R11" i="18"/>
  <c r="P11" i="18"/>
  <c r="Q11" i="18"/>
  <c r="O11" i="18"/>
  <c r="C20" i="19"/>
  <c r="F14" i="19"/>
  <c r="I14" i="19"/>
  <c r="G14" i="19"/>
  <c r="C14" i="19"/>
  <c r="E14" i="19"/>
  <c r="D14" i="19"/>
  <c r="C16" i="19"/>
  <c r="H14" i="19"/>
  <c r="C15" i="19"/>
  <c r="C19" i="19"/>
  <c r="C17" i="19"/>
  <c r="C18" i="19"/>
  <c r="F49" i="19"/>
  <c r="E49" i="19"/>
  <c r="C49" i="19"/>
  <c r="D49" i="19"/>
  <c r="F46" i="19"/>
  <c r="E46" i="19"/>
  <c r="D46" i="19"/>
  <c r="C46" i="19"/>
  <c r="A18" i="19"/>
  <c r="G13" i="19" s="1"/>
  <c r="G3" i="19"/>
  <c r="F9" i="19"/>
  <c r="H6" i="19"/>
  <c r="C9" i="19"/>
  <c r="H5" i="19"/>
  <c r="E9" i="19"/>
  <c r="I9" i="19"/>
  <c r="G9" i="19"/>
  <c r="H9" i="19"/>
  <c r="H7" i="19"/>
  <c r="D9" i="19"/>
  <c r="H10" i="19"/>
  <c r="F25" i="19"/>
  <c r="C25" i="19"/>
  <c r="H90" i="19"/>
  <c r="D95" i="19"/>
  <c r="E95" i="19"/>
  <c r="D6" i="19"/>
  <c r="I5" i="19"/>
  <c r="F7" i="19"/>
  <c r="I7" i="19"/>
  <c r="F4" i="19"/>
  <c r="G15" i="19"/>
  <c r="D17" i="19"/>
  <c r="I15" i="19"/>
  <c r="E15" i="19"/>
  <c r="F15" i="19"/>
  <c r="H16" i="19"/>
  <c r="I16" i="19"/>
  <c r="E16" i="19"/>
  <c r="E17" i="19"/>
  <c r="E19" i="19"/>
  <c r="E90" i="19"/>
  <c r="D92" i="19"/>
  <c r="E91" i="19"/>
  <c r="H8" i="19"/>
  <c r="E8" i="19"/>
  <c r="I10" i="19"/>
  <c r="D10" i="19"/>
  <c r="E10" i="19"/>
  <c r="I4" i="19"/>
  <c r="I20" i="19"/>
  <c r="F20" i="19"/>
  <c r="E20" i="19"/>
  <c r="D29" i="18"/>
  <c r="C30" i="18"/>
  <c r="C78" i="19"/>
  <c r="G83" i="19"/>
  <c r="I5" i="4"/>
  <c r="G73" i="5"/>
  <c r="O73" i="5" s="1"/>
  <c r="C84" i="5"/>
  <c r="E67" i="5"/>
  <c r="E69" i="5"/>
  <c r="D29" i="5"/>
  <c r="C3" i="6" s="1"/>
  <c r="C67" i="5"/>
  <c r="C69" i="5" s="1"/>
  <c r="E81" i="5"/>
  <c r="F81" i="5"/>
  <c r="C39" i="5"/>
  <c r="D87" i="5"/>
  <c r="E39" i="5"/>
  <c r="K50" i="5"/>
  <c r="F39" i="5"/>
  <c r="F29" i="5"/>
  <c r="E3" i="6" s="1"/>
  <c r="D39" i="5"/>
  <c r="C31" i="5"/>
  <c r="C32" i="5" s="1"/>
  <c r="I23" i="5"/>
  <c r="I75" i="5" s="1"/>
  <c r="H23" i="5"/>
  <c r="H75" i="5" s="1"/>
  <c r="C87" i="5"/>
  <c r="B7" i="13"/>
  <c r="B12" i="10"/>
  <c r="C30" i="5"/>
  <c r="B11" i="10"/>
  <c r="B6" i="13"/>
  <c r="D84" i="5"/>
  <c r="C58" i="5"/>
  <c r="D58" i="5"/>
  <c r="E58" i="5"/>
  <c r="F58" i="5"/>
  <c r="G4" i="4"/>
  <c r="H4" i="4"/>
  <c r="B21" i="10"/>
  <c r="G3" i="4"/>
  <c r="C21" i="10" l="1"/>
  <c r="Q77" i="19"/>
  <c r="J99" i="5"/>
  <c r="J6" i="4"/>
  <c r="E105" i="19"/>
  <c r="E110" i="19" s="1"/>
  <c r="G105" i="19"/>
  <c r="G110" i="19" s="1"/>
  <c r="A22" i="10"/>
  <c r="B105" i="3"/>
  <c r="B34" i="10"/>
  <c r="I3" i="4" s="1"/>
  <c r="G84" i="19"/>
  <c r="G111" i="19"/>
  <c r="B4" i="6"/>
  <c r="B9" i="6" s="1"/>
  <c r="B5" i="6"/>
  <c r="F13" i="12"/>
  <c r="C11" i="12"/>
  <c r="C84" i="19"/>
  <c r="E83" i="19"/>
  <c r="B11" i="12"/>
  <c r="B17" i="12" s="1"/>
  <c r="K26" i="10"/>
  <c r="B5" i="13"/>
  <c r="E1" i="12"/>
  <c r="H21" i="10"/>
  <c r="L21" i="10"/>
  <c r="D41" i="5"/>
  <c r="G12" i="5"/>
  <c r="G41" i="5" s="1"/>
  <c r="H12" i="5"/>
  <c r="H41" i="5" s="1"/>
  <c r="H42" i="5" s="1"/>
  <c r="H45" i="5" s="1"/>
  <c r="H48" i="5" s="1"/>
  <c r="H51" i="5" s="1"/>
  <c r="H54" i="5" s="1"/>
  <c r="H57" i="5" s="1"/>
  <c r="H60" i="5" s="1"/>
  <c r="H63" i="5" s="1"/>
  <c r="H66" i="5" s="1"/>
  <c r="H71" i="5" s="1"/>
  <c r="H74" i="5" s="1"/>
  <c r="H77" i="5" s="1"/>
  <c r="H80" i="5" s="1"/>
  <c r="H83" i="5" s="1"/>
  <c r="H86" i="5" s="1"/>
  <c r="H89" i="5" s="1"/>
  <c r="B7" i="10"/>
  <c r="B18" i="5"/>
  <c r="G18" i="5" s="1"/>
  <c r="E50" i="5"/>
  <c r="E77" i="19"/>
  <c r="I6" i="4"/>
  <c r="F41" i="5"/>
  <c r="C41" i="5"/>
  <c r="I12" i="5"/>
  <c r="I41" i="5" s="1"/>
  <c r="I42" i="5" s="1"/>
  <c r="I45" i="5" s="1"/>
  <c r="I48" i="5" s="1"/>
  <c r="I51" i="5" s="1"/>
  <c r="I54" i="5" s="1"/>
  <c r="I57" i="5" s="1"/>
  <c r="I60" i="5" s="1"/>
  <c r="I63" i="5" s="1"/>
  <c r="I66" i="5" s="1"/>
  <c r="I71" i="5" s="1"/>
  <c r="I74" i="5" s="1"/>
  <c r="I77" i="5" s="1"/>
  <c r="I80" i="5" s="1"/>
  <c r="I83" i="5" s="1"/>
  <c r="I86" i="5" s="1"/>
  <c r="I89" i="5" s="1"/>
  <c r="E41" i="5"/>
  <c r="E42" i="5" s="1"/>
  <c r="E45" i="5" s="1"/>
  <c r="E48" i="5" s="1"/>
  <c r="J21" i="10"/>
  <c r="B8" i="6"/>
  <c r="G108" i="5"/>
  <c r="B11" i="5"/>
  <c r="E51" i="5" l="1"/>
  <c r="E54" i="5" s="1"/>
  <c r="E57" i="5" s="1"/>
  <c r="E60" i="5" s="1"/>
  <c r="E63" i="5" s="1"/>
  <c r="E66" i="5" s="1"/>
  <c r="M41" i="5"/>
  <c r="B6" i="6"/>
  <c r="E15" i="12"/>
  <c r="G19" i="12"/>
  <c r="C42" i="5"/>
  <c r="C45" i="5" s="1"/>
  <c r="C48" i="5" s="1"/>
  <c r="C51" i="5" s="1"/>
  <c r="C54" i="5" s="1"/>
  <c r="C57" i="5" s="1"/>
  <c r="C60" i="5" s="1"/>
  <c r="C63" i="5" s="1"/>
  <c r="C66" i="5" s="1"/>
  <c r="K41" i="5"/>
  <c r="F50" i="5"/>
  <c r="N50" i="5" s="1"/>
  <c r="M50" i="5"/>
  <c r="O41" i="5"/>
  <c r="G42" i="5"/>
  <c r="G45" i="5" s="1"/>
  <c r="G48" i="5" s="1"/>
  <c r="G51" i="5" s="1"/>
  <c r="G54" i="5" s="1"/>
  <c r="G57" i="5" s="1"/>
  <c r="G60" i="5" s="1"/>
  <c r="G63" i="5" s="1"/>
  <c r="G66" i="5" s="1"/>
  <c r="N41" i="5"/>
  <c r="F42" i="5"/>
  <c r="F45" i="5" s="1"/>
  <c r="F48" i="5" s="1"/>
  <c r="G52" i="5"/>
  <c r="H18" i="5"/>
  <c r="D42" i="5"/>
  <c r="D45" i="5" s="1"/>
  <c r="D48" i="5" s="1"/>
  <c r="D51" i="5" s="1"/>
  <c r="D54" i="5" s="1"/>
  <c r="D57" i="5" s="1"/>
  <c r="D60" i="5" s="1"/>
  <c r="D63" i="5" s="1"/>
  <c r="D66" i="5" s="1"/>
  <c r="L41" i="5"/>
  <c r="B67" i="5"/>
  <c r="B69" i="5" s="1"/>
  <c r="E110" i="5"/>
  <c r="E34" i="5"/>
  <c r="M114" i="5"/>
  <c r="E10" i="6"/>
  <c r="D10" i="6"/>
  <c r="C10" i="6"/>
  <c r="B10" i="6"/>
  <c r="F10" i="6"/>
  <c r="F51" i="5" l="1"/>
  <c r="F54" i="5" s="1"/>
  <c r="F57" i="5" s="1"/>
  <c r="F60" i="5" s="1"/>
  <c r="F63" i="5" s="1"/>
  <c r="F66" i="5" s="1"/>
  <c r="H52" i="5"/>
  <c r="I18" i="5"/>
  <c r="I52" i="5" s="1"/>
  <c r="F70" i="5"/>
  <c r="E70" i="5"/>
  <c r="C70" i="5"/>
  <c r="D70" i="5"/>
  <c r="K70" i="5" l="1"/>
  <c r="K90" i="5" s="1"/>
  <c r="C90" i="5" s="1"/>
  <c r="C71" i="5"/>
  <c r="C74" i="5" s="1"/>
  <c r="C77" i="5" s="1"/>
  <c r="C80" i="5" s="1"/>
  <c r="C83" i="5" s="1"/>
  <c r="C86" i="5" s="1"/>
  <c r="C89" i="5" s="1"/>
  <c r="N70" i="5"/>
  <c r="N90" i="5" s="1"/>
  <c r="F90" i="5" s="1"/>
  <c r="G70" i="5"/>
  <c r="F71" i="5"/>
  <c r="F74" i="5" s="1"/>
  <c r="F77" i="5" s="1"/>
  <c r="F80" i="5" s="1"/>
  <c r="F83" i="5" s="1"/>
  <c r="F86" i="5" s="1"/>
  <c r="F89" i="5" s="1"/>
  <c r="E14" i="6" s="1"/>
  <c r="M70" i="5"/>
  <c r="M90" i="5" s="1"/>
  <c r="E90" i="5" s="1"/>
  <c r="E71" i="5"/>
  <c r="E74" i="5" s="1"/>
  <c r="E77" i="5" s="1"/>
  <c r="E80" i="5" s="1"/>
  <c r="E83" i="5" s="1"/>
  <c r="E86" i="5" s="1"/>
  <c r="E89" i="5" s="1"/>
  <c r="L70" i="5"/>
  <c r="L90" i="5" s="1"/>
  <c r="D90" i="5" s="1"/>
  <c r="D71" i="5"/>
  <c r="D74" i="5" s="1"/>
  <c r="D77" i="5" s="1"/>
  <c r="D80" i="5" s="1"/>
  <c r="D83" i="5" s="1"/>
  <c r="D86" i="5" s="1"/>
  <c r="D89" i="5" s="1"/>
  <c r="C14" i="6" s="1"/>
  <c r="H91" i="5" l="1"/>
  <c r="H92" i="5" s="1"/>
  <c r="C91" i="5"/>
  <c r="C92" i="5" s="1"/>
  <c r="I91" i="5"/>
  <c r="I92" i="5" s="1"/>
  <c r="D115" i="5"/>
  <c r="B14" i="6"/>
  <c r="E91" i="5"/>
  <c r="E92" i="5" s="1"/>
  <c r="F91" i="5"/>
  <c r="F92" i="5" s="1"/>
  <c r="D14" i="6"/>
  <c r="C115" i="5"/>
  <c r="O70" i="5"/>
  <c r="O90" i="5" s="1"/>
  <c r="G90" i="5" s="1"/>
  <c r="G91" i="5" s="1"/>
  <c r="G92" i="5" s="1"/>
  <c r="G93" i="5" s="1"/>
  <c r="G71" i="5"/>
  <c r="G74" i="5" s="1"/>
  <c r="G77" i="5" s="1"/>
  <c r="G80" i="5" s="1"/>
  <c r="G83" i="5" s="1"/>
  <c r="G86" i="5" s="1"/>
  <c r="G89" i="5" s="1"/>
  <c r="F14" i="6" s="1"/>
  <c r="D91" i="5"/>
  <c r="D92" i="5" s="1"/>
  <c r="E93" i="5" l="1"/>
  <c r="E94" i="5" s="1"/>
  <c r="H93" i="5"/>
  <c r="H94" i="5" s="1"/>
  <c r="B16" i="6"/>
  <c r="B15" i="6"/>
  <c r="G94" i="5"/>
  <c r="I93" i="5"/>
  <c r="I94" i="5" s="1"/>
  <c r="C93" i="5"/>
  <c r="C94" i="5" s="1"/>
  <c r="B95" i="5" s="1"/>
  <c r="F93" i="5"/>
  <c r="F94" i="5" s="1"/>
  <c r="D93" i="5"/>
  <c r="D94" i="5" s="1"/>
  <c r="B17" i="6" l="1"/>
  <c r="C95" i="5"/>
  <c r="B96" i="5"/>
  <c r="B20" i="6"/>
  <c r="B19" i="6"/>
  <c r="I97" i="5"/>
  <c r="D101" i="5" l="1"/>
  <c r="I101" i="5" s="1"/>
  <c r="C100" i="5"/>
  <c r="E3" i="4"/>
  <c r="E5" i="4" s="1"/>
  <c r="D102" i="5"/>
  <c r="C99" i="5"/>
  <c r="B12" i="13"/>
  <c r="D104" i="5"/>
  <c r="I104" i="5" s="1"/>
  <c r="A107" i="5"/>
  <c r="D105" i="5"/>
  <c r="I105" i="5" s="1"/>
  <c r="B28" i="10"/>
  <c r="B30" i="10" s="1"/>
  <c r="C2" i="11" s="1"/>
  <c r="C8" i="11" s="1"/>
  <c r="C96" i="5"/>
  <c r="D103" i="5"/>
  <c r="I103" i="5" s="1"/>
  <c r="F21" i="6"/>
  <c r="C21" i="6"/>
  <c r="E21" i="6"/>
  <c r="D21" i="6"/>
  <c r="B21" i="6"/>
  <c r="A108" i="5" l="1"/>
  <c r="B13" i="13"/>
  <c r="J30" i="10"/>
  <c r="D99" i="5"/>
  <c r="H34" i="10" s="1"/>
  <c r="I99" i="5"/>
  <c r="E34" i="10"/>
  <c r="B14" i="13"/>
  <c r="C14" i="13" s="1"/>
  <c r="C12" i="13"/>
  <c r="D100" i="5"/>
  <c r="H35" i="10" s="1"/>
  <c r="I100" i="5"/>
  <c r="E35" i="10"/>
  <c r="B36" i="10"/>
  <c r="I102" i="5"/>
  <c r="B15" i="13" l="1"/>
  <c r="C15" i="13" s="1"/>
  <c r="C13" i="13"/>
  <c r="E6" i="4"/>
  <c r="E7" i="4" s="1"/>
  <c r="B31" i="10"/>
  <c r="I36" i="10"/>
  <c r="J31" i="10"/>
</calcChain>
</file>

<file path=xl/sharedStrings.xml><?xml version="1.0" encoding="utf-8"?>
<sst xmlns="http://schemas.openxmlformats.org/spreadsheetml/2006/main" count="1228" uniqueCount="813">
  <si>
    <t>Описание объекта оценки</t>
  </si>
  <si>
    <t>Тип помещения:</t>
  </si>
  <si>
    <t>Этаж</t>
  </si>
  <si>
    <t>Жилая площадь, кв. м</t>
  </si>
  <si>
    <t>Наличие неутвержденной перепланировки</t>
  </si>
  <si>
    <t>Наличие обременений</t>
  </si>
  <si>
    <t>Характер обременений</t>
  </si>
  <si>
    <t>Нет</t>
  </si>
  <si>
    <t>Описание здания</t>
  </si>
  <si>
    <t>Этажность</t>
  </si>
  <si>
    <t>Год капитального ремонта</t>
  </si>
  <si>
    <t xml:space="preserve">Физический износ здания, % </t>
  </si>
  <si>
    <t>Адрес объекта оценки</t>
  </si>
  <si>
    <t>Субъект РФ</t>
  </si>
  <si>
    <t>Улица , № дома, № корпуса (строения), № кв</t>
  </si>
  <si>
    <t>Цель оценки</t>
  </si>
  <si>
    <t>Заказчик оценки</t>
  </si>
  <si>
    <t>Основание оценки</t>
  </si>
  <si>
    <t>Исполнитель оценки</t>
  </si>
  <si>
    <t>Форма</t>
  </si>
  <si>
    <t xml:space="preserve">Наименование / Ф.И.О. (для ИП) </t>
  </si>
  <si>
    <t>Место нахождения, контактная информация</t>
  </si>
  <si>
    <t>ОГРН, дата присвоения ОГРН</t>
  </si>
  <si>
    <t>Сведения об оценщиках, выполнивших оценку</t>
  </si>
  <si>
    <t>Стаж работы</t>
  </si>
  <si>
    <t>(лет)</t>
  </si>
  <si>
    <t>Номер в реестре членов  СРОО</t>
  </si>
  <si>
    <t xml:space="preserve">Краткое наименование СРОО </t>
  </si>
  <si>
    <t>Реквизиты документов оценщика:</t>
  </si>
  <si>
    <t>о членстве в СРОО</t>
  </si>
  <si>
    <t>полиса обязательного страхования гражданской ответственности</t>
  </si>
  <si>
    <t>Даты</t>
  </si>
  <si>
    <t>Осмотра объекта</t>
  </si>
  <si>
    <t>Оценки</t>
  </si>
  <si>
    <t>Составления отчета</t>
  </si>
  <si>
    <t>Результаты расчета рыночной стоимости при применении</t>
  </si>
  <si>
    <t>Сравнительного подхода (в рублях)</t>
  </si>
  <si>
    <t>Доходного подхода (в рублях)</t>
  </si>
  <si>
    <t>Затратного подхода (в рублях)</t>
  </si>
  <si>
    <t>Итоговое значение стоимости</t>
  </si>
  <si>
    <t>Рыночная стоимость (в рублях)</t>
  </si>
  <si>
    <t>Челябинская область</t>
  </si>
  <si>
    <t>о получении профессиональных знаний</t>
  </si>
  <si>
    <t>Показатель</t>
  </si>
  <si>
    <t>Транспортная доступность</t>
  </si>
  <si>
    <t>Обеспеченность общественным транспортом (субъективная оценка)</t>
  </si>
  <si>
    <t>Обеспеченность объектами социальной инфраструктуры (субъективная оценка)</t>
  </si>
  <si>
    <t>Объекты промышленной инфраструктуры микрорайона</t>
  </si>
  <si>
    <t>Описание или характеристика показателя</t>
  </si>
  <si>
    <t>Населенный пункт</t>
  </si>
  <si>
    <t>Челябинск</t>
  </si>
  <si>
    <t>Магнитогорск</t>
  </si>
  <si>
    <t>Миасс</t>
  </si>
  <si>
    <t>Центральный</t>
  </si>
  <si>
    <t>Ленинский</t>
  </si>
  <si>
    <t>Калининский</t>
  </si>
  <si>
    <t>Курчатовский</t>
  </si>
  <si>
    <t>Советский</t>
  </si>
  <si>
    <t>Металлургический</t>
  </si>
  <si>
    <t>Тракторозаводский</t>
  </si>
  <si>
    <t>Преобладающая застройка</t>
  </si>
  <si>
    <t>Жилая</t>
  </si>
  <si>
    <t>Административная</t>
  </si>
  <si>
    <t>Промзона</t>
  </si>
  <si>
    <t>Смешанная</t>
  </si>
  <si>
    <t>Общая характеристика здания</t>
  </si>
  <si>
    <t>Материал перекрытий</t>
  </si>
  <si>
    <t>Состояние подъезда (субъективная оценка)</t>
  </si>
  <si>
    <t>Дополнительная существенная информация</t>
  </si>
  <si>
    <t>Панельный</t>
  </si>
  <si>
    <t>Кирпичный</t>
  </si>
  <si>
    <t>Деревянные</t>
  </si>
  <si>
    <t>Серия</t>
  </si>
  <si>
    <t>Домофон</t>
  </si>
  <si>
    <t>Есть</t>
  </si>
  <si>
    <t>Железобетонные</t>
  </si>
  <si>
    <t>Парковка</t>
  </si>
  <si>
    <t>Подземная</t>
  </si>
  <si>
    <t>Огороженная территория</t>
  </si>
  <si>
    <t>Имеется (неорганизованная)</t>
  </si>
  <si>
    <t>Хорошее</t>
  </si>
  <si>
    <t>Удовлетворительное</t>
  </si>
  <si>
    <t>Неудовлетворительное</t>
  </si>
  <si>
    <t>Наличие детской площадки</t>
  </si>
  <si>
    <t>Этаж расположения</t>
  </si>
  <si>
    <t>Вид из окон</t>
  </si>
  <si>
    <t>Характеристика объекта оценки</t>
  </si>
  <si>
    <t>Количество комнат</t>
  </si>
  <si>
    <t>1-</t>
  </si>
  <si>
    <t>3-</t>
  </si>
  <si>
    <t>4-</t>
  </si>
  <si>
    <t>Совмещенный</t>
  </si>
  <si>
    <t>Раздельный</t>
  </si>
  <si>
    <t>Балкон</t>
  </si>
  <si>
    <t>Лоджия</t>
  </si>
  <si>
    <t>Балкон+Лоджия</t>
  </si>
  <si>
    <t>(застеклен)</t>
  </si>
  <si>
    <t>(не застеклен)</t>
  </si>
  <si>
    <t>Во двор</t>
  </si>
  <si>
    <t>На дорогу</t>
  </si>
  <si>
    <t>Выходят на 2 стороны</t>
  </si>
  <si>
    <t>Иное (указать)</t>
  </si>
  <si>
    <t>Инженерное обеспечение</t>
  </si>
  <si>
    <t>Отделка</t>
  </si>
  <si>
    <t>Холодное водоснабжение</t>
  </si>
  <si>
    <t>Х</t>
  </si>
  <si>
    <t xml:space="preserve"> - </t>
  </si>
  <si>
    <t>Горячее водоснабжение</t>
  </si>
  <si>
    <t>Газ</t>
  </si>
  <si>
    <t>Электроснабжение</t>
  </si>
  <si>
    <t>Отопление</t>
  </si>
  <si>
    <t>Лифт</t>
  </si>
  <si>
    <t>Мусоропровод</t>
  </si>
  <si>
    <t>Не производилась</t>
  </si>
  <si>
    <t>Произведена с согласованием</t>
  </si>
  <si>
    <t>Произведена самовольно</t>
  </si>
  <si>
    <t>Нет данных</t>
  </si>
  <si>
    <t>Входная дверь</t>
  </si>
  <si>
    <t>Металлическая</t>
  </si>
  <si>
    <t>Деревянная</t>
  </si>
  <si>
    <t>Металлическая + деревянная</t>
  </si>
  <si>
    <t>Межкомнатные двери</t>
  </si>
  <si>
    <t>Деревянные щитовые</t>
  </si>
  <si>
    <t>Стены</t>
  </si>
  <si>
    <t>Обои</t>
  </si>
  <si>
    <t>Побелка, окраска</t>
  </si>
  <si>
    <t>Плитка</t>
  </si>
  <si>
    <t>Полы</t>
  </si>
  <si>
    <t>Линолеум</t>
  </si>
  <si>
    <t>Паркет</t>
  </si>
  <si>
    <t>Ламинат</t>
  </si>
  <si>
    <t>Потолок</t>
  </si>
  <si>
    <t>Подвесной</t>
  </si>
  <si>
    <t>Гипсокартон</t>
  </si>
  <si>
    <t>Натяжной</t>
  </si>
  <si>
    <t>Окна</t>
  </si>
  <si>
    <t>ПВХ</t>
  </si>
  <si>
    <t>Объект оценки</t>
  </si>
  <si>
    <t>Аналог №1</t>
  </si>
  <si>
    <t>Аналог №2</t>
  </si>
  <si>
    <t>Аналог №3</t>
  </si>
  <si>
    <t>Адрес</t>
  </si>
  <si>
    <t>-</t>
  </si>
  <si>
    <t>Источник информации</t>
  </si>
  <si>
    <t>нет</t>
  </si>
  <si>
    <t>Весовые доли</t>
  </si>
  <si>
    <t>Идентификация и характеристика местоположения объекта оценки</t>
  </si>
  <si>
    <t>Тип помещения</t>
  </si>
  <si>
    <t>Квартира</t>
  </si>
  <si>
    <t>Комната</t>
  </si>
  <si>
    <t>Таунхаус</t>
  </si>
  <si>
    <t>Евроремонт</t>
  </si>
  <si>
    <t>Аналог №4</t>
  </si>
  <si>
    <t>Аналог №5</t>
  </si>
  <si>
    <t>Количество корректировок</t>
  </si>
  <si>
    <t>Взвешенная стоимость аналогов, руб.</t>
  </si>
  <si>
    <t>Предполагаемое использование результатов оценки и связанные с этим ограничения</t>
  </si>
  <si>
    <t>Вид стоимости</t>
  </si>
  <si>
    <t>Дата оценки</t>
  </si>
  <si>
    <t>Срок проведения оценки</t>
  </si>
  <si>
    <t>полнометражная</t>
  </si>
  <si>
    <t>ленинградский проект</t>
  </si>
  <si>
    <t>элитная</t>
  </si>
  <si>
    <t>рублей</t>
  </si>
  <si>
    <t>ООО</t>
  </si>
  <si>
    <t>"Первая оценочная компания"</t>
  </si>
  <si>
    <t>НП СРО "АРМО"</t>
  </si>
  <si>
    <t>Пахомова Марина Александровна</t>
  </si>
  <si>
    <t>Паспорт 7500 890249, выдан УВД Калининского района гор. Челябинска 19.11.2001</t>
  </si>
  <si>
    <t>Диплом ПП-I № 107582 от 16 января 2009 года о профессиональной переподготовке, выдан ГОУ ВПО «ЮУрГУ»</t>
  </si>
  <si>
    <t>Собственность</t>
  </si>
  <si>
    <t>þ</t>
  </si>
  <si>
    <t>№</t>
  </si>
  <si>
    <t>от</t>
  </si>
  <si>
    <t>Договор</t>
  </si>
  <si>
    <t xml:space="preserve"> - заполняется автоматически. Источник: Описание_формуляр</t>
  </si>
  <si>
    <t>Год последнего капитального ремонта</t>
  </si>
  <si>
    <t xml:space="preserve"> - заполняется автоматически. Источник: Описание_формуляр / Расчет физического износа</t>
  </si>
  <si>
    <t>Агаповский</t>
  </si>
  <si>
    <t>Аргаяшский</t>
  </si>
  <si>
    <t>Ашинский</t>
  </si>
  <si>
    <t>Брединский</t>
  </si>
  <si>
    <t>Варненский</t>
  </si>
  <si>
    <t>Верхнеуральский</t>
  </si>
  <si>
    <t>Еманжелинский</t>
  </si>
  <si>
    <t>Еткульский</t>
  </si>
  <si>
    <t>Карталинский</t>
  </si>
  <si>
    <t>Каслинский</t>
  </si>
  <si>
    <t>Катав-Ивановский</t>
  </si>
  <si>
    <t>Кизильский</t>
  </si>
  <si>
    <t>Коркинский</t>
  </si>
  <si>
    <t>Красноармейский</t>
  </si>
  <si>
    <t>Кунашакский</t>
  </si>
  <si>
    <t>Кусинский</t>
  </si>
  <si>
    <t>Нагайбакский</t>
  </si>
  <si>
    <t>Нязепетровский</t>
  </si>
  <si>
    <t>Октябрьский</t>
  </si>
  <si>
    <t>Пластовский</t>
  </si>
  <si>
    <t>Саткинский</t>
  </si>
  <si>
    <t>Сосновский</t>
  </si>
  <si>
    <t>Троицкий</t>
  </si>
  <si>
    <t>Увельский</t>
  </si>
  <si>
    <t>Уйский</t>
  </si>
  <si>
    <t>Чебаркульский</t>
  </si>
  <si>
    <t>Чесменский</t>
  </si>
  <si>
    <t>Основные факты и выводы</t>
  </si>
  <si>
    <t>Административный район субъекта РФ</t>
  </si>
  <si>
    <t>Общая долевая собственность</t>
  </si>
  <si>
    <t>Выбор из списка</t>
  </si>
  <si>
    <t>Автоматически</t>
  </si>
  <si>
    <t>Количество собственников</t>
  </si>
  <si>
    <t>Физическое / юридическое лицо</t>
  </si>
  <si>
    <t>Физическое лицо</t>
  </si>
  <si>
    <t>Юридическое лицо</t>
  </si>
  <si>
    <t>Физические лица</t>
  </si>
  <si>
    <t>ЗАО</t>
  </si>
  <si>
    <t>ОАО</t>
  </si>
  <si>
    <t>МУП</t>
  </si>
  <si>
    <t>ФГУП</t>
  </si>
  <si>
    <t>ОГУП</t>
  </si>
  <si>
    <t>Наименование</t>
  </si>
  <si>
    <t>ОГРН</t>
  </si>
  <si>
    <t>Дата присвоения ОГРН</t>
  </si>
  <si>
    <t>Место нахождения</t>
  </si>
  <si>
    <t>Контакты</t>
  </si>
  <si>
    <t>Балансовая стоимость Объекта оценки, руб.</t>
  </si>
  <si>
    <t>Ф.И.О.</t>
  </si>
  <si>
    <t>Паспортные данные</t>
  </si>
  <si>
    <t>Адрес регистрации</t>
  </si>
  <si>
    <t>Доля в праве</t>
  </si>
  <si>
    <t>Информация о собственнике (совладельце) - физическом лице</t>
  </si>
  <si>
    <t>Дата составления отчета</t>
  </si>
  <si>
    <t>Информация о Заказчике - юридическом лице</t>
  </si>
  <si>
    <t>Заполняется в случае, если собственником является ЮЛ</t>
  </si>
  <si>
    <t>Заполняется в случае, если собственником является ФЛ</t>
  </si>
  <si>
    <t>Если общая долевая собственность, то несколько собственников</t>
  </si>
  <si>
    <t>Заполняется в случае, если Заказчиком является ФЛ</t>
  </si>
  <si>
    <t>Заполняется в случае, если Заказчиком является ЮЛ</t>
  </si>
  <si>
    <t xml:space="preserve"> - заполняется автоматически. Источник: Задание на оценку</t>
  </si>
  <si>
    <t>№ договора на оценку</t>
  </si>
  <si>
    <t>Дата договора на оценку</t>
  </si>
  <si>
    <t>Выписка из реестра СРО №116-01/10 от 22.01.2010</t>
  </si>
  <si>
    <t>Цена предложения, руб.</t>
  </si>
  <si>
    <t>Возможность торга</t>
  </si>
  <si>
    <t>Передаваемые права</t>
  </si>
  <si>
    <t>Этаж / всего этажей</t>
  </si>
  <si>
    <t>Наличие балкона / лоджии</t>
  </si>
  <si>
    <t>Дата оценки:</t>
  </si>
  <si>
    <t>Дата составления отчета:</t>
  </si>
  <si>
    <t>Отчет №</t>
  </si>
  <si>
    <t>Хорошая</t>
  </si>
  <si>
    <t>Побелка / окраска</t>
  </si>
  <si>
    <t>Местоположение (район)</t>
  </si>
  <si>
    <t>m</t>
  </si>
  <si>
    <t>i</t>
  </si>
  <si>
    <t>Филенчатые (шпон дерева)</t>
  </si>
  <si>
    <t>Аналог</t>
  </si>
  <si>
    <t>Исх. данные (цена 1 кв.м., руб.)</t>
  </si>
  <si>
    <t>Прямая корректировка: Объект оценки - вторичное жилье, аналог - новостройка</t>
  </si>
  <si>
    <t>Обратная корректировка: Объект оценки - новостройка, аналог - вторичное жилье</t>
  </si>
  <si>
    <t>Средная цена 1 кв.м. - новостройка</t>
  </si>
  <si>
    <t>Средная цена 1 кв.м. - вторичное жилье</t>
  </si>
  <si>
    <t>"хрущевка"/"брежневка"</t>
  </si>
  <si>
    <t>97-я серия</t>
  </si>
  <si>
    <t>121-я серия</t>
  </si>
  <si>
    <t>97-я улучшенная / 121-Т</t>
  </si>
  <si>
    <t>Средняя цена 1 кв.м. в зависимости от этажа, руб.</t>
  </si>
  <si>
    <t>1 этаж</t>
  </si>
  <si>
    <t>Средние этажи</t>
  </si>
  <si>
    <t>Наименование Агентства недвижимости</t>
  </si>
  <si>
    <t>Стоимость услуг, % от сделки</t>
  </si>
  <si>
    <t>1-комнатные</t>
  </si>
  <si>
    <t>2-комнатные</t>
  </si>
  <si>
    <t>3-комнатные</t>
  </si>
  <si>
    <t>4-комнатные (и более)</t>
  </si>
  <si>
    <t>Условия финансирования</t>
  </si>
  <si>
    <t>Стоимость 1 кв.м до корректировок</t>
  </si>
  <si>
    <t>Проверка на отсутствие выбросов</t>
  </si>
  <si>
    <t>Рекомендуется не более 30%</t>
  </si>
  <si>
    <t>Минимально допустимое</t>
  </si>
  <si>
    <t>Максимально допустимое</t>
  </si>
  <si>
    <t>Аналог удовлетворяет требованиям?</t>
  </si>
  <si>
    <t>Аналоги могут использоваться в расчетах</t>
  </si>
  <si>
    <t>Пояснения / выводы</t>
  </si>
  <si>
    <t>Среднее арифметическое (Yср.)</t>
  </si>
  <si>
    <t>До применения корректировок</t>
  </si>
  <si>
    <t>После применения корректировок</t>
  </si>
  <si>
    <t>Стоимость 1 кв.м (скорректированная)</t>
  </si>
  <si>
    <t>Аналоги могут использоваться в согласовании результата</t>
  </si>
  <si>
    <t>Обозначение</t>
  </si>
  <si>
    <t>Значение</t>
  </si>
  <si>
    <t>Величина рыночной стоимости, руб.</t>
  </si>
  <si>
    <t>Количество периодов начисления %% в год</t>
  </si>
  <si>
    <t>Период дисконтирования, лет</t>
  </si>
  <si>
    <t>Годовая ставка дисконта</t>
  </si>
  <si>
    <t>Коэффициент эластичности спроса</t>
  </si>
  <si>
    <t>Коэффициент ликвидационной стоимости</t>
  </si>
  <si>
    <t>Ликвидационная стоимость, руб.</t>
  </si>
  <si>
    <r>
      <t>V</t>
    </r>
    <r>
      <rPr>
        <vertAlign val="subscript"/>
        <sz val="9"/>
        <rFont val="Tahoma"/>
        <family val="2"/>
        <charset val="204"/>
      </rPr>
      <t>m</t>
    </r>
  </si>
  <si>
    <r>
      <t>t</t>
    </r>
    <r>
      <rPr>
        <vertAlign val="subscript"/>
        <sz val="9"/>
        <color indexed="8"/>
        <rFont val="Tahoma"/>
        <family val="2"/>
        <charset val="204"/>
      </rPr>
      <t>d</t>
    </r>
  </si>
  <si>
    <r>
      <t>K</t>
    </r>
    <r>
      <rPr>
        <vertAlign val="subscript"/>
        <sz val="9"/>
        <color indexed="8"/>
        <rFont val="Tahoma"/>
        <family val="2"/>
        <charset val="204"/>
      </rPr>
      <t>e</t>
    </r>
  </si>
  <si>
    <r>
      <t>k</t>
    </r>
    <r>
      <rPr>
        <vertAlign val="subscript"/>
        <sz val="9"/>
        <color indexed="8"/>
        <rFont val="Tahoma"/>
        <family val="2"/>
        <charset val="204"/>
      </rPr>
      <t>L</t>
    </r>
  </si>
  <si>
    <r>
      <t>V</t>
    </r>
    <r>
      <rPr>
        <vertAlign val="subscript"/>
        <sz val="9"/>
        <color indexed="8"/>
        <rFont val="Tahoma"/>
        <family val="2"/>
        <charset val="204"/>
      </rPr>
      <t>L</t>
    </r>
  </si>
  <si>
    <t>Сведения об оценочной организации</t>
  </si>
  <si>
    <t>Полное наименование</t>
  </si>
  <si>
    <t>Почтовый адрес</t>
  </si>
  <si>
    <t>ИНН/КПП</t>
  </si>
  <si>
    <t>Банковские реквизиты</t>
  </si>
  <si>
    <t>Телефоны</t>
  </si>
  <si>
    <t>e-mail</t>
  </si>
  <si>
    <t>Руководитель</t>
  </si>
  <si>
    <t>Томилов Сергей Михайлович</t>
  </si>
  <si>
    <t>Стоимость объекта оценки, полученная в рамках затратного подхода, руб.</t>
  </si>
  <si>
    <t>Стоимость объекта оценки, полученная в рамках сравнительного подхода, руб.</t>
  </si>
  <si>
    <t>Стоимость объекта оценки, полученная в рамках доходного подхода, руб.</t>
  </si>
  <si>
    <t>не применялся</t>
  </si>
  <si>
    <t>Наименование документа</t>
  </si>
  <si>
    <t>Наличие документа</t>
  </si>
  <si>
    <t>Правоустанавливающие документы</t>
  </si>
  <si>
    <t>Документ, удостоверяющий личность Заказчика оценки</t>
  </si>
  <si>
    <t>есть</t>
  </si>
  <si>
    <t>Общий физический износ, %</t>
  </si>
  <si>
    <t>Метод определения физического износа</t>
  </si>
  <si>
    <t>Метод определения износа</t>
  </si>
  <si>
    <t>По техническому паспорту</t>
  </si>
  <si>
    <t>Здания каменные, особо капитальные; фундаменты каменные и бетонные; стены каменные (кирпичные); перекрытия ж/б</t>
  </si>
  <si>
    <t>Здания каменные, обыкновенные; фундаменты каменные; стены каменные (кирпичные) и крупноблочные; перекрытия ж/б</t>
  </si>
  <si>
    <t>Здания каменные, облегченные; фундаменты каменные и бетонные; стены облегченной кладки из кирпича, шлакоблоков и ракушечника; перекрытия деревянные, крупноблочные и крупнопанельные, смешанные (деревянные и ж/б)</t>
  </si>
  <si>
    <t>Здания деревянные рубленные и брусчатые, смешанные; фундаменты ленточные бутовые; стены рубленные, брусчатые и смешанные (кирпичные и деревянные); перекрытия деревянные</t>
  </si>
  <si>
    <t>Здания сборно-щитовые, каркасные и фахверковые; фундаменты на деревянных стульях или бутовых столбах; стены каркасные, перекрытия деревянные</t>
  </si>
  <si>
    <t>Здания глинобитные, сырцовые и саманные на деревянных стульях или бутовых столбах; перекрытия деревянные</t>
  </si>
  <si>
    <t>Здания каркасно-камышитовые и прочие облегченные</t>
  </si>
  <si>
    <t>Нормативные сроки жизни жилых зданий</t>
  </si>
  <si>
    <t>Описание конструктивных особенностей</t>
  </si>
  <si>
    <t>Нормативный срок службы, лет</t>
  </si>
  <si>
    <t>Расчет физического износа здания, в котором расположен объект оценки</t>
  </si>
  <si>
    <t>Нормативный срок службы, принятый для расчетов, лет</t>
  </si>
  <si>
    <t>Показатель / характеристика</t>
  </si>
  <si>
    <t>Фактический срок службы, лет</t>
  </si>
  <si>
    <t>Способ определения фактического срока службы</t>
  </si>
  <si>
    <t>Данные технического паспорта</t>
  </si>
  <si>
    <t>Информация заказчика</t>
  </si>
  <si>
    <t>Экспертно (визуальный осмотр)</t>
  </si>
  <si>
    <t>Расчетное значение физического износа, %</t>
  </si>
  <si>
    <t>Экспертно (расчетным путем)</t>
  </si>
  <si>
    <t>Локальное расположение внутри микрорайона</t>
  </si>
  <si>
    <t>Внутри квартала</t>
  </si>
  <si>
    <t>На основной транспортной магистрали</t>
  </si>
  <si>
    <t>На второстепенной улице</t>
  </si>
  <si>
    <t>Экологическая обстановка района / микрорайона</t>
  </si>
  <si>
    <t>Удовлетворительная</t>
  </si>
  <si>
    <t>Неудовлетворительная</t>
  </si>
  <si>
    <t>Рекомендуется не более 20%</t>
  </si>
  <si>
    <t>С балконом (лоджией)</t>
  </si>
  <si>
    <t>Без балкона (лоджии)</t>
  </si>
  <si>
    <t>Подписал отчет/договор</t>
  </si>
  <si>
    <t>Томилов С.М.</t>
  </si>
  <si>
    <t>Директор</t>
  </si>
  <si>
    <t>Заместитель директора</t>
  </si>
  <si>
    <t>Для договора</t>
  </si>
  <si>
    <t>Для отчета</t>
  </si>
  <si>
    <t>Каркас+кирпич</t>
  </si>
  <si>
    <t>Оценщик:</t>
  </si>
  <si>
    <t>Адрес объекта оценки:</t>
  </si>
  <si>
    <t>Объект оценки:</t>
  </si>
  <si>
    <t>Количество жилых комнат</t>
  </si>
  <si>
    <t>Потолочная плитка</t>
  </si>
  <si>
    <t>В том числе в разрезе долей в праве собственности:</t>
  </si>
  <si>
    <t>Комната в многокомнатной квартире</t>
  </si>
  <si>
    <t>Информация о собственнике - юридическом лице</t>
  </si>
  <si>
    <t>Копейск</t>
  </si>
  <si>
    <t>Заказчик:</t>
  </si>
  <si>
    <t>Площадь заявленная, кв.м.</t>
  </si>
  <si>
    <t>1 год</t>
  </si>
  <si>
    <t>Полис LO № 2513804 от 20.12.2010. Период страхования: с 22.12.2010 по 21.12.2011. Страховщик: ЗАО СГ "Спасские ворота". Лимит ответственности – 500000 руб.</t>
  </si>
  <si>
    <t>5/5</t>
  </si>
  <si>
    <t xml:space="preserve"> 5-</t>
  </si>
  <si>
    <t xml:space="preserve"> 6-</t>
  </si>
  <si>
    <t xml:space="preserve"> 7-</t>
  </si>
  <si>
    <t xml:space="preserve"> 8-</t>
  </si>
  <si>
    <t>Количество санузлов</t>
  </si>
  <si>
    <t>Тип санузлов</t>
  </si>
  <si>
    <t>Количество лоджий / балконов</t>
  </si>
  <si>
    <t>Характеристики лоджий / балконов</t>
  </si>
  <si>
    <t>Среднее</t>
  </si>
  <si>
    <t>Отличное</t>
  </si>
  <si>
    <t>Строительная отделка</t>
  </si>
  <si>
    <t>"хрущевка"</t>
  </si>
  <si>
    <t>"брежневка"</t>
  </si>
  <si>
    <t>97-я серия улучш.</t>
  </si>
  <si>
    <t>Серия 121-Т</t>
  </si>
  <si>
    <t>"ленинградский проект"</t>
  </si>
  <si>
    <t>повышенной комфортности (элитная)</t>
  </si>
  <si>
    <t>индивидуальный проект</t>
  </si>
  <si>
    <t>бывшее общежитие</t>
  </si>
  <si>
    <t>Каркасно-монолитный</t>
  </si>
  <si>
    <t>Каркас+пеноблок</t>
  </si>
  <si>
    <t>Шлакоблочный</t>
  </si>
  <si>
    <t>Общая совместная собственность</t>
  </si>
  <si>
    <t>Оценке подлежит</t>
  </si>
  <si>
    <t>Квартира (полное право собственности)</t>
  </si>
  <si>
    <t>Доля в праве собственности на квартиру</t>
  </si>
  <si>
    <t>Имущественные права по договору уступки</t>
  </si>
  <si>
    <t>Комната в квартире (полное право собственности)</t>
  </si>
  <si>
    <t>Доля в праве собственности на комнату</t>
  </si>
  <si>
    <t>Не зарегистрированы</t>
  </si>
  <si>
    <t>Ипотека</t>
  </si>
  <si>
    <t>Арест</t>
  </si>
  <si>
    <t>Аренда</t>
  </si>
  <si>
    <t>Сервитут</t>
  </si>
  <si>
    <t>Ипотека в силу закона</t>
  </si>
  <si>
    <t>Способ подсчета площади</t>
  </si>
  <si>
    <t>без учета балкона</t>
  </si>
  <si>
    <t>включая балкон / лоджию</t>
  </si>
  <si>
    <t>ипотека</t>
  </si>
  <si>
    <t>возможна ипотека</t>
  </si>
  <si>
    <t>без ограничений</t>
  </si>
  <si>
    <t>обычные</t>
  </si>
  <si>
    <t>срочная продажа</t>
  </si>
  <si>
    <t>вынужденная продажа</t>
  </si>
  <si>
    <t>Условия (сроки) продажи / оферты</t>
  </si>
  <si>
    <t>новостройка</t>
  </si>
  <si>
    <t>вторичный</t>
  </si>
  <si>
    <t>Тип отделки</t>
  </si>
  <si>
    <t>без ипотеки</t>
  </si>
  <si>
    <t>Административный район</t>
  </si>
  <si>
    <t>Кадастровый (условный) номер</t>
  </si>
  <si>
    <t>Деревянный стеклопакет</t>
  </si>
  <si>
    <t>Средняя цена 1 кв.м. в зависимости от типа дома, руб.</t>
  </si>
  <si>
    <t>1-комн.</t>
  </si>
  <si>
    <t>2-комн.</t>
  </si>
  <si>
    <t>3-комн.</t>
  </si>
  <si>
    <t>4-комн.</t>
  </si>
  <si>
    <t xml:space="preserve"> - балконный блок</t>
  </si>
  <si>
    <t xml:space="preserve"> - окно двустворчатое (комнаты)</t>
  </si>
  <si>
    <t xml:space="preserve"> - окно двустворчатое (кухня)</t>
  </si>
  <si>
    <t>Удельный вес</t>
  </si>
  <si>
    <t>Усредненная корректировка на тип окон</t>
  </si>
  <si>
    <t>Без отделки / требуется ремонт</t>
  </si>
  <si>
    <t>Черновая отделка / частичный ремонт</t>
  </si>
  <si>
    <t>Отделка улучшенного качества</t>
  </si>
  <si>
    <t>Простой ремонт / хорошее</t>
  </si>
  <si>
    <t>Относительное расхождение min/max</t>
  </si>
  <si>
    <t>Min</t>
  </si>
  <si>
    <t>Max</t>
  </si>
  <si>
    <t>№ договора</t>
  </si>
  <si>
    <t>Дата договора</t>
  </si>
  <si>
    <t>Дата осмотра</t>
  </si>
  <si>
    <t>Дата отчета</t>
  </si>
  <si>
    <t>Заказчик</t>
  </si>
  <si>
    <t>Итоговая рыночная стоимость</t>
  </si>
  <si>
    <t>Ликвидационная стоимость</t>
  </si>
  <si>
    <t>Подрезов Н.В.</t>
  </si>
  <si>
    <t>Подрезов Николай Викторович</t>
  </si>
  <si>
    <t>Общероссийская общественная организация "Российское общество оценщиков"</t>
  </si>
  <si>
    <t>Диплом ПП № 686405 от 23 мая 2004 г. о профессиональной переподготовке, выдан МИПКиПРКиС Российской экономической академии им. Г.В.Плеханова.</t>
  </si>
  <si>
    <t>Паспорт 7503 818710, выдан УВД Калининского района гор. Челябинска 05.09.2003</t>
  </si>
  <si>
    <t>Номер договора на проведение оценки</t>
  </si>
  <si>
    <t>Дата заключения договора на проведение оценки</t>
  </si>
  <si>
    <t>Сведения о страховании ответственности организации</t>
  </si>
  <si>
    <t>Стоимость услуг</t>
  </si>
  <si>
    <t>Текущие имущественные права на объект оценки</t>
  </si>
  <si>
    <t>Ликвидационная стоимость доли в праве, руб.</t>
  </si>
  <si>
    <t>ИТОГО:</t>
  </si>
  <si>
    <t>Сведения о страховании ответственности оценщика при осуществлении оценочной деятельности:</t>
  </si>
  <si>
    <t>с 2009 года</t>
  </si>
  <si>
    <t>с 2004 года</t>
  </si>
  <si>
    <t>Стеновые панели</t>
  </si>
  <si>
    <t>Итоговая рыночная стоимость за 1 кв.м.</t>
  </si>
  <si>
    <t>Итоговая ликвидац. стоимость за 1 кв.м.</t>
  </si>
  <si>
    <t>Наличие сантехники</t>
  </si>
  <si>
    <t>Собственность (на дату оценки право не зарегистрировано)</t>
  </si>
  <si>
    <t>Автобус, маршрутное такси, л/а транспорт</t>
  </si>
  <si>
    <t>Маршрутное такси, л/а транспорт</t>
  </si>
  <si>
    <t>Автобус, троллейбус, маршрутное такси, л/а транспорт</t>
  </si>
  <si>
    <t>Троллейбус, трамвай, маршрутное такси, л/а транспорт</t>
  </si>
  <si>
    <t>Автобус, троллейбус, трамвай, маршрутное такси, л/а транспорт</t>
  </si>
  <si>
    <t>На кадастровом учете не стоит</t>
  </si>
  <si>
    <t>Данные заказчиком не предоставлены</t>
  </si>
  <si>
    <t>Членство в СРО: член Некоммерческого партнерства «Саморегулируемая организация оценщиков "Экспертный совет", свидетельство № 0683 от 30.05.2012, регистрационный номер 0683.</t>
  </si>
  <si>
    <t>Информация о повышении квалификации: свидетельство о повышении квалификации №1654/2007 от 15.06.2007г., Межотраслевым региональным центром повышения квалификации и переподготовки кадров при Челябинском государственном университете.</t>
  </si>
  <si>
    <t>Документ об образовании, подтверждающий получение профессиональных знаний в области оценочной деятельности: диплом диплом ПП-I № 107859 от 11 июня 2010 года о профессиональной переподготовке по программе «Оценка стоимости предприятия (бизнеса)», выдан ГОУ ВПО «Южно-Уральский государственный университет».</t>
  </si>
  <si>
    <t>Страховой полис №81915/776/00039/2. Период страхования: с 30.05.2012 по 29.05.2013. Страховщик: ОАО «АльфаСтрахование». Лимит ответственности оценщика – 3 000 000 рублей</t>
  </si>
  <si>
    <t>Стаж работы в оценочной деятельности: с 2007 года.</t>
  </si>
  <si>
    <t xml:space="preserve">Информация о собственнике (совладельце) - физическом лице </t>
  </si>
  <si>
    <t xml:space="preserve">Информация о собственнике - физическом лице </t>
  </si>
  <si>
    <t>Свидетельство о рождении</t>
  </si>
  <si>
    <t>ИНН / КПП</t>
  </si>
  <si>
    <t>Назначение</t>
  </si>
  <si>
    <t>Текущее использование</t>
  </si>
  <si>
    <t>Методы расчета</t>
  </si>
  <si>
    <t>Значение физического износа методом срока жизни</t>
  </si>
  <si>
    <t>Метод срока жизни</t>
  </si>
  <si>
    <t>Принятый метод</t>
  </si>
  <si>
    <t>По технической информации</t>
  </si>
  <si>
    <t>Величина физического износа, принятая в расчетах</t>
  </si>
  <si>
    <t>с 2007 года</t>
  </si>
  <si>
    <t>Диплом ПП-I № 107859 от 11 июня 2010 года о профессиональной переподготовке, выдан ГОУ ВПО «ЮУрГУ».</t>
  </si>
  <si>
    <t>Паспорт 7500 215511, выдан УВД Центрального района г.Челябинска 28.06.2000</t>
  </si>
  <si>
    <t xml:space="preserve"> </t>
  </si>
  <si>
    <t xml:space="preserve">Выписка из реестра СРО № 0005 от 28.06.2013 г.      </t>
  </si>
  <si>
    <t>Некоммерческое партнерство «Саморегулируемая организация оценщиков "СВОД"</t>
  </si>
  <si>
    <t>Свидетельство № 366 от 22.08.2013</t>
  </si>
  <si>
    <t>366</t>
  </si>
  <si>
    <t>Пахомов Е.В.</t>
  </si>
  <si>
    <t>Пахомов Евгений Владимирович</t>
  </si>
  <si>
    <t>Галашов Андрей Викторович</t>
  </si>
  <si>
    <t>Галашов А.В.</t>
  </si>
  <si>
    <t>Паспорт 7501 005899, выдан Тракторозаводским РУВД г.Челябинска 28.06.2000</t>
  </si>
  <si>
    <t>Паспорт 7500 474197, выдан УВД Центрального района города Челябинска 07.05.2001</t>
  </si>
  <si>
    <t>0684</t>
  </si>
  <si>
    <t>937</t>
  </si>
  <si>
    <t>Диплом ПП-I № 107793 от 27 июня 2007 года о профессиональной переподготовке по программе «Оценка стоимости предприятия (бизнеса)», выдан ГОУ ВПО «Южно-Уральский государственный университет».</t>
  </si>
  <si>
    <t>Диплом ПП-I № 107856 от 11 июня 2010 года о профессиональной переподготовке по программе «Оценка стоимости предприятия (бизнеса)», выдан ГОУ ВПО «Южно-Уральский государственный университет».</t>
  </si>
  <si>
    <t>с 2012 года</t>
  </si>
  <si>
    <t>Тип дома / Материал стен</t>
  </si>
  <si>
    <t>Объекты социальной инфраструктуры микрорайона в пределах пешей доступности</t>
  </si>
  <si>
    <t>Год постройки</t>
  </si>
  <si>
    <t>Общая долевая собственность (на дату оценки право не зарегистрировано)</t>
  </si>
  <si>
    <t>Без отделки</t>
  </si>
  <si>
    <t>Предложение актуально на дату</t>
  </si>
  <si>
    <t xml:space="preserve">2, и "предкрайние" этажи </t>
  </si>
  <si>
    <t>Верхние этажи</t>
  </si>
  <si>
    <t>Пентхаус</t>
  </si>
  <si>
    <t>Задание на оценку, общая информация, идентифицирующая объект оценки</t>
  </si>
  <si>
    <t>1097453009004, 
16.12.2009г</t>
  </si>
  <si>
    <t>Данные о перепланировках / переустройстве</t>
  </si>
  <si>
    <t>Требуется косметический ремонт</t>
  </si>
  <si>
    <t>Требуется капитальный ремонт</t>
  </si>
  <si>
    <t>Предчистовая отделка</t>
  </si>
  <si>
    <t>Простой ремонт / удовлетворительное</t>
  </si>
  <si>
    <t>ул. Калинина, д. 3, кв. 29</t>
  </si>
  <si>
    <t>Кол-во комнат</t>
  </si>
  <si>
    <t>2-</t>
  </si>
  <si>
    <t>ул. Курчатова, д. 34, кв. 171</t>
  </si>
  <si>
    <t>пер. Мамина, д. 6, кв. 172</t>
  </si>
  <si>
    <t>не трогать! Формула!</t>
  </si>
  <si>
    <t>вообще не был указан документ</t>
  </si>
  <si>
    <t>Сведения о штатных специалистах-оценщиках  оценочной организации</t>
  </si>
  <si>
    <t>«Саморегулируемая межрегиональная ассоциация оценщиков - СМАО»</t>
  </si>
  <si>
    <t>Выписка № 5174 от 09.07.2015</t>
  </si>
  <si>
    <t>Паспорт 7514 614148, выдан Отделом УФМС России по Челябинской области в Курчатовском районе гор. Челябинска 19.06.2015</t>
  </si>
  <si>
    <t xml:space="preserve">Контактная информация </t>
  </si>
  <si>
    <t xml:space="preserve">Информация о правообладателе (совладельце) - физическом лице </t>
  </si>
  <si>
    <t>ул. Молодогвардейцев, д. 59, кв. 200</t>
  </si>
  <si>
    <t>Сведения о заказчике</t>
  </si>
  <si>
    <t>На дату оценки право собственности не зарегистрировано в установленном порядке</t>
  </si>
  <si>
    <t>Филенчатые (ламинированные)</t>
  </si>
  <si>
    <t>Данные разрешения на ввод объекта в эксплуатацию</t>
  </si>
  <si>
    <t xml:space="preserve"> - Осмотр и фотографирование объекта оценки производился в день подписания акта приема-передачи от застройщика собственнику, кроме того оценка проводилась в допущении того, что на дату оценки состояние объекта не изменилось и находится в том же состоянии, что и на дату осмотра.   </t>
  </si>
  <si>
    <t>Общая совместная собственность (на дату оценки право не зарегистрировано)</t>
  </si>
  <si>
    <t xml:space="preserve">Информация о Заказчике - физическом лице </t>
  </si>
  <si>
    <t>данные скрыты в соответствии с Федеральным законом от 27.07.2006 №152-ФЗ "О персональных данных"</t>
  </si>
  <si>
    <t>Наличие зеленых насаждений</t>
  </si>
  <si>
    <t>№ п/п</t>
  </si>
  <si>
    <t>Конструктивные элементы здания</t>
  </si>
  <si>
    <t>Экспертная оценка технического состояния</t>
  </si>
  <si>
    <t>Комментарии</t>
  </si>
  <si>
    <t>1.</t>
  </si>
  <si>
    <t>Фундаменты</t>
  </si>
  <si>
    <t>Оценщиком не выявлено значительного искривления горизонтальных линий фундамента, осадки отдельных участков, перекосов проемов, полного  разрушение цоколя, нарушения монолитности конструкции, сквозных трещин и т.п.</t>
  </si>
  <si>
    <t>2.</t>
  </si>
  <si>
    <t>Оценщиком не выявлено значительных  сквозных вертикальных трещин, разрушения и расслоения кладки / панелей стен, нарушение связей между секциями, массовое разрушение кладки / панелей, наличия временных креплений</t>
  </si>
  <si>
    <t>3.</t>
  </si>
  <si>
    <t>Перегородки</t>
  </si>
  <si>
    <t>Оценщиком не выявлено значительного выпучивания, горизонтальных сквозных трещин, обнажения арматуры, обрушения перегородок и т.п.</t>
  </si>
  <si>
    <t>4.</t>
  </si>
  <si>
    <t>Перекрытия</t>
  </si>
  <si>
    <t>Оценщиком не выявлено значительных прогибов, сквозных трещин, существенного обнажения арматуры, сквозных трещин, обрушения перекрытий и т.п.</t>
  </si>
  <si>
    <t>5.</t>
  </si>
  <si>
    <t>Крыша</t>
  </si>
  <si>
    <t>Оценщиком не выявлено значительного разрушения панелей / ограждающих конструкций, деструкция утеплителя или ограждающих конструкций, существенных протечек и промерзания, сквозных трещин и т.п.</t>
  </si>
  <si>
    <t>6.</t>
  </si>
  <si>
    <t>Оценщиком не выявлено значительного полного разрушения покрытия и основания, значительного поражения гнилью и т.п.</t>
  </si>
  <si>
    <t>7.</t>
  </si>
  <si>
    <t>Лестницы</t>
  </si>
  <si>
    <t>Оценщиком не выявлено значительной истертости ступеней, отсутствия значительных частей ограждающих конструкций, ослабления связей с площадками, прогибов, сквозных трещин и т.п.</t>
  </si>
  <si>
    <t>8.</t>
  </si>
  <si>
    <t>Окна и двери</t>
  </si>
  <si>
    <t>Оценщиком не выявлено значительного поражения гнилью, значительных деформаций; нарушения всех сопряжений</t>
  </si>
  <si>
    <t>9.</t>
  </si>
  <si>
    <t>Отделка внутренняя</t>
  </si>
  <si>
    <t>Оценщиком не выявлено значительного отслоения, вздутия и отпадение отделочного слоя и т.п.</t>
  </si>
  <si>
    <t>10.</t>
  </si>
  <si>
    <t>Санитарно-технические устройства (инженерное оборудование):</t>
  </si>
  <si>
    <t>Отражена общая экспертная оценка технического состояния санитарно-технических устройств</t>
  </si>
  <si>
    <t>10.1.</t>
  </si>
  <si>
    <t>центральное отопление</t>
  </si>
  <si>
    <t>Оценщиком достоверно не установлено наличие массового повреждения трубопроводов (стояков и магистралей), сильного поражения ржавчиной, следов  значительного ремонта отдельными местами (хомуты, заварка), неудовлетворительной работы отопительных приборов и запорной арматуры, значительного нарушения теплоизоляции трубопроводов</t>
  </si>
  <si>
    <t>10.2.</t>
  </si>
  <si>
    <t>водопровод</t>
  </si>
  <si>
    <t>Оценщиком достоверно не установлено наличие полного расстройства системы, выход из строя запорной арматуры, большого количество хомутов, большой коррозии элементов системы</t>
  </si>
  <si>
    <t>10.3.</t>
  </si>
  <si>
    <t>горячее водоснабжение</t>
  </si>
  <si>
    <t>10.4.</t>
  </si>
  <si>
    <t>канализация</t>
  </si>
  <si>
    <t>Оценщиком достоверно не установлено наличие неисправность системы; повсеместных повреждений приборов и т.п.</t>
  </si>
  <si>
    <t>10.5.</t>
  </si>
  <si>
    <t>электроосвещение</t>
  </si>
  <si>
    <t>Оценщиком достоверно не установлена неисправность системы: про-водки, щитков, приборов, ВРУ; отсутствия части приборов; оголение проводов и т.п.</t>
  </si>
  <si>
    <t>10.6.</t>
  </si>
  <si>
    <t>лифты</t>
  </si>
  <si>
    <t>Оценщиком установлено, что лифт находится в работоспособном со-стоянии</t>
  </si>
  <si>
    <t>газ</t>
  </si>
  <si>
    <t>Оценщиком установлено, что система газоснабжения находится в работоспособном состоянии</t>
  </si>
  <si>
    <t>Выводы:</t>
  </si>
  <si>
    <t>Оценщиком не установлено наличие существенных дефектов конструктивных элементов и инженерного оборудования, которые могут привести впоследствии к аварийности дома и/или признанию его ветхим.</t>
  </si>
  <si>
    <t>Оценка технического состояния</t>
  </si>
  <si>
    <t>Характеристика технического состояния</t>
  </si>
  <si>
    <t>Повреждение и деформаций нет. Имеются отдельные, устранимые при текущем ремонте, мелкие дефекты, не влияющие на эксплуатацию конструктивного элемента. Капитальный ремонт может производиться лишь на отдельных участках, имеющих относительно повышенный износ.</t>
  </si>
  <si>
    <t>Конструктивные элементы в целом пригодны для эксплуатации, но требуют некоторого капитального ремонта, который наиболее целесообразен именно на данной стадии</t>
  </si>
  <si>
    <t>Эксплуатация конструктивных элементов возможна лишь при условии значительного капитального ремонта</t>
  </si>
  <si>
    <t>Ветхое</t>
  </si>
  <si>
    <t>Состояние не  несущих конструктивных элементов аварийное, а несущих весьма ветхое. Ограниченное выполнение конструктивными элементами своих функций возможно лишь по проведению охранных мероприятий или полной смены конструктивного элемента.</t>
  </si>
  <si>
    <t>Негодное</t>
  </si>
  <si>
    <t>Конструктивные элементы находятся в разрушенном состоянии. При износе 100% остатки конструктивного элемента полностью ликвидированы.</t>
  </si>
  <si>
    <t>Высота потолков, м</t>
  </si>
  <si>
    <t>Общедоступные источники сети Интернет (https://www.reformagkh.ru)</t>
  </si>
  <si>
    <t>Ассоциация «Саморегулируемая организация оценщиков "Экспертный совет"</t>
  </si>
  <si>
    <t>Свидетельство № 684 от 30.05.2017</t>
  </si>
  <si>
    <t>Площадь жилых комнат, кв.м</t>
  </si>
  <si>
    <t xml:space="preserve">Наименование объекта оценки </t>
  </si>
  <si>
    <t>Жилая площадь, кв.м.</t>
  </si>
  <si>
    <t>да</t>
  </si>
  <si>
    <t>Новостройка. Отделка в хорошем состоянии, ремонт не требуется. (см. приложение к отчету п 12.1 Фотографии объекта оценки)</t>
  </si>
  <si>
    <t>Отделка в хорошем состоянии, ремонт не требуется. (см. приложение к отчету п 12.1 Фотографии объекта оценки)</t>
  </si>
  <si>
    <t>Отделка устаревшая, состояние удовлетворительное. Требуется косметический ремонт. (см. приложение к отчету п 12.1 Фотографии объекта оценки)</t>
  </si>
  <si>
    <t xml:space="preserve">Требуется ремонт. Отделка в неудовлетворительном состоянии. (см. приложение к отчету п 12.1 Фотографии объекта оценки) </t>
  </si>
  <si>
    <t>Канализация</t>
  </si>
  <si>
    <t>Интернет/Телефон</t>
  </si>
  <si>
    <t xml:space="preserve">Новостройка. Предчистовая отделка. Требуется косметический ремонт. (см. приложение к отчету п 12.1 Фотографии объекта оценки) </t>
  </si>
  <si>
    <t>Год ввода в эксплуатацию (год постройки)</t>
  </si>
  <si>
    <t>Разрешение на ввод объекта в эксплуатацию №RU74315000-243-2013 от 30.12.2013 г.</t>
  </si>
  <si>
    <t>Дополнительные источники информации, содержащие сведения об объекте оценки</t>
  </si>
  <si>
    <t>Справка содержащая сведения о наличии права собственности на объекты недвижимости</t>
  </si>
  <si>
    <t>Договор купли-продажи от 25.05.2013г.</t>
  </si>
  <si>
    <t>Дата: 05.05.2013г.</t>
  </si>
  <si>
    <t>Перечень документов, используемых
оценщиком и устанавливающих
количественные и качественные
характеристики объекта оценки</t>
  </si>
  <si>
    <t>Выписка из Единого государственного реестра недвижимости</t>
  </si>
  <si>
    <t>Технический паспорт на жилое помещение</t>
  </si>
  <si>
    <t>Кадастровый паспорт помещения</t>
  </si>
  <si>
    <t>Кадастровый номер</t>
  </si>
  <si>
    <t>Состояние дома</t>
  </si>
  <si>
    <t>Состояние дома (экспертно)</t>
  </si>
  <si>
    <t>Состояние внешней отделки (фасада дома)</t>
  </si>
  <si>
    <t>Наличие огороженной придомовой территории</t>
  </si>
  <si>
    <t>Наличие рядом объектов, повышающих привлекательность двора</t>
  </si>
  <si>
    <t>Водоем</t>
  </si>
  <si>
    <t>Парк</t>
  </si>
  <si>
    <t>Лес</t>
  </si>
  <si>
    <t>Торговый комплекс</t>
  </si>
  <si>
    <t>Выписка из Единого государственного реестра права на недвижимое имущество и сделок с ним</t>
  </si>
  <si>
    <t>Выкопировка из технического паспорта на многоквартирный дом (поэтажный план, экспликация)</t>
  </si>
  <si>
    <t>Выписка из технического паспорта</t>
  </si>
  <si>
    <t>Количество квартир на этаже</t>
  </si>
  <si>
    <t>Правобладатель (-ли)</t>
  </si>
  <si>
    <t>Щеголева Д.А.</t>
  </si>
  <si>
    <t>с 2006 года</t>
  </si>
  <si>
    <t>Некоммерческое партнерство саморегулируемая организация «Свободный Оценочный Департамент»</t>
  </si>
  <si>
    <t>Свидетельство № 941 от 20.12.2017</t>
  </si>
  <si>
    <t xml:space="preserve">Диплом ПП № 916891 от 06 июля 2006 г. о профессиональной переподготовке, выдан Межотраслевым региональным центром повышения квалификации и переподготовки кадров при ЧелГУ. </t>
  </si>
  <si>
    <t>Паспорт 7504 424203, выдан УВД Калининского района г. Челябинска 24.01.2005</t>
  </si>
  <si>
    <t>Наличие мебели и техники</t>
  </si>
  <si>
    <t>Без учета мебели и техники</t>
  </si>
  <si>
    <t>Мебель / техника</t>
  </si>
  <si>
    <t>панель</t>
  </si>
  <si>
    <t xml:space="preserve">2 и "предкрайние" этажи </t>
  </si>
  <si>
    <t>https://www.reformagkh.ru/
https://rosreestr.ru/</t>
  </si>
  <si>
    <t>Отсутствуют</t>
  </si>
  <si>
    <t>Первичный рынок (октябрь 2018)</t>
  </si>
  <si>
    <t xml:space="preserve">Курчатовский </t>
  </si>
  <si>
    <t>Вторичный рынок (октябрь 2018)</t>
  </si>
  <si>
    <t>Первичный/вторичный рынок (октябрь 2018)</t>
  </si>
  <si>
    <t>Зависимость стоимости квартиры от планировки (октябрь 2018)</t>
  </si>
  <si>
    <t>среднее апрель-май</t>
  </si>
  <si>
    <t>квартира-студия</t>
  </si>
  <si>
    <t>улучшенной планировки</t>
  </si>
  <si>
    <t>Зависимость стоимости от этажа (октябрь 2018) - Первичный рынок</t>
  </si>
  <si>
    <t>Зависимость стоимости от этажа (октябрь 2018) - Вторичный рынок</t>
  </si>
  <si>
    <t>Зависимость стоимости от состояния (май 2016)</t>
  </si>
  <si>
    <t>Средняя цена 1 кв.м. в зависимости от состояния, руб.</t>
  </si>
  <si>
    <t>Братьев кашириных 85</t>
  </si>
  <si>
    <t>Без отделки / ремонта</t>
  </si>
  <si>
    <t>Ремонт (простой)</t>
  </si>
  <si>
    <t>Зависимость стоимости от наличия/отсутствия балкона/лоджии (октябрь 2018)</t>
  </si>
  <si>
    <t>Стоимость услуг риэлтора</t>
  </si>
  <si>
    <t>Принимаемое к расчетам значение (среднее)</t>
  </si>
  <si>
    <t>ООО «Агентство недвижимости «Ключевые люди»</t>
  </si>
  <si>
    <r>
      <t>2-3%</t>
    </r>
    <r>
      <rPr>
        <vertAlign val="superscript"/>
        <sz val="8"/>
        <color indexed="9"/>
        <rFont val="Tahoma"/>
        <family val="2"/>
        <charset val="204"/>
      </rPr>
      <t>2</t>
    </r>
  </si>
  <si>
    <t>http://kldom.ru/services_and_prices/</t>
  </si>
  <si>
    <t xml:space="preserve">АН «Альфа» </t>
  </si>
  <si>
    <r>
      <t>3%</t>
    </r>
    <r>
      <rPr>
        <vertAlign val="superscript"/>
        <sz val="8"/>
        <color indexed="9"/>
        <rFont val="Tahoma"/>
        <family val="2"/>
        <charset val="204"/>
      </rPr>
      <t>2</t>
    </r>
  </si>
  <si>
    <t>http://www.alfa-74.ru/stoimost-uslug/</t>
  </si>
  <si>
    <t>Агентство недвижимости «Цена вопроса»</t>
  </si>
  <si>
    <r>
      <t>2%</t>
    </r>
    <r>
      <rPr>
        <vertAlign val="superscript"/>
        <sz val="8"/>
        <color indexed="9"/>
        <rFont val="Tahoma"/>
        <family val="2"/>
        <charset val="204"/>
      </rPr>
      <t>3</t>
    </r>
  </si>
  <si>
    <t>http://74dom.moy.su/index/prajs_uslug/0-67</t>
  </si>
  <si>
    <t>Агентство недвижимости РиелтФ</t>
  </si>
  <si>
    <t>http://rieltf.ru/стоимость-услуг/</t>
  </si>
  <si>
    <t>Среднее значение "риелторской" состявляющей (заявлении продавца о возможности "торга"),  %</t>
  </si>
  <si>
    <r>
      <rPr>
        <vertAlign val="superscript"/>
        <sz val="8"/>
        <color indexed="9"/>
        <rFont val="Arial Cyr"/>
        <charset val="204"/>
      </rPr>
      <t>1</t>
    </r>
    <r>
      <rPr>
        <sz val="8"/>
        <color indexed="9"/>
        <rFont val="Arial Cyr"/>
        <charset val="204"/>
      </rPr>
      <t xml:space="preserve"> но не менее 30 000 руб 
</t>
    </r>
    <r>
      <rPr>
        <vertAlign val="superscript"/>
        <sz val="8"/>
        <color indexed="9"/>
        <rFont val="Arial Cyr"/>
        <charset val="204"/>
      </rPr>
      <t xml:space="preserve">2 </t>
    </r>
    <r>
      <rPr>
        <sz val="8"/>
        <color indexed="9"/>
        <rFont val="Arial Cyr"/>
        <charset val="204"/>
      </rPr>
      <t xml:space="preserve">но не менее 50 000 руб
</t>
    </r>
    <r>
      <rPr>
        <vertAlign val="superscript"/>
        <sz val="8"/>
        <color indexed="9"/>
        <rFont val="Arial Cyr"/>
        <charset val="204"/>
      </rPr>
      <t xml:space="preserve">3 </t>
    </r>
    <r>
      <rPr>
        <sz val="8"/>
        <color indexed="9"/>
        <rFont val="Arial Cyr"/>
        <charset val="204"/>
      </rPr>
      <t>но не менее 40 000 руб</t>
    </r>
  </si>
  <si>
    <t xml:space="preserve">Корректировка при заявлении продавца об отсутствии "торга" </t>
  </si>
  <si>
    <t>Зависимость от типа дома (октябрь 2018) - Первичный рынок</t>
  </si>
  <si>
    <t>Зависимость от типа дома (октябрь 2018) - Вторичный рынок</t>
  </si>
  <si>
    <t>Данные сводной таблицы</t>
  </si>
  <si>
    <t>Кирпичный + монолитный</t>
  </si>
  <si>
    <t>кирпич</t>
  </si>
  <si>
    <t>монолит</t>
  </si>
  <si>
    <t>Зависимость от типа дома (октябрь 2018)</t>
  </si>
  <si>
    <t>Зависимость стоимости от отделки и состояния (октябрь 2018) (Для вторичного жилья)</t>
  </si>
  <si>
    <t>Средняя стоимость ремонта без учета материалов за 1 кв.м. (с учетом раходных материалов)</t>
  </si>
  <si>
    <t>Требуется капитальный ремонт ремонт</t>
  </si>
  <si>
    <t>Простой ремонт (удовлетворительное) / Требуется косметический ремонт</t>
  </si>
  <si>
    <t>Простой ремонт (Косметический)</t>
  </si>
  <si>
    <t>Отделка улучшенного качества (Капитальный ремонт)</t>
  </si>
  <si>
    <t>Зависимость стоимости от отделки и состояния (октябрь 2018) (Для Новостроек)</t>
  </si>
  <si>
    <t>Средняя стоимость ремонта с учетом материалов 1 кв.м.</t>
  </si>
  <si>
    <t>Черновая / Без отделки</t>
  </si>
  <si>
    <t>Частичная отделка / Предчистовая</t>
  </si>
  <si>
    <t>Чистовая отделка (Простой ремонт)</t>
  </si>
  <si>
    <t>https://xn--74-bmcaex3eq.xn--p1ai/gallery/decoration/rough-finish.php</t>
  </si>
  <si>
    <t>Расчет корректировки на различия в окнах (октябрь 2018)</t>
  </si>
  <si>
    <t>Средняя стоимость квартиры, руб.</t>
  </si>
  <si>
    <t>Средняя стоимость замены окон (эконом-класс, Фабрика окон и дверей "Стекландия"), в т.ч.</t>
  </si>
  <si>
    <t>http://стекландия.рф/scheme3</t>
  </si>
  <si>
    <t>Мнение оценщика о необходимости /отсутствии необходимости в ремонтных работах квартиры с обоснованием данного мнения</t>
  </si>
  <si>
    <t>не предоставлено</t>
  </si>
  <si>
    <t>Зависимость стоимости от этажа (октябрь 2016) - Первичный рынок - кирпич</t>
  </si>
  <si>
    <t>Зависимость стоимости от этажа (октябрь 2018) - Вторичный рынок - кирпич</t>
  </si>
  <si>
    <t>Зависимость стоимости от этажа (октябрь 2018) - Первичный рынок - монолитно-каркасные</t>
  </si>
  <si>
    <t>Зависимость стоимости от этажа (октябрь 2018) - Вторичный рынок - монолитно-каркасные</t>
  </si>
  <si>
    <t>Информация о правообладателе (совладельце) - физическом лице</t>
  </si>
  <si>
    <t>Потребность в ремонте</t>
  </si>
  <si>
    <t>Тип (материал стен)</t>
  </si>
  <si>
    <t>https://www.cbr.ru/statistics/pdko/int_rat/#a_70482</t>
  </si>
  <si>
    <t>https://www.cbr.ru/statistics/pdko/Mortgage/</t>
  </si>
  <si>
    <t>Договор уступки прав требования</t>
  </si>
  <si>
    <t>Чебаркуль</t>
  </si>
  <si>
    <t>не читаются, необходимо проверить</t>
  </si>
  <si>
    <t>Тип санузла</t>
  </si>
  <si>
    <t>Физическое состояние жилого дома</t>
  </si>
  <si>
    <t>Ремонт не требуется</t>
  </si>
  <si>
    <t>Свидетельство  о браке</t>
  </si>
  <si>
    <t>Общая площадь</t>
  </si>
  <si>
    <t>Вид из окна</t>
  </si>
  <si>
    <t>Разрешение на ввод объекта в эксплуатацию</t>
  </si>
  <si>
    <t>Во двор, на улицу</t>
  </si>
  <si>
    <t>Современный</t>
  </si>
  <si>
    <t>студия</t>
  </si>
  <si>
    <t>Чебаркуль, 9 Мая ул., 23</t>
  </si>
  <si>
    <t>https://rosreestr.ru, https://www.dom.mingkh.ru/</t>
  </si>
  <si>
    <t>Публичное акционерное общество "Сбербанк России", ИНН: 7707083893</t>
  </si>
  <si>
    <t>7707083893/773601001</t>
  </si>
  <si>
    <t>1027700132195</t>
  </si>
  <si>
    <t>117997, г.Москва, ул.Вавилова, д. 19</t>
  </si>
  <si>
    <t>Консъерж</t>
  </si>
  <si>
    <t>Общая площадь (согласно выписки из техпаспорта без учета балкона), кв.м.</t>
  </si>
  <si>
    <t>С учетом мебели и техники</t>
  </si>
  <si>
    <t>Общая площадь, кв.м.</t>
  </si>
  <si>
    <t>Свидетельство о праве на наследство по завещанию от 16.10.1998 года</t>
  </si>
  <si>
    <t>Общая площадь, кв. м</t>
  </si>
  <si>
    <t>Выписка из технического паспорта от 27.11.2017</t>
  </si>
  <si>
    <t>Кухня, кв.м</t>
  </si>
  <si>
    <t>Страницы №№ 1, 2, 4,5, 7-9, 34-38 отчета об оценке № АБ 3334/05-13 об оценке рыночной стоимости квартиры от 15.05.2013 года с содержащимся в нем техническим паспортом по состоянию на 05.05.2013 год</t>
  </si>
  <si>
    <t>Выписка из ЕГРН от 11.10.2013</t>
  </si>
  <si>
    <t>Кадастровый паспорт от 27.09.2013</t>
  </si>
  <si>
    <t xml:space="preserve">Значение физического износа по данным технического паспорта </t>
  </si>
  <si>
    <t>Кухня</t>
  </si>
  <si>
    <t>Санузлы</t>
  </si>
  <si>
    <t>Выписка из ЕГРН / свидетельство о регистрации права собственности</t>
  </si>
  <si>
    <t>Паспортные данные, адрес, контактная информация</t>
  </si>
  <si>
    <t>Данные не раскрываются в соответствии с Федеральным законом от 27.07.2006 №152-ФЗ "О персональных данных"</t>
  </si>
  <si>
    <r>
      <t xml:space="preserve">Корректировка на </t>
    </r>
    <r>
      <rPr>
        <b/>
        <sz val="8"/>
        <rFont val="Tahoma"/>
        <family val="2"/>
        <charset val="204"/>
      </rPr>
      <t>условия финансирования</t>
    </r>
  </si>
  <si>
    <r>
      <t>Корректировка на</t>
    </r>
    <r>
      <rPr>
        <b/>
        <sz val="8"/>
        <rFont val="Tahoma"/>
        <family val="2"/>
        <charset val="204"/>
      </rPr>
      <t xml:space="preserve"> передаваемые права</t>
    </r>
  </si>
  <si>
    <r>
      <t xml:space="preserve">Корректировка на </t>
    </r>
    <r>
      <rPr>
        <b/>
        <sz val="8"/>
        <rFont val="Tahoma"/>
        <family val="2"/>
        <charset val="204"/>
      </rPr>
      <t>торг</t>
    </r>
  </si>
  <si>
    <r>
      <t xml:space="preserve">Корректировка на </t>
    </r>
    <r>
      <rPr>
        <b/>
        <sz val="8"/>
        <rFont val="Tahoma"/>
        <family val="2"/>
        <charset val="204"/>
      </rPr>
      <t>местоположение</t>
    </r>
  </si>
  <si>
    <r>
      <t>Корректировка на</t>
    </r>
    <r>
      <rPr>
        <b/>
        <sz val="8"/>
        <rFont val="Tahoma"/>
        <family val="2"/>
        <charset val="204"/>
      </rPr>
      <t xml:space="preserve"> тип дома</t>
    </r>
  </si>
  <si>
    <r>
      <t>Корректировка на</t>
    </r>
    <r>
      <rPr>
        <b/>
        <sz val="8"/>
        <rFont val="Tahoma"/>
        <family val="2"/>
        <charset val="204"/>
      </rPr>
      <t xml:space="preserve"> состояние дома</t>
    </r>
  </si>
  <si>
    <r>
      <t xml:space="preserve">Корректировка на </t>
    </r>
    <r>
      <rPr>
        <b/>
        <sz val="8"/>
        <rFont val="Tahoma"/>
        <family val="2"/>
        <charset val="204"/>
      </rPr>
      <t>этаж</t>
    </r>
  </si>
  <si>
    <r>
      <t xml:space="preserve">Корректировка на </t>
    </r>
    <r>
      <rPr>
        <b/>
        <sz val="8"/>
        <rFont val="Tahoma"/>
        <family val="2"/>
        <charset val="204"/>
      </rPr>
      <t>количество комнат</t>
    </r>
  </si>
  <si>
    <r>
      <t xml:space="preserve">Корректировка на </t>
    </r>
    <r>
      <rPr>
        <b/>
        <sz val="8"/>
        <rFont val="Tahoma"/>
        <family val="2"/>
        <charset val="204"/>
      </rPr>
      <t>общую площадь</t>
    </r>
  </si>
  <si>
    <r>
      <t xml:space="preserve">Корректировка на </t>
    </r>
    <r>
      <rPr>
        <b/>
        <sz val="8"/>
        <rFont val="Tahoma"/>
        <family val="2"/>
        <charset val="204"/>
      </rPr>
      <t>вид из окна</t>
    </r>
  </si>
  <si>
    <r>
      <t xml:space="preserve">Корректировка на </t>
    </r>
    <r>
      <rPr>
        <b/>
        <sz val="8"/>
        <rFont val="Tahoma"/>
        <family val="2"/>
        <charset val="204"/>
      </rPr>
      <t>наличие балкона/лоджии</t>
    </r>
  </si>
  <si>
    <r>
      <t xml:space="preserve">Корректировка на </t>
    </r>
    <r>
      <rPr>
        <b/>
        <sz val="8"/>
        <rFont val="Tahoma"/>
        <family val="2"/>
        <charset val="204"/>
      </rPr>
      <t>тип санузла</t>
    </r>
  </si>
  <si>
    <r>
      <t xml:space="preserve">Корректировка </t>
    </r>
    <r>
      <rPr>
        <b/>
        <sz val="8"/>
        <rFont val="Tahoma"/>
        <family val="2"/>
        <charset val="204"/>
      </rPr>
      <t>на потребность в ремонте</t>
    </r>
  </si>
  <si>
    <r>
      <t xml:space="preserve">Корректировка на </t>
    </r>
    <r>
      <rPr>
        <b/>
        <sz val="8"/>
        <rFont val="Tahoma"/>
        <family val="2"/>
        <charset val="204"/>
      </rPr>
      <t>наличие мебели и техники</t>
    </r>
  </si>
  <si>
    <t>Площадь факт. (расчетная), кв.м.</t>
  </si>
  <si>
    <t>Цена после корректировки, руб. / кв.м</t>
  </si>
  <si>
    <r>
      <t xml:space="preserve">Корректировка на </t>
    </r>
    <r>
      <rPr>
        <b/>
        <i/>
        <sz val="8"/>
        <rFont val="Tahoma"/>
        <family val="2"/>
        <charset val="204"/>
      </rPr>
      <t>дату предложения</t>
    </r>
  </si>
  <si>
    <t>Удельная цена предложения, руб./ кв.м.</t>
  </si>
  <si>
    <t>Местоположение</t>
  </si>
  <si>
    <t>Аналог №6</t>
  </si>
  <si>
    <t>Аналог №7</t>
  </si>
  <si>
    <t>Стоимость, руб./кв.м.</t>
  </si>
  <si>
    <t>Стоимость объекта, руб.</t>
  </si>
  <si>
    <t>Рыночная стоимость (округление до тысяч), руб.</t>
  </si>
  <si>
    <t>Стоимость доли в праве, руб.</t>
  </si>
  <si>
    <t>Ф.И.О. собственника</t>
  </si>
  <si>
    <r>
      <t>Стандартное отклонение (</t>
    </r>
    <r>
      <rPr>
        <sz val="8"/>
        <rFont val="Symbol"/>
        <family val="1"/>
        <charset val="2"/>
      </rPr>
      <t>s</t>
    </r>
    <r>
      <rPr>
        <sz val="8"/>
        <rFont val="Tahoma"/>
        <family val="2"/>
        <charset val="204"/>
      </rPr>
      <t>)</t>
    </r>
  </si>
  <si>
    <r>
      <t>Коэффициент вариации (</t>
    </r>
    <r>
      <rPr>
        <sz val="8"/>
        <rFont val="Symbol"/>
        <family val="1"/>
        <charset val="2"/>
      </rPr>
      <t>s</t>
    </r>
    <r>
      <rPr>
        <sz val="8"/>
        <rFont val="Tahoma"/>
        <family val="2"/>
        <charset val="204"/>
      </rPr>
      <t xml:space="preserve"> / Yср. * 100%)</t>
    </r>
  </si>
  <si>
    <r>
      <t xml:space="preserve"> - нижний интервал (Yср. - 2 * </t>
    </r>
    <r>
      <rPr>
        <sz val="8"/>
        <rFont val="Symbol"/>
        <family val="1"/>
        <charset val="2"/>
      </rPr>
      <t>s</t>
    </r>
    <r>
      <rPr>
        <sz val="8"/>
        <rFont val="Tahoma"/>
        <family val="2"/>
        <charset val="204"/>
      </rPr>
      <t>)</t>
    </r>
  </si>
  <si>
    <r>
      <t xml:space="preserve"> - верхний интервал (Yср. + 2 * </t>
    </r>
    <r>
      <rPr>
        <sz val="8"/>
        <rFont val="Symbol"/>
        <family val="1"/>
        <charset val="2"/>
      </rPr>
      <t>s</t>
    </r>
    <r>
      <rPr>
        <sz val="8"/>
        <rFont val="Tahoma"/>
        <family val="2"/>
        <charset val="204"/>
      </rPr>
      <t>)</t>
    </r>
  </si>
  <si>
    <t>Челябинская область, г.Челябинск, пр-т Ленина, д. 89, офис 504, тел. (351) 247-95-31</t>
  </si>
  <si>
    <t>Иные</t>
  </si>
  <si>
    <t>Комнаты</t>
  </si>
  <si>
    <t>Элементы</t>
  </si>
  <si>
    <t>Кадастровый номер:</t>
  </si>
  <si>
    <t>Место нахождения: 115054, город Москва, ул. Дубининская, д. 45</t>
  </si>
  <si>
    <t>ремонт не требуется</t>
  </si>
  <si>
    <r>
      <t xml:space="preserve">Корректировка на </t>
    </r>
    <r>
      <rPr>
        <b/>
        <sz val="8"/>
        <rFont val="Tahoma"/>
        <family val="2"/>
        <charset val="204"/>
      </rPr>
      <t>уровень</t>
    </r>
    <r>
      <rPr>
        <sz val="8"/>
        <rFont val="Tahoma"/>
        <family val="2"/>
        <charset val="204"/>
      </rPr>
      <t xml:space="preserve"> </t>
    </r>
    <r>
      <rPr>
        <b/>
        <sz val="8"/>
        <rFont val="Tahoma"/>
        <family val="2"/>
        <charset val="204"/>
      </rPr>
      <t>отделки, руб./кв.м</t>
    </r>
  </si>
  <si>
    <t>Состояние отделки (тип ремонта)</t>
  </si>
  <si>
    <t>Допущения, на которых должна основываться оценка:
Оценка основана на допущении отсутствия обременения в виде залога (ипотеки) и иных прав третьих лиц. Также допущения на которых основана оценка, указаны в разделе 3 отчета об оценке. После проведения процедуры согласования и получения итогового результата оценки стоимости недвижимости, оценщик не приводит свое суждение о возможных границах интервала, в котором, по его мнению, может находиться эта стоимость. Визуальный осмотр производился только фасадов, придомовой территории объекта оценки. Доступ на объект оценщику не был предоставлен. Данные о состоянии внутренней отделки принято, как пригодное для проживания. Тип отделки: бюджетный. Потребность в ремонте – требует косметического ремонта. Другими данными оценщик не располагает.</t>
  </si>
  <si>
    <t>Ликвидационная стоимость (в рублях)</t>
  </si>
  <si>
    <t>Зависимость удельной цены от площади квартиры (y=1,757х^-0,166)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</si>
</sst>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р_._-;\-* #,##0.00_р_._-;_-* &quot;-&quot;??_р_._-;_-@_-"/>
    <numFmt numFmtId="165" formatCode="#,##0.0"/>
    <numFmt numFmtId="166" formatCode="0.0000"/>
    <numFmt numFmtId="167" formatCode="0.0"/>
    <numFmt numFmtId="168" formatCode="[$-F800]dddd\,\ mmmm\ dd\,\ yyyy"/>
    <numFmt numFmtId="169" formatCode="#,##0_р_."/>
    <numFmt numFmtId="170" formatCode="#,##0.0000_р_."/>
    <numFmt numFmtId="171" formatCode="#,##0.0000"/>
  </numFmts>
  <fonts count="49" x14ac:knownFonts="1">
    <font>
      <sz val="10"/>
      <name val="Arial Cyr"/>
      <charset val="204"/>
    </font>
    <font>
      <sz val="10"/>
      <name val="Arial Cyr"/>
      <charset val="204"/>
    </font>
    <font>
      <u/>
      <sz val="10"/>
      <color indexed="12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sz val="10"/>
      <name val="Tahoma"/>
      <family val="2"/>
      <charset val="204"/>
    </font>
    <font>
      <b/>
      <sz val="8"/>
      <name val="Tahoma"/>
      <family val="2"/>
      <charset val="204"/>
    </font>
    <font>
      <sz val="8"/>
      <name val="Tahoma"/>
      <family val="2"/>
      <charset val="204"/>
    </font>
    <font>
      <b/>
      <sz val="8"/>
      <color indexed="12"/>
      <name val="Tahoma"/>
      <family val="2"/>
      <charset val="204"/>
    </font>
    <font>
      <sz val="8"/>
      <color indexed="10"/>
      <name val="Tahoma"/>
      <family val="2"/>
      <charset val="204"/>
    </font>
    <font>
      <b/>
      <sz val="7"/>
      <name val="Tahoma"/>
      <family val="2"/>
      <charset val="204"/>
    </font>
    <font>
      <sz val="8"/>
      <color indexed="8"/>
      <name val="Tahoma"/>
      <family val="2"/>
      <charset val="204"/>
    </font>
    <font>
      <sz val="9"/>
      <name val="Tahoma"/>
      <family val="2"/>
      <charset val="204"/>
    </font>
    <font>
      <vertAlign val="subscript"/>
      <sz val="9"/>
      <name val="Tahoma"/>
      <family val="2"/>
      <charset val="204"/>
    </font>
    <font>
      <sz val="9"/>
      <color indexed="8"/>
      <name val="Tahoma"/>
      <family val="2"/>
      <charset val="204"/>
    </font>
    <font>
      <vertAlign val="subscript"/>
      <sz val="9"/>
      <color indexed="8"/>
      <name val="Tahoma"/>
      <family val="2"/>
      <charset val="204"/>
    </font>
    <font>
      <b/>
      <sz val="10"/>
      <name val="Tahoma"/>
      <family val="2"/>
      <charset val="204"/>
    </font>
    <font>
      <b/>
      <sz val="24"/>
      <name val="Tahoma"/>
      <family val="2"/>
      <charset val="204"/>
    </font>
    <font>
      <b/>
      <sz val="12"/>
      <name val="Tahoma"/>
      <family val="2"/>
      <charset val="204"/>
    </font>
    <font>
      <sz val="12"/>
      <name val="Tahoma"/>
      <family val="2"/>
      <charset val="204"/>
    </font>
    <font>
      <sz val="7"/>
      <name val="Tahoma"/>
      <family val="2"/>
      <charset val="204"/>
    </font>
    <font>
      <sz val="8"/>
      <color indexed="12"/>
      <name val="Tahoma"/>
      <family val="2"/>
      <charset val="204"/>
    </font>
    <font>
      <i/>
      <sz val="6"/>
      <name val="Tahoma"/>
      <family val="2"/>
      <charset val="204"/>
    </font>
    <font>
      <b/>
      <sz val="14"/>
      <name val="Tahoma"/>
      <family val="2"/>
      <charset val="204"/>
    </font>
    <font>
      <sz val="10"/>
      <color indexed="12"/>
      <name val="Arial Cyr"/>
      <charset val="204"/>
    </font>
    <font>
      <sz val="6"/>
      <name val="Tahoma"/>
      <family val="2"/>
      <charset val="204"/>
    </font>
    <font>
      <vertAlign val="superscript"/>
      <sz val="8"/>
      <color indexed="9"/>
      <name val="Tahoma"/>
      <family val="2"/>
      <charset val="204"/>
    </font>
    <font>
      <vertAlign val="superscript"/>
      <sz val="8"/>
      <color indexed="9"/>
      <name val="Arial Cyr"/>
      <charset val="204"/>
    </font>
    <font>
      <sz val="8"/>
      <color indexed="9"/>
      <name val="Arial Cyr"/>
      <charset val="204"/>
    </font>
    <font>
      <b/>
      <sz val="10"/>
      <name val="Arial Cyr"/>
      <charset val="204"/>
    </font>
    <font>
      <sz val="8"/>
      <name val="Arial"/>
      <family val="2"/>
      <charset val="204"/>
    </font>
    <font>
      <u/>
      <sz val="8"/>
      <color indexed="12"/>
      <name val="Arial Cyr"/>
      <charset val="204"/>
    </font>
    <font>
      <i/>
      <sz val="8"/>
      <name val="Tahoma"/>
      <family val="2"/>
      <charset val="204"/>
    </font>
    <font>
      <b/>
      <i/>
      <sz val="8"/>
      <name val="Tahoma"/>
      <family val="2"/>
      <charset val="204"/>
    </font>
    <font>
      <i/>
      <sz val="8"/>
      <color indexed="12"/>
      <name val="Tahoma"/>
      <family val="2"/>
      <charset val="204"/>
    </font>
    <font>
      <sz val="8"/>
      <name val="Symbol"/>
      <family val="1"/>
      <charset val="2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8"/>
      <color theme="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8"/>
      <color theme="1"/>
      <name val="Tahoma"/>
      <family val="2"/>
      <charset val="204"/>
    </font>
    <font>
      <sz val="10"/>
      <color theme="1"/>
      <name val="Arial Cyr"/>
      <charset val="204"/>
    </font>
    <font>
      <sz val="8"/>
      <color theme="1"/>
      <name val="Tahoma"/>
      <family val="2"/>
      <charset val="204"/>
    </font>
    <font>
      <b/>
      <sz val="7"/>
      <color theme="1"/>
      <name val="Tahoma"/>
      <family val="2"/>
      <charset val="204"/>
    </font>
    <font>
      <b/>
      <sz val="8"/>
      <color rgb="FFFF0000"/>
      <name val="Tahoma"/>
      <family val="2"/>
      <charset val="204"/>
    </font>
    <font>
      <i/>
      <sz val="8"/>
      <color rgb="FFFF0000"/>
      <name val="Tahoma"/>
      <family val="2"/>
      <charset val="204"/>
    </font>
    <font>
      <sz val="11"/>
      <name val="Calibri"/>
      <family val="2"/>
      <charset val="204"/>
      <scheme val="minor"/>
    </font>
    <font>
      <sz val="8"/>
      <color theme="0"/>
      <name val="Arial Cyr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6" fillId="4" borderId="0" applyNumberFormat="0" applyBorder="0" applyAlignment="0" applyProtection="0"/>
    <xf numFmtId="0" fontId="4" fillId="0" borderId="0"/>
    <xf numFmtId="0" fontId="37" fillId="5" borderId="0" applyNumberFormat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8" fillId="6" borderId="0" applyNumberFormat="0" applyBorder="0" applyAlignment="0" applyProtection="0"/>
  </cellStyleXfs>
  <cellXfs count="532">
    <xf numFmtId="0" fontId="0" fillId="0" borderId="0" xfId="0"/>
    <xf numFmtId="0" fontId="7" fillId="0" borderId="0" xfId="0" applyFont="1"/>
    <xf numFmtId="49" fontId="7" fillId="0" borderId="0" xfId="0" applyNumberFormat="1" applyFont="1"/>
    <xf numFmtId="0" fontId="7" fillId="0" borderId="1" xfId="0" applyFont="1" applyBorder="1" applyAlignment="1">
      <alignment horizont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2" borderId="0" xfId="0" applyFont="1" applyFill="1"/>
    <xf numFmtId="0" fontId="6" fillId="0" borderId="0" xfId="0" applyFont="1" applyAlignment="1">
      <alignment horizontal="center" vertical="center" wrapText="1"/>
    </xf>
    <xf numFmtId="9" fontId="7" fillId="0" borderId="0" xfId="0" applyNumberFormat="1" applyFont="1"/>
    <xf numFmtId="3" fontId="6" fillId="0" borderId="0" xfId="0" applyNumberFormat="1" applyFont="1" applyAlignment="1">
      <alignment horizontal="right" wrapText="1"/>
    </xf>
    <xf numFmtId="0" fontId="6" fillId="0" borderId="0" xfId="0" applyFont="1"/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168" fontId="7" fillId="0" borderId="3" xfId="0" applyNumberFormat="1" applyFont="1" applyBorder="1" applyAlignment="1">
      <alignment horizontal="left" vertical="center" wrapText="1"/>
    </xf>
    <xf numFmtId="3" fontId="7" fillId="0" borderId="2" xfId="0" applyNumberFormat="1" applyFont="1" applyBorder="1" applyAlignment="1">
      <alignment horizontal="center" vertical="center"/>
    </xf>
    <xf numFmtId="9" fontId="7" fillId="0" borderId="2" xfId="0" applyNumberFormat="1" applyFont="1" applyBorder="1" applyAlignment="1">
      <alignment horizontal="center" vertical="center"/>
    </xf>
    <xf numFmtId="3" fontId="7" fillId="0" borderId="2" xfId="3" applyNumberFormat="1" applyFont="1" applyBorder="1" applyAlignment="1">
      <alignment horizontal="center" vertical="center" wrapText="1"/>
    </xf>
    <xf numFmtId="3" fontId="7" fillId="0" borderId="3" xfId="3" applyNumberFormat="1" applyFont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4" fontId="7" fillId="0" borderId="2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textRotation="90" wrapText="1"/>
    </xf>
    <xf numFmtId="166" fontId="9" fillId="0" borderId="2" xfId="3" applyNumberFormat="1" applyFont="1" applyBorder="1" applyAlignment="1">
      <alignment horizontal="center" vertical="center" wrapText="1"/>
    </xf>
    <xf numFmtId="14" fontId="7" fillId="0" borderId="5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0" applyFont="1"/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/>
    <xf numFmtId="49" fontId="19" fillId="0" borderId="0" xfId="0" applyNumberFormat="1" applyFont="1" applyAlignment="1">
      <alignment horizontal="left" vertical="center"/>
    </xf>
    <xf numFmtId="168" fontId="19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/>
    </xf>
    <xf numFmtId="14" fontId="7" fillId="0" borderId="8" xfId="0" applyNumberFormat="1" applyFont="1" applyBorder="1" applyAlignment="1">
      <alignment horizontal="left" vertical="center" wrapText="1"/>
    </xf>
    <xf numFmtId="3" fontId="7" fillId="0" borderId="4" xfId="3" applyNumberFormat="1" applyFont="1" applyBorder="1" applyAlignment="1">
      <alignment horizontal="center" vertical="center" wrapText="1"/>
    </xf>
    <xf numFmtId="3" fontId="7" fillId="0" borderId="0" xfId="3" applyNumberFormat="1" applyFont="1" applyAlignment="1">
      <alignment horizontal="left" vertical="center" wrapText="1"/>
    </xf>
    <xf numFmtId="49" fontId="16" fillId="0" borderId="0" xfId="0" applyNumberFormat="1" applyFont="1"/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center"/>
    </xf>
    <xf numFmtId="14" fontId="5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right" vertical="center" wrapText="1"/>
    </xf>
    <xf numFmtId="49" fontId="18" fillId="0" borderId="0" xfId="0" applyNumberFormat="1" applyFont="1" applyAlignment="1">
      <alignment vertical="center"/>
    </xf>
    <xf numFmtId="168" fontId="19" fillId="0" borderId="0" xfId="0" applyNumberFormat="1" applyFont="1" applyAlignment="1">
      <alignment vertical="center"/>
    </xf>
    <xf numFmtId="168" fontId="18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12" fontId="7" fillId="0" borderId="3" xfId="0" applyNumberFormat="1" applyFont="1" applyBorder="1" applyAlignment="1">
      <alignment horizontal="left" vertical="center" wrapText="1"/>
    </xf>
    <xf numFmtId="0" fontId="7" fillId="0" borderId="10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3" fontId="7" fillId="0" borderId="2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49" fontId="5" fillId="0" borderId="0" xfId="0" applyNumberFormat="1" applyFont="1"/>
    <xf numFmtId="3" fontId="16" fillId="0" borderId="0" xfId="0" applyNumberFormat="1" applyFont="1"/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4" fontId="16" fillId="0" borderId="0" xfId="0" applyNumberFormat="1" applyFont="1"/>
    <xf numFmtId="168" fontId="5" fillId="0" borderId="0" xfId="0" applyNumberFormat="1" applyFont="1"/>
    <xf numFmtId="0" fontId="9" fillId="0" borderId="0" xfId="0" applyFont="1"/>
    <xf numFmtId="4" fontId="7" fillId="0" borderId="4" xfId="3" applyNumberFormat="1" applyFont="1" applyBorder="1" applyAlignment="1">
      <alignment horizontal="center" vertical="center" wrapText="1"/>
    </xf>
    <xf numFmtId="12" fontId="7" fillId="0" borderId="11" xfId="0" applyNumberFormat="1" applyFont="1" applyBorder="1" applyAlignment="1">
      <alignment horizontal="center" vertical="center" wrapText="1"/>
    </xf>
    <xf numFmtId="14" fontId="7" fillId="0" borderId="12" xfId="0" applyNumberFormat="1" applyFont="1" applyBorder="1" applyAlignment="1">
      <alignment horizontal="left" vertical="center" wrapText="1"/>
    </xf>
    <xf numFmtId="12" fontId="7" fillId="0" borderId="13" xfId="0" applyNumberFormat="1" applyFont="1" applyBorder="1" applyAlignment="1">
      <alignment horizontal="center" vertical="center" wrapText="1"/>
    </xf>
    <xf numFmtId="12" fontId="7" fillId="0" borderId="14" xfId="0" applyNumberFormat="1" applyFont="1" applyBorder="1" applyAlignment="1">
      <alignment horizontal="center" vertical="center" wrapText="1"/>
    </xf>
    <xf numFmtId="3" fontId="6" fillId="0" borderId="13" xfId="3" applyNumberFormat="1" applyFont="1" applyBorder="1" applyAlignment="1">
      <alignment horizontal="center" vertical="center" wrapText="1"/>
    </xf>
    <xf numFmtId="3" fontId="6" fillId="0" borderId="2" xfId="3" applyNumberFormat="1" applyFont="1" applyBorder="1" applyAlignment="1">
      <alignment horizontal="center" vertical="center" wrapText="1"/>
    </xf>
    <xf numFmtId="3" fontId="6" fillId="0" borderId="15" xfId="3" applyNumberFormat="1" applyFont="1" applyBorder="1" applyAlignment="1">
      <alignment horizontal="center" vertical="center" wrapText="1"/>
    </xf>
    <xf numFmtId="3" fontId="7" fillId="0" borderId="16" xfId="3" applyNumberFormat="1" applyFont="1" applyBorder="1" applyAlignment="1">
      <alignment horizontal="center" vertical="center" wrapText="1"/>
    </xf>
    <xf numFmtId="3" fontId="5" fillId="0" borderId="0" xfId="0" applyNumberFormat="1" applyFont="1"/>
    <xf numFmtId="164" fontId="7" fillId="0" borderId="0" xfId="6" applyFont="1" applyFill="1" applyBorder="1" applyAlignment="1">
      <alignment horizontal="center" vertical="center"/>
    </xf>
    <xf numFmtId="0" fontId="7" fillId="0" borderId="15" xfId="0" applyFont="1" applyBorder="1" applyAlignment="1">
      <alignment horizontal="left" vertical="center" wrapText="1"/>
    </xf>
    <xf numFmtId="12" fontId="7" fillId="0" borderId="4" xfId="0" applyNumberFormat="1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12" fontId="7" fillId="0" borderId="17" xfId="0" applyNumberFormat="1" applyFont="1" applyBorder="1" applyAlignment="1">
      <alignment horizontal="left" vertical="center" wrapText="1"/>
    </xf>
    <xf numFmtId="0" fontId="2" fillId="0" borderId="0" xfId="1" applyAlignment="1" applyProtection="1"/>
    <xf numFmtId="0" fontId="7" fillId="0" borderId="13" xfId="0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12" fontId="7" fillId="0" borderId="18" xfId="0" applyNumberFormat="1" applyFont="1" applyBorder="1" applyAlignment="1">
      <alignment horizontal="left" vertical="center" wrapText="1"/>
    </xf>
    <xf numFmtId="12" fontId="7" fillId="0" borderId="19" xfId="0" applyNumberFormat="1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13" fontId="7" fillId="0" borderId="21" xfId="0" applyNumberFormat="1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13" fontId="7" fillId="0" borderId="4" xfId="0" applyNumberFormat="1" applyFont="1" applyBorder="1" applyAlignment="1">
      <alignment horizontal="left" vertical="center" wrapText="1"/>
    </xf>
    <xf numFmtId="9" fontId="7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/>
    </xf>
    <xf numFmtId="168" fontId="0" fillId="0" borderId="0" xfId="0" applyNumberFormat="1"/>
    <xf numFmtId="4" fontId="7" fillId="0" borderId="0" xfId="0" applyNumberFormat="1" applyFont="1"/>
    <xf numFmtId="170" fontId="7" fillId="0" borderId="1" xfId="0" applyNumberFormat="1" applyFont="1" applyBorder="1"/>
    <xf numFmtId="0" fontId="7" fillId="0" borderId="22" xfId="0" applyFont="1" applyBorder="1" applyAlignment="1">
      <alignment vertical="center"/>
    </xf>
    <xf numFmtId="14" fontId="39" fillId="0" borderId="0" xfId="0" applyNumberFormat="1" applyFont="1" applyAlignment="1">
      <alignment horizontal="left" vertical="center" wrapText="1"/>
    </xf>
    <xf numFmtId="3" fontId="39" fillId="0" borderId="0" xfId="3" applyNumberFormat="1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9" fontId="7" fillId="0" borderId="4" xfId="0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14" fontId="7" fillId="0" borderId="2" xfId="0" applyNumberFormat="1" applyFont="1" applyBorder="1" applyAlignment="1">
      <alignment horizontal="left" vertical="center" wrapText="1"/>
    </xf>
    <xf numFmtId="4" fontId="7" fillId="0" borderId="2" xfId="0" applyNumberFormat="1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left" vertical="center" wrapText="1"/>
    </xf>
    <xf numFmtId="168" fontId="7" fillId="0" borderId="2" xfId="0" applyNumberFormat="1" applyFont="1" applyBorder="1" applyAlignment="1">
      <alignment horizontal="left" vertical="center" wrapText="1"/>
    </xf>
    <xf numFmtId="0" fontId="7" fillId="0" borderId="23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wrapText="1"/>
    </xf>
    <xf numFmtId="0" fontId="7" fillId="0" borderId="2" xfId="0" applyFont="1" applyBorder="1"/>
    <xf numFmtId="0" fontId="7" fillId="0" borderId="2" xfId="0" applyFont="1" applyBorder="1" applyAlignment="1">
      <alignment horizontal="center" vertical="center" wrapText="1"/>
    </xf>
    <xf numFmtId="0" fontId="16" fillId="0" borderId="0" xfId="0" applyFont="1" applyAlignment="1">
      <alignment horizontal="right" vertical="center" wrapText="1" indent="1"/>
    </xf>
    <xf numFmtId="0" fontId="5" fillId="0" borderId="0" xfId="0" applyFont="1" applyAlignment="1">
      <alignment horizontal="left" vertical="center" wrapText="1" indent="1"/>
    </xf>
    <xf numFmtId="168" fontId="5" fillId="0" borderId="0" xfId="0" applyNumberFormat="1" applyFont="1" applyAlignment="1">
      <alignment horizontal="left" vertical="center" wrapText="1" indent="1"/>
    </xf>
    <xf numFmtId="3" fontId="7" fillId="0" borderId="2" xfId="3" applyNumberFormat="1" applyFont="1" applyBorder="1" applyAlignment="1">
      <alignment horizontal="left" vertical="center" wrapText="1"/>
    </xf>
    <xf numFmtId="165" fontId="7" fillId="0" borderId="2" xfId="3" applyNumberFormat="1" applyFont="1" applyBorder="1" applyAlignment="1">
      <alignment horizontal="center" vertical="center" wrapText="1"/>
    </xf>
    <xf numFmtId="9" fontId="7" fillId="0" borderId="2" xfId="5" applyFont="1" applyFill="1" applyBorder="1" applyAlignment="1">
      <alignment horizontal="center" vertical="center" wrapText="1"/>
    </xf>
    <xf numFmtId="9" fontId="7" fillId="0" borderId="2" xfId="5" applyFont="1" applyBorder="1" applyAlignment="1">
      <alignment horizontal="center" vertical="center"/>
    </xf>
    <xf numFmtId="14" fontId="7" fillId="3" borderId="6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0" fontId="10" fillId="0" borderId="22" xfId="0" applyFont="1" applyBorder="1"/>
    <xf numFmtId="0" fontId="10" fillId="7" borderId="24" xfId="0" applyFont="1" applyFill="1" applyBorder="1" applyAlignment="1">
      <alignment wrapText="1"/>
    </xf>
    <xf numFmtId="0" fontId="10" fillId="7" borderId="9" xfId="0" applyFont="1" applyFill="1" applyBorder="1" applyAlignment="1">
      <alignment horizontal="right" vertical="top"/>
    </xf>
    <xf numFmtId="3" fontId="10" fillId="0" borderId="9" xfId="0" applyNumberFormat="1" applyFont="1" applyBorder="1" applyAlignment="1">
      <alignment horizontal="center" vertical="center" wrapText="1"/>
    </xf>
    <xf numFmtId="170" fontId="7" fillId="0" borderId="1" xfId="0" applyNumberFormat="1" applyFont="1" applyBorder="1" applyAlignment="1">
      <alignment horizontal="center" vertical="center"/>
    </xf>
    <xf numFmtId="170" fontId="7" fillId="0" borderId="0" xfId="0" applyNumberFormat="1" applyFont="1"/>
    <xf numFmtId="0" fontId="23" fillId="8" borderId="0" xfId="0" applyFont="1" applyFill="1"/>
    <xf numFmtId="0" fontId="0" fillId="0" borderId="0" xfId="0" applyAlignment="1">
      <alignment wrapText="1"/>
    </xf>
    <xf numFmtId="0" fontId="7" fillId="7" borderId="2" xfId="0" applyFont="1" applyFill="1" applyBorder="1" applyAlignment="1">
      <alignment vertical="center" wrapText="1"/>
    </xf>
    <xf numFmtId="49" fontId="7" fillId="7" borderId="2" xfId="0" applyNumberFormat="1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vertical="center"/>
    </xf>
    <xf numFmtId="12" fontId="7" fillId="7" borderId="2" xfId="0" applyNumberFormat="1" applyFont="1" applyFill="1" applyBorder="1" applyAlignment="1">
      <alignment horizontal="left" vertical="center" wrapText="1"/>
    </xf>
    <xf numFmtId="3" fontId="7" fillId="0" borderId="1" xfId="0" applyNumberFormat="1" applyFont="1" applyBorder="1" applyAlignment="1">
      <alignment horizontal="center"/>
    </xf>
    <xf numFmtId="0" fontId="6" fillId="7" borderId="24" xfId="0" applyFont="1" applyFill="1" applyBorder="1" applyAlignment="1">
      <alignment wrapText="1"/>
    </xf>
    <xf numFmtId="0" fontId="6" fillId="7" borderId="9" xfId="0" applyFont="1" applyFill="1" applyBorder="1" applyAlignment="1">
      <alignment horizontal="right" vertical="top"/>
    </xf>
    <xf numFmtId="3" fontId="7" fillId="0" borderId="9" xfId="0" applyNumberFormat="1" applyFont="1" applyBorder="1" applyAlignment="1">
      <alignment horizontal="center" vertical="center" textRotation="90" wrapText="1"/>
    </xf>
    <xf numFmtId="3" fontId="7" fillId="0" borderId="1" xfId="0" applyNumberFormat="1" applyFont="1" applyBorder="1" applyAlignment="1">
      <alignment horizontal="center" vertical="center" textRotation="90" wrapText="1"/>
    </xf>
    <xf numFmtId="3" fontId="6" fillId="0" borderId="0" xfId="0" applyNumberFormat="1" applyFont="1" applyAlignment="1">
      <alignment horizontal="center" vertical="center" textRotation="90" wrapText="1"/>
    </xf>
    <xf numFmtId="166" fontId="7" fillId="0" borderId="1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/>
    </xf>
    <xf numFmtId="3" fontId="0" fillId="0" borderId="0" xfId="0" applyNumberFormat="1"/>
    <xf numFmtId="0" fontId="0" fillId="0" borderId="25" xfId="0" applyBorder="1"/>
    <xf numFmtId="0" fontId="41" fillId="7" borderId="9" xfId="0" applyFont="1" applyFill="1" applyBorder="1" applyAlignment="1">
      <alignment horizontal="right" vertical="top"/>
    </xf>
    <xf numFmtId="3" fontId="10" fillId="0" borderId="0" xfId="0" applyNumberFormat="1" applyFont="1" applyAlignment="1">
      <alignment horizontal="center" vertical="center" wrapText="1"/>
    </xf>
    <xf numFmtId="171" fontId="7" fillId="0" borderId="0" xfId="0" applyNumberFormat="1" applyFont="1" applyAlignment="1">
      <alignment horizontal="center"/>
    </xf>
    <xf numFmtId="3" fontId="24" fillId="0" borderId="0" xfId="0" applyNumberFormat="1" applyFont="1"/>
    <xf numFmtId="0" fontId="24" fillId="0" borderId="0" xfId="0" applyFont="1"/>
    <xf numFmtId="0" fontId="42" fillId="0" borderId="0" xfId="0" applyFont="1"/>
    <xf numFmtId="0" fontId="41" fillId="7" borderId="24" xfId="0" applyFont="1" applyFill="1" applyBorder="1" applyAlignment="1">
      <alignment wrapText="1"/>
    </xf>
    <xf numFmtId="3" fontId="43" fillId="0" borderId="1" xfId="0" applyNumberFormat="1" applyFont="1" applyBorder="1" applyAlignment="1">
      <alignment horizontal="center" vertical="center" textRotation="90" wrapText="1"/>
    </xf>
    <xf numFmtId="3" fontId="41" fillId="0" borderId="1" xfId="0" applyNumberFormat="1" applyFont="1" applyBorder="1" applyAlignment="1">
      <alignment horizontal="center" vertical="center" textRotation="90" wrapText="1"/>
    </xf>
    <xf numFmtId="166" fontId="43" fillId="0" borderId="1" xfId="0" applyNumberFormat="1" applyFont="1" applyBorder="1" applyAlignment="1">
      <alignment horizontal="center"/>
    </xf>
    <xf numFmtId="3" fontId="43" fillId="0" borderId="1" xfId="0" applyNumberFormat="1" applyFont="1" applyBorder="1" applyAlignment="1">
      <alignment horizontal="center"/>
    </xf>
    <xf numFmtId="0" fontId="6" fillId="0" borderId="26" xfId="0" applyFont="1" applyBorder="1"/>
    <xf numFmtId="0" fontId="6" fillId="0" borderId="22" xfId="0" applyFont="1" applyBorder="1"/>
    <xf numFmtId="3" fontId="7" fillId="0" borderId="1" xfId="0" applyNumberFormat="1" applyFont="1" applyBorder="1" applyAlignment="1">
      <alignment vertical="center" wrapText="1"/>
    </xf>
    <xf numFmtId="3" fontId="7" fillId="0" borderId="1" xfId="0" applyNumberFormat="1" applyFont="1" applyBorder="1" applyAlignment="1">
      <alignment horizontal="center" vertical="center" wrapText="1"/>
    </xf>
    <xf numFmtId="166" fontId="7" fillId="0" borderId="0" xfId="0" applyNumberFormat="1" applyFont="1" applyAlignment="1">
      <alignment horizontal="center"/>
    </xf>
    <xf numFmtId="3" fontId="44" fillId="0" borderId="0" xfId="0" applyNumberFormat="1" applyFont="1" applyAlignment="1">
      <alignment vertical="center" wrapText="1"/>
    </xf>
    <xf numFmtId="3" fontId="43" fillId="0" borderId="0" xfId="0" applyNumberFormat="1" applyFont="1"/>
    <xf numFmtId="3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6" fillId="7" borderId="27" xfId="0" applyFont="1" applyFill="1" applyBorder="1" applyAlignment="1">
      <alignment horizontal="right" vertical="top"/>
    </xf>
    <xf numFmtId="9" fontId="0" fillId="0" borderId="0" xfId="5" applyFont="1"/>
    <xf numFmtId="3" fontId="20" fillId="0" borderId="1" xfId="0" applyNumberFormat="1" applyFont="1" applyBorder="1" applyAlignment="1">
      <alignment horizontal="center" vertical="center" textRotation="90" wrapText="1"/>
    </xf>
    <xf numFmtId="169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1" fontId="7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169" fontId="7" fillId="0" borderId="0" xfId="0" applyNumberFormat="1" applyFont="1" applyAlignment="1">
      <alignment horizontal="center" vertical="center"/>
    </xf>
    <xf numFmtId="0" fontId="29" fillId="0" borderId="0" xfId="0" applyFont="1"/>
    <xf numFmtId="3" fontId="20" fillId="0" borderId="9" xfId="0" applyNumberFormat="1" applyFont="1" applyBorder="1" applyAlignment="1">
      <alignment horizontal="center" vertical="center" textRotation="90" wrapText="1"/>
    </xf>
    <xf numFmtId="1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0" fontId="6" fillId="0" borderId="0" xfId="5" applyNumberFormat="1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vertical="center" wrapText="1"/>
    </xf>
    <xf numFmtId="0" fontId="7" fillId="7" borderId="29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3" fontId="6" fillId="0" borderId="2" xfId="3" applyNumberFormat="1" applyFont="1" applyBorder="1" applyAlignment="1">
      <alignment horizontal="left" vertical="center" wrapText="1"/>
    </xf>
    <xf numFmtId="3" fontId="6" fillId="0" borderId="2" xfId="0" applyNumberFormat="1" applyFont="1" applyBorder="1" applyAlignment="1">
      <alignment horizontal="center" vertical="center"/>
    </xf>
    <xf numFmtId="171" fontId="7" fillId="0" borderId="0" xfId="0" applyNumberFormat="1" applyFont="1" applyAlignment="1">
      <alignment horizontal="right" vertical="center"/>
    </xf>
    <xf numFmtId="166" fontId="7" fillId="0" borderId="0" xfId="0" applyNumberFormat="1" applyFont="1"/>
    <xf numFmtId="2" fontId="7" fillId="0" borderId="2" xfId="0" applyNumberFormat="1" applyFont="1" applyBorder="1" applyAlignment="1">
      <alignment horizontal="justify" vertical="center" wrapText="1"/>
    </xf>
    <xf numFmtId="0" fontId="7" fillId="0" borderId="2" xfId="0" applyFont="1" applyBorder="1" applyAlignment="1">
      <alignment horizontal="right" vertical="center" wrapText="1"/>
    </xf>
    <xf numFmtId="167" fontId="7" fillId="0" borderId="2" xfId="0" applyNumberFormat="1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left" vertical="center"/>
    </xf>
    <xf numFmtId="3" fontId="7" fillId="0" borderId="30" xfId="0" applyNumberFormat="1" applyFont="1" applyBorder="1" applyAlignment="1">
      <alignment horizontal="center" vertical="center" wrapText="1"/>
    </xf>
    <xf numFmtId="3" fontId="7" fillId="0" borderId="31" xfId="0" applyNumberFormat="1" applyFont="1" applyBorder="1" applyAlignment="1">
      <alignment horizontal="center" vertical="center" wrapText="1"/>
    </xf>
    <xf numFmtId="3" fontId="7" fillId="0" borderId="23" xfId="0" applyNumberFormat="1" applyFont="1" applyBorder="1" applyAlignment="1">
      <alignment horizontal="center" vertical="center" wrapText="1"/>
    </xf>
    <xf numFmtId="12" fontId="7" fillId="0" borderId="2" xfId="0" applyNumberFormat="1" applyFont="1" applyBorder="1" applyAlignment="1">
      <alignment horizontal="center" vertical="center" wrapText="1"/>
    </xf>
    <xf numFmtId="13" fontId="7" fillId="0" borderId="2" xfId="0" applyNumberFormat="1" applyFont="1" applyBorder="1" applyAlignment="1">
      <alignment horizontal="center" vertical="center" wrapText="1"/>
    </xf>
    <xf numFmtId="3" fontId="6" fillId="0" borderId="30" xfId="0" applyNumberFormat="1" applyFont="1" applyBorder="1" applyAlignment="1">
      <alignment horizontal="center" vertical="center" wrapText="1"/>
    </xf>
    <xf numFmtId="3" fontId="6" fillId="0" borderId="31" xfId="0" applyNumberFormat="1" applyFont="1" applyBorder="1" applyAlignment="1">
      <alignment horizontal="center" vertical="center" wrapText="1"/>
    </xf>
    <xf numFmtId="3" fontId="6" fillId="0" borderId="23" xfId="0" applyNumberFormat="1" applyFont="1" applyBorder="1" applyAlignment="1">
      <alignment horizontal="center" vertical="center" wrapText="1"/>
    </xf>
    <xf numFmtId="10" fontId="7" fillId="0" borderId="2" xfId="5" applyNumberFormat="1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right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top"/>
    </xf>
    <xf numFmtId="14" fontId="7" fillId="0" borderId="2" xfId="0" applyNumberFormat="1" applyFont="1" applyBorder="1" applyAlignment="1">
      <alignment vertical="center" wrapText="1"/>
    </xf>
    <xf numFmtId="0" fontId="3" fillId="0" borderId="0" xfId="0" applyFont="1"/>
    <xf numFmtId="0" fontId="30" fillId="0" borderId="0" xfId="0" applyFont="1" applyAlignment="1">
      <alignment vertical="top" wrapText="1"/>
    </xf>
    <xf numFmtId="14" fontId="7" fillId="0" borderId="28" xfId="0" applyNumberFormat="1" applyFont="1" applyBorder="1" applyAlignment="1">
      <alignment vertical="center" wrapText="1"/>
    </xf>
    <xf numFmtId="14" fontId="7" fillId="0" borderId="11" xfId="0" applyNumberFormat="1" applyFont="1" applyBorder="1" applyAlignment="1">
      <alignment vertical="center" wrapText="1"/>
    </xf>
    <xf numFmtId="3" fontId="6" fillId="0" borderId="2" xfId="0" applyNumberFormat="1" applyFont="1" applyBorder="1" applyAlignment="1">
      <alignment horizontal="center" vertical="center" wrapText="1"/>
    </xf>
    <xf numFmtId="0" fontId="31" fillId="0" borderId="0" xfId="1" applyFont="1" applyAlignment="1" applyProtection="1"/>
    <xf numFmtId="165" fontId="31" fillId="0" borderId="0" xfId="1" applyNumberFormat="1" applyFont="1" applyAlignment="1" applyProtection="1"/>
    <xf numFmtId="4" fontId="31" fillId="0" borderId="0" xfId="1" applyNumberFormat="1" applyFont="1" applyAlignment="1" applyProtection="1"/>
    <xf numFmtId="0" fontId="32" fillId="0" borderId="2" xfId="0" applyFont="1" applyBorder="1" applyAlignment="1">
      <alignment horizontal="left" vertical="center" wrapText="1"/>
    </xf>
    <xf numFmtId="0" fontId="32" fillId="0" borderId="2" xfId="0" applyFont="1" applyBorder="1" applyAlignment="1">
      <alignment horizontal="center" vertical="center"/>
    </xf>
    <xf numFmtId="166" fontId="21" fillId="0" borderId="2" xfId="3" applyNumberFormat="1" applyFont="1" applyBorder="1" applyAlignment="1">
      <alignment horizontal="left" vertical="center" wrapText="1"/>
    </xf>
    <xf numFmtId="166" fontId="7" fillId="0" borderId="2" xfId="3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4" fontId="7" fillId="9" borderId="2" xfId="0" applyNumberFormat="1" applyFont="1" applyFill="1" applyBorder="1" applyAlignment="1">
      <alignment horizontal="center" vertical="center" wrapText="1"/>
    </xf>
    <xf numFmtId="4" fontId="7" fillId="9" borderId="2" xfId="0" applyNumberFormat="1" applyFont="1" applyFill="1" applyBorder="1" applyAlignment="1">
      <alignment horizontal="center" vertical="center" wrapText="1"/>
    </xf>
    <xf numFmtId="17" fontId="7" fillId="9" borderId="2" xfId="0" applyNumberFormat="1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left" vertical="center"/>
    </xf>
    <xf numFmtId="3" fontId="7" fillId="9" borderId="2" xfId="0" applyNumberFormat="1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left" vertical="center" wrapText="1"/>
    </xf>
    <xf numFmtId="0" fontId="32" fillId="0" borderId="2" xfId="0" applyFont="1" applyBorder="1" applyAlignment="1">
      <alignment horizontal="left" vertical="center"/>
    </xf>
    <xf numFmtId="0" fontId="34" fillId="0" borderId="2" xfId="0" applyFont="1" applyBorder="1" applyAlignment="1">
      <alignment horizontal="center" vertical="center"/>
    </xf>
    <xf numFmtId="3" fontId="32" fillId="0" borderId="2" xfId="0" applyNumberFormat="1" applyFont="1" applyBorder="1" applyAlignment="1">
      <alignment horizontal="center" vertical="center"/>
    </xf>
    <xf numFmtId="0" fontId="40" fillId="0" borderId="0" xfId="0" applyFont="1"/>
    <xf numFmtId="0" fontId="40" fillId="9" borderId="2" xfId="0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4" fontId="40" fillId="0" borderId="2" xfId="0" applyNumberFormat="1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/>
    </xf>
    <xf numFmtId="3" fontId="45" fillId="0" borderId="2" xfId="0" applyNumberFormat="1" applyFont="1" applyBorder="1" applyAlignment="1">
      <alignment horizontal="center" vertical="center" wrapText="1"/>
    </xf>
    <xf numFmtId="14" fontId="40" fillId="0" borderId="2" xfId="0" applyNumberFormat="1" applyFont="1" applyBorder="1" applyAlignment="1">
      <alignment horizontal="center" vertical="center" wrapText="1"/>
    </xf>
    <xf numFmtId="3" fontId="40" fillId="0" borderId="2" xfId="0" applyNumberFormat="1" applyFont="1" applyBorder="1" applyAlignment="1">
      <alignment horizontal="center" vertical="center" wrapText="1"/>
    </xf>
    <xf numFmtId="49" fontId="40" fillId="0" borderId="2" xfId="0" applyNumberFormat="1" applyFont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/>
    </xf>
    <xf numFmtId="10" fontId="40" fillId="0" borderId="2" xfId="5" applyNumberFormat="1" applyFont="1" applyBorder="1" applyAlignment="1">
      <alignment horizontal="center" vertical="center"/>
    </xf>
    <xf numFmtId="3" fontId="40" fillId="0" borderId="0" xfId="0" applyNumberFormat="1" applyFont="1" applyAlignment="1">
      <alignment horizontal="right" vertical="center"/>
    </xf>
    <xf numFmtId="3" fontId="40" fillId="0" borderId="2" xfId="0" applyNumberFormat="1" applyFont="1" applyBorder="1" applyAlignment="1">
      <alignment horizontal="right" vertical="center"/>
    </xf>
    <xf numFmtId="14" fontId="40" fillId="9" borderId="2" xfId="0" applyNumberFormat="1" applyFont="1" applyFill="1" applyBorder="1" applyAlignment="1">
      <alignment horizontal="center" vertical="center" wrapText="1"/>
    </xf>
    <xf numFmtId="166" fontId="40" fillId="0" borderId="2" xfId="3" applyNumberFormat="1" applyFont="1" applyBorder="1" applyAlignment="1">
      <alignment horizontal="left" vertical="center" wrapText="1"/>
    </xf>
    <xf numFmtId="17" fontId="40" fillId="9" borderId="2" xfId="0" applyNumberFormat="1" applyFont="1" applyFill="1" applyBorder="1" applyAlignment="1">
      <alignment horizontal="center" vertical="center" wrapText="1"/>
    </xf>
    <xf numFmtId="3" fontId="40" fillId="9" borderId="2" xfId="0" applyNumberFormat="1" applyFont="1" applyFill="1" applyBorder="1" applyAlignment="1">
      <alignment horizontal="center" vertical="center" wrapText="1"/>
    </xf>
    <xf numFmtId="4" fontId="40" fillId="9" borderId="2" xfId="0" applyNumberFormat="1" applyFont="1" applyFill="1" applyBorder="1" applyAlignment="1">
      <alignment horizontal="center" vertical="center" wrapText="1"/>
    </xf>
    <xf numFmtId="3" fontId="40" fillId="0" borderId="23" xfId="0" applyNumberFormat="1" applyFont="1" applyBorder="1" applyAlignment="1">
      <alignment horizontal="center" vertical="center" wrapText="1"/>
    </xf>
    <xf numFmtId="3" fontId="45" fillId="0" borderId="23" xfId="0" applyNumberFormat="1" applyFont="1" applyBorder="1" applyAlignment="1">
      <alignment horizontal="center" vertical="center" wrapText="1"/>
    </xf>
    <xf numFmtId="0" fontId="40" fillId="0" borderId="2" xfId="0" applyFont="1" applyBorder="1"/>
    <xf numFmtId="3" fontId="7" fillId="0" borderId="31" xfId="0" applyNumberFormat="1" applyFont="1" applyBorder="1" applyAlignment="1">
      <alignment horizontal="left" vertical="center"/>
    </xf>
    <xf numFmtId="3" fontId="6" fillId="0" borderId="31" xfId="0" applyNumberFormat="1" applyFont="1" applyBorder="1" applyAlignment="1">
      <alignment horizontal="left" vertical="center"/>
    </xf>
    <xf numFmtId="0" fontId="7" fillId="9" borderId="30" xfId="0" applyFont="1" applyFill="1" applyBorder="1" applyAlignment="1">
      <alignment horizontal="left" vertical="center"/>
    </xf>
    <xf numFmtId="0" fontId="7" fillId="9" borderId="31" xfId="0" applyFont="1" applyFill="1" applyBorder="1" applyAlignment="1">
      <alignment horizontal="left" vertical="center"/>
    </xf>
    <xf numFmtId="0" fontId="7" fillId="9" borderId="23" xfId="0" applyFont="1" applyFill="1" applyBorder="1" applyAlignment="1">
      <alignment horizontal="left" vertical="center"/>
    </xf>
    <xf numFmtId="14" fontId="7" fillId="0" borderId="3" xfId="0" applyNumberFormat="1" applyFont="1" applyBorder="1" applyAlignment="1">
      <alignment vertical="center" wrapText="1"/>
    </xf>
    <xf numFmtId="0" fontId="7" fillId="0" borderId="31" xfId="0" applyFont="1" applyBorder="1" applyAlignment="1">
      <alignment horizontal="right" vertical="center" wrapText="1"/>
    </xf>
    <xf numFmtId="14" fontId="7" fillId="9" borderId="28" xfId="0" applyNumberFormat="1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left" vertical="center"/>
    </xf>
    <xf numFmtId="3" fontId="6" fillId="0" borderId="32" xfId="0" applyNumberFormat="1" applyFont="1" applyBorder="1" applyAlignment="1">
      <alignment vertical="center" wrapText="1"/>
    </xf>
    <xf numFmtId="3" fontId="6" fillId="0" borderId="33" xfId="0" applyNumberFormat="1" applyFont="1" applyBorder="1" applyAlignment="1">
      <alignment vertical="center" wrapText="1"/>
    </xf>
    <xf numFmtId="3" fontId="6" fillId="0" borderId="34" xfId="0" applyNumberFormat="1" applyFont="1" applyBorder="1" applyAlignment="1">
      <alignment vertical="center" wrapText="1"/>
    </xf>
    <xf numFmtId="49" fontId="5" fillId="0" borderId="0" xfId="0" applyNumberFormat="1" applyFont="1" applyAlignment="1">
      <alignment horizontal="left" vertical="center" wrapText="1" indent="1"/>
    </xf>
    <xf numFmtId="3" fontId="21" fillId="0" borderId="2" xfId="3" applyNumberFormat="1" applyFont="1" applyBorder="1" applyAlignment="1">
      <alignment horizontal="left" vertical="center" wrapText="1"/>
    </xf>
    <xf numFmtId="10" fontId="4" fillId="0" borderId="0" xfId="5" applyNumberFormat="1" applyFont="1"/>
    <xf numFmtId="9" fontId="7" fillId="7" borderId="2" xfId="0" applyNumberFormat="1" applyFont="1" applyFill="1" applyBorder="1" applyAlignment="1">
      <alignment horizontal="left" vertical="center" wrapText="1"/>
    </xf>
    <xf numFmtId="14" fontId="8" fillId="0" borderId="0" xfId="0" applyNumberFormat="1" applyFont="1" applyAlignment="1">
      <alignment horizontal="left" vertical="center"/>
    </xf>
    <xf numFmtId="4" fontId="7" fillId="7" borderId="2" xfId="0" applyNumberFormat="1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3" fontId="6" fillId="7" borderId="2" xfId="0" applyNumberFormat="1" applyFont="1" applyFill="1" applyBorder="1" applyAlignment="1">
      <alignment horizontal="center" vertical="center"/>
    </xf>
    <xf numFmtId="3" fontId="6" fillId="7" borderId="2" xfId="0" applyNumberFormat="1" applyFont="1" applyFill="1" applyBorder="1" applyAlignment="1">
      <alignment horizontal="center" vertical="center" wrapText="1"/>
    </xf>
    <xf numFmtId="4" fontId="7" fillId="7" borderId="2" xfId="0" applyNumberFormat="1" applyFont="1" applyFill="1" applyBorder="1" applyAlignment="1">
      <alignment horizontal="center" vertical="center"/>
    </xf>
    <xf numFmtId="14" fontId="7" fillId="7" borderId="2" xfId="0" applyNumberFormat="1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49" fontId="7" fillId="7" borderId="2" xfId="0" applyNumberFormat="1" applyFont="1" applyFill="1" applyBorder="1" applyAlignment="1">
      <alignment horizontal="center" vertical="center" wrapText="1"/>
    </xf>
    <xf numFmtId="0" fontId="47" fillId="7" borderId="2" xfId="7" applyFont="1" applyFill="1" applyBorder="1" applyAlignment="1">
      <alignment horizontal="center" vertical="center" wrapText="1"/>
    </xf>
    <xf numFmtId="4" fontId="47" fillId="7" borderId="2" xfId="7" applyNumberFormat="1" applyFont="1" applyFill="1" applyBorder="1" applyAlignment="1">
      <alignment horizontal="center" vertical="center" wrapText="1"/>
    </xf>
    <xf numFmtId="0" fontId="47" fillId="7" borderId="2" xfId="7" applyFont="1" applyFill="1" applyBorder="1" applyAlignment="1">
      <alignment horizontal="center" vertical="center"/>
    </xf>
    <xf numFmtId="4" fontId="47" fillId="7" borderId="2" xfId="7" applyNumberFormat="1" applyFont="1" applyFill="1" applyBorder="1" applyAlignment="1">
      <alignment horizontal="center" vertical="center"/>
    </xf>
    <xf numFmtId="14" fontId="47" fillId="7" borderId="2" xfId="2" applyNumberFormat="1" applyFont="1" applyFill="1" applyBorder="1" applyAlignment="1">
      <alignment horizontal="center" vertical="center" wrapText="1"/>
    </xf>
    <xf numFmtId="0" fontId="47" fillId="7" borderId="2" xfId="7" applyNumberFormat="1" applyFont="1" applyFill="1" applyBorder="1" applyAlignment="1">
      <alignment horizontal="center" vertical="center" wrapText="1"/>
    </xf>
    <xf numFmtId="3" fontId="47" fillId="7" borderId="2" xfId="7" applyNumberFormat="1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left" vertical="center" wrapText="1"/>
    </xf>
    <xf numFmtId="49" fontId="7" fillId="2" borderId="0" xfId="0" applyNumberFormat="1" applyFont="1" applyFill="1"/>
    <xf numFmtId="0" fontId="1" fillId="0" borderId="0" xfId="0" applyFont="1"/>
    <xf numFmtId="0" fontId="7" fillId="2" borderId="2" xfId="0" applyFont="1" applyFill="1" applyBorder="1" applyAlignment="1">
      <alignment vertical="center"/>
    </xf>
    <xf numFmtId="0" fontId="47" fillId="7" borderId="2" xfId="4" applyFont="1" applyFill="1" applyBorder="1" applyAlignment="1">
      <alignment horizontal="left" vertical="center" wrapText="1"/>
    </xf>
    <xf numFmtId="4" fontId="7" fillId="0" borderId="2" xfId="0" applyNumberFormat="1" applyFont="1" applyBorder="1" applyAlignment="1">
      <alignment horizontal="left" vertical="center" wrapText="1"/>
    </xf>
    <xf numFmtId="0" fontId="7" fillId="9" borderId="32" xfId="0" applyFont="1" applyFill="1" applyBorder="1" applyAlignment="1">
      <alignment vertical="center"/>
    </xf>
    <xf numFmtId="0" fontId="7" fillId="9" borderId="33" xfId="0" applyFont="1" applyFill="1" applyBorder="1" applyAlignment="1">
      <alignment vertical="center"/>
    </xf>
    <xf numFmtId="0" fontId="7" fillId="9" borderId="34" xfId="0" applyFont="1" applyFill="1" applyBorder="1" applyAlignment="1">
      <alignment vertical="center"/>
    </xf>
    <xf numFmtId="0" fontId="7" fillId="9" borderId="35" xfId="0" applyFont="1" applyFill="1" applyBorder="1" applyAlignment="1">
      <alignment vertical="center"/>
    </xf>
    <xf numFmtId="0" fontId="7" fillId="9" borderId="36" xfId="0" applyFont="1" applyFill="1" applyBorder="1" applyAlignment="1">
      <alignment vertical="center"/>
    </xf>
    <xf numFmtId="0" fontId="7" fillId="9" borderId="37" xfId="0" applyFont="1" applyFill="1" applyBorder="1" applyAlignment="1">
      <alignment vertical="center"/>
    </xf>
    <xf numFmtId="0" fontId="7" fillId="0" borderId="32" xfId="0" applyFont="1" applyBorder="1" applyAlignment="1">
      <alignment horizontal="left" vertical="center" wrapText="1"/>
    </xf>
    <xf numFmtId="0" fontId="7" fillId="0" borderId="34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0" fontId="7" fillId="0" borderId="37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9" borderId="2" xfId="0" applyFont="1" applyFill="1" applyBorder="1" applyAlignment="1">
      <alignment vertical="center"/>
    </xf>
    <xf numFmtId="0" fontId="7" fillId="9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left" vertical="center" wrapText="1"/>
    </xf>
    <xf numFmtId="0" fontId="7" fillId="12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11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6" fillId="10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9" fontId="47" fillId="7" borderId="30" xfId="4" applyNumberFormat="1" applyFont="1" applyFill="1" applyBorder="1" applyAlignment="1">
      <alignment horizontal="left" vertical="center" wrapText="1"/>
    </xf>
    <xf numFmtId="49" fontId="47" fillId="7" borderId="31" xfId="4" applyNumberFormat="1" applyFont="1" applyFill="1" applyBorder="1" applyAlignment="1">
      <alignment horizontal="left" vertical="center" wrapText="1"/>
    </xf>
    <xf numFmtId="49" fontId="47" fillId="7" borderId="23" xfId="4" applyNumberFormat="1" applyFont="1" applyFill="1" applyBorder="1" applyAlignment="1">
      <alignment horizontal="left" vertical="center" wrapText="1"/>
    </xf>
    <xf numFmtId="0" fontId="47" fillId="7" borderId="30" xfId="4" applyFont="1" applyFill="1" applyBorder="1" applyAlignment="1">
      <alignment horizontal="left" vertical="center" wrapText="1"/>
    </xf>
    <xf numFmtId="0" fontId="47" fillId="7" borderId="31" xfId="4" applyFont="1" applyFill="1" applyBorder="1" applyAlignment="1">
      <alignment horizontal="left" vertical="center" wrapText="1"/>
    </xf>
    <xf numFmtId="0" fontId="47" fillId="7" borderId="23" xfId="4" applyFont="1" applyFill="1" applyBorder="1" applyAlignment="1">
      <alignment horizontal="left" vertical="center" wrapText="1"/>
    </xf>
    <xf numFmtId="0" fontId="7" fillId="7" borderId="30" xfId="0" applyFont="1" applyFill="1" applyBorder="1" applyAlignment="1">
      <alignment horizontal="left" vertical="center" wrapText="1"/>
    </xf>
    <xf numFmtId="0" fontId="7" fillId="7" borderId="31" xfId="0" applyFont="1" applyFill="1" applyBorder="1" applyAlignment="1">
      <alignment horizontal="left" vertical="center" wrapText="1"/>
    </xf>
    <xf numFmtId="0" fontId="7" fillId="7" borderId="23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 wrapText="1"/>
    </xf>
    <xf numFmtId="1" fontId="7" fillId="0" borderId="2" xfId="0" applyNumberFormat="1" applyFont="1" applyBorder="1" applyAlignment="1">
      <alignment horizontal="left" vertical="center" wrapText="1"/>
    </xf>
    <xf numFmtId="9" fontId="7" fillId="0" borderId="2" xfId="0" applyNumberFormat="1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/>
    </xf>
    <xf numFmtId="0" fontId="7" fillId="9" borderId="2" xfId="0" applyFont="1" applyFill="1" applyBorder="1" applyAlignment="1">
      <alignment vertical="center" wrapText="1"/>
    </xf>
    <xf numFmtId="4" fontId="7" fillId="7" borderId="30" xfId="0" applyNumberFormat="1" applyFont="1" applyFill="1" applyBorder="1" applyAlignment="1">
      <alignment horizontal="left" vertical="center" wrapText="1"/>
    </xf>
    <xf numFmtId="4" fontId="7" fillId="7" borderId="31" xfId="0" applyNumberFormat="1" applyFont="1" applyFill="1" applyBorder="1" applyAlignment="1">
      <alignment horizontal="left" vertical="center" wrapText="1"/>
    </xf>
    <xf numFmtId="4" fontId="7" fillId="7" borderId="23" xfId="0" applyNumberFormat="1" applyFont="1" applyFill="1" applyBorder="1" applyAlignment="1">
      <alignment horizontal="left" vertical="center" wrapText="1"/>
    </xf>
    <xf numFmtId="4" fontId="47" fillId="7" borderId="2" xfId="4" applyNumberFormat="1" applyFont="1" applyFill="1" applyBorder="1" applyAlignment="1">
      <alignment horizontal="left" vertical="center" wrapText="1"/>
    </xf>
    <xf numFmtId="4" fontId="7" fillId="7" borderId="2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9" borderId="2" xfId="0" applyFont="1" applyFill="1" applyBorder="1" applyAlignment="1">
      <alignment horizontal="left" vertical="center" wrapText="1"/>
    </xf>
    <xf numFmtId="0" fontId="7" fillId="9" borderId="2" xfId="0" applyFont="1" applyFill="1" applyBorder="1" applyAlignment="1">
      <alignment horizontal="left" vertical="center"/>
    </xf>
    <xf numFmtId="0" fontId="7" fillId="0" borderId="47" xfId="0" applyFont="1" applyBorder="1" applyAlignment="1">
      <alignment horizontal="left" vertical="center" wrapText="1"/>
    </xf>
    <xf numFmtId="0" fontId="7" fillId="0" borderId="48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6" fillId="0" borderId="44" xfId="0" applyFont="1" applyBorder="1" applyAlignment="1">
      <alignment horizontal="left" vertical="center" wrapText="1"/>
    </xf>
    <xf numFmtId="0" fontId="6" fillId="0" borderId="49" xfId="0" applyFont="1" applyBorder="1" applyAlignment="1">
      <alignment horizontal="left" vertical="center" wrapText="1"/>
    </xf>
    <xf numFmtId="0" fontId="6" fillId="0" borderId="5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3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43" xfId="0" applyFont="1" applyBorder="1" applyAlignment="1">
      <alignment vertical="center" wrapText="1"/>
    </xf>
    <xf numFmtId="0" fontId="7" fillId="0" borderId="44" xfId="0" applyFont="1" applyBorder="1" applyAlignment="1">
      <alignment horizontal="left" vertical="center" wrapText="1"/>
    </xf>
    <xf numFmtId="0" fontId="7" fillId="0" borderId="45" xfId="0" applyFont="1" applyBorder="1" applyAlignment="1">
      <alignment horizontal="left" vertical="center" wrapText="1"/>
    </xf>
    <xf numFmtId="0" fontId="7" fillId="0" borderId="46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40" xfId="0" applyFont="1" applyBorder="1" applyAlignment="1">
      <alignment horizontal="left" vertical="center" wrapText="1"/>
    </xf>
    <xf numFmtId="0" fontId="7" fillId="0" borderId="41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6" fillId="11" borderId="12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6" fillId="11" borderId="13" xfId="0" applyFont="1" applyFill="1" applyBorder="1" applyAlignment="1">
      <alignment horizontal="center" vertical="center" wrapText="1"/>
    </xf>
    <xf numFmtId="0" fontId="6" fillId="11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left" vertical="center" wrapText="1"/>
    </xf>
    <xf numFmtId="3" fontId="7" fillId="0" borderId="31" xfId="0" applyNumberFormat="1" applyFont="1" applyBorder="1" applyAlignment="1">
      <alignment horizontal="left" vertical="center" wrapText="1"/>
    </xf>
    <xf numFmtId="3" fontId="7" fillId="0" borderId="23" xfId="0" applyNumberFormat="1" applyFont="1" applyBorder="1" applyAlignment="1">
      <alignment horizontal="left" vertical="center" wrapText="1"/>
    </xf>
    <xf numFmtId="3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10" fontId="7" fillId="0" borderId="2" xfId="5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6" fillId="0" borderId="60" xfId="0" applyFont="1" applyBorder="1"/>
    <xf numFmtId="0" fontId="6" fillId="0" borderId="0" xfId="0" applyFont="1"/>
    <xf numFmtId="0" fontId="7" fillId="0" borderId="1" xfId="0" applyFont="1" applyBorder="1"/>
    <xf numFmtId="0" fontId="7" fillId="0" borderId="59" xfId="0" applyFont="1" applyBorder="1"/>
    <xf numFmtId="0" fontId="7" fillId="0" borderId="1" xfId="0" applyFont="1" applyBorder="1" applyAlignment="1">
      <alignment horizontal="left" wrapText="1"/>
    </xf>
    <xf numFmtId="166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 vertical="center" wrapText="1"/>
    </xf>
    <xf numFmtId="0" fontId="41" fillId="0" borderId="60" xfId="0" applyFont="1" applyBorder="1"/>
    <xf numFmtId="0" fontId="41" fillId="0" borderId="0" xfId="0" applyFont="1"/>
    <xf numFmtId="0" fontId="43" fillId="0" borderId="1" xfId="0" applyFont="1" applyBorder="1"/>
    <xf numFmtId="3" fontId="10" fillId="0" borderId="1" xfId="0" applyNumberFormat="1" applyFont="1" applyBorder="1" applyAlignment="1">
      <alignment horizontal="center" vertical="center" wrapText="1"/>
    </xf>
    <xf numFmtId="3" fontId="7" fillId="0" borderId="24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3" fontId="7" fillId="0" borderId="1" xfId="0" applyNumberFormat="1" applyFont="1" applyBorder="1"/>
    <xf numFmtId="0" fontId="45" fillId="0" borderId="60" xfId="0" applyFont="1" applyBorder="1"/>
    <xf numFmtId="0" fontId="45" fillId="0" borderId="0" xfId="0" applyFont="1"/>
    <xf numFmtId="3" fontId="7" fillId="0" borderId="24" xfId="0" applyNumberFormat="1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 wrapText="1"/>
    </xf>
    <xf numFmtId="3" fontId="10" fillId="0" borderId="24" xfId="0" applyNumberFormat="1" applyFont="1" applyBorder="1" applyAlignment="1">
      <alignment horizontal="center" vertical="center" wrapText="1"/>
    </xf>
    <xf numFmtId="3" fontId="10" fillId="0" borderId="9" xfId="0" applyNumberFormat="1" applyFont="1" applyBorder="1" applyAlignment="1">
      <alignment horizontal="center" vertical="center" wrapText="1"/>
    </xf>
    <xf numFmtId="0" fontId="7" fillId="0" borderId="24" xfId="0" applyFont="1" applyBorder="1"/>
    <xf numFmtId="0" fontId="7" fillId="0" borderId="9" xfId="0" applyFont="1" applyBorder="1"/>
    <xf numFmtId="166" fontId="7" fillId="0" borderId="24" xfId="0" applyNumberFormat="1" applyFont="1" applyBorder="1" applyAlignment="1">
      <alignment horizontal="center"/>
    </xf>
    <xf numFmtId="166" fontId="7" fillId="0" borderId="9" xfId="0" applyNumberFormat="1" applyFont="1" applyBorder="1" applyAlignment="1">
      <alignment horizontal="center"/>
    </xf>
    <xf numFmtId="3" fontId="43" fillId="0" borderId="1" xfId="0" applyNumberFormat="1" applyFont="1" applyBorder="1" applyAlignment="1">
      <alignment horizontal="center" vertical="center" wrapText="1"/>
    </xf>
    <xf numFmtId="0" fontId="43" fillId="7" borderId="1" xfId="0" applyFont="1" applyFill="1" applyBorder="1"/>
    <xf numFmtId="10" fontId="43" fillId="7" borderId="1" xfId="5" applyNumberFormat="1" applyFont="1" applyFill="1" applyBorder="1" applyAlignment="1">
      <alignment horizontal="center"/>
    </xf>
    <xf numFmtId="10" fontId="43" fillId="7" borderId="1" xfId="0" applyNumberFormat="1" applyFont="1" applyFill="1" applyBorder="1" applyAlignment="1">
      <alignment horizontal="center"/>
    </xf>
    <xf numFmtId="0" fontId="25" fillId="0" borderId="62" xfId="0" applyFont="1" applyBorder="1" applyAlignment="1">
      <alignment horizontal="left"/>
    </xf>
    <xf numFmtId="0" fontId="25" fillId="0" borderId="31" xfId="0" applyFont="1" applyBorder="1" applyAlignment="1">
      <alignment horizontal="left"/>
    </xf>
    <xf numFmtId="0" fontId="25" fillId="0" borderId="63" xfId="0" applyFont="1" applyBorder="1" applyAlignment="1">
      <alignment horizontal="left"/>
    </xf>
    <xf numFmtId="10" fontId="7" fillId="0" borderId="62" xfId="0" applyNumberFormat="1" applyFont="1" applyBorder="1" applyAlignment="1">
      <alignment horizontal="center"/>
    </xf>
    <xf numFmtId="10" fontId="7" fillId="0" borderId="63" xfId="0" applyNumberFormat="1" applyFont="1" applyBorder="1" applyAlignment="1">
      <alignment horizontal="center"/>
    </xf>
    <xf numFmtId="0" fontId="20" fillId="0" borderId="62" xfId="0" applyFont="1" applyBorder="1" applyAlignment="1">
      <alignment horizontal="left"/>
    </xf>
    <xf numFmtId="0" fontId="20" fillId="0" borderId="31" xfId="0" applyFont="1" applyBorder="1" applyAlignment="1">
      <alignment horizontal="left"/>
    </xf>
    <xf numFmtId="0" fontId="20" fillId="0" borderId="63" xfId="0" applyFont="1" applyBorder="1" applyAlignment="1">
      <alignment horizontal="left"/>
    </xf>
    <xf numFmtId="3" fontId="10" fillId="0" borderId="27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0" fontId="0" fillId="0" borderId="1" xfId="0" applyNumberFormat="1" applyBorder="1" applyAlignment="1">
      <alignment horizontal="center" vertical="center"/>
    </xf>
    <xf numFmtId="0" fontId="48" fillId="7" borderId="56" xfId="0" applyFont="1" applyFill="1" applyBorder="1" applyAlignment="1">
      <alignment horizontal="center" vertical="center" wrapText="1"/>
    </xf>
    <xf numFmtId="0" fontId="3" fillId="7" borderId="61" xfId="0" applyFont="1" applyFill="1" applyBorder="1" applyAlignment="1">
      <alignment horizontal="center" vertical="center" wrapText="1"/>
    </xf>
    <xf numFmtId="0" fontId="3" fillId="7" borderId="60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10" fontId="0" fillId="0" borderId="24" xfId="5" applyNumberFormat="1" applyFont="1" applyBorder="1" applyAlignment="1">
      <alignment horizontal="center" vertical="center"/>
    </xf>
    <xf numFmtId="10" fontId="0" fillId="0" borderId="9" xfId="5" applyNumberFormat="1" applyFont="1" applyBorder="1" applyAlignment="1">
      <alignment horizontal="center" vertical="center"/>
    </xf>
    <xf numFmtId="0" fontId="20" fillId="0" borderId="64" xfId="0" applyFont="1" applyBorder="1" applyAlignment="1">
      <alignment horizontal="left"/>
    </xf>
    <xf numFmtId="0" fontId="20" fillId="0" borderId="65" xfId="0" applyFont="1" applyBorder="1" applyAlignment="1">
      <alignment horizontal="left"/>
    </xf>
    <xf numFmtId="0" fontId="20" fillId="0" borderId="66" xfId="0" applyFont="1" applyBorder="1" applyAlignment="1">
      <alignment horizontal="left"/>
    </xf>
    <xf numFmtId="10" fontId="7" fillId="0" borderId="64" xfId="0" applyNumberFormat="1" applyFont="1" applyBorder="1" applyAlignment="1">
      <alignment horizontal="center"/>
    </xf>
    <xf numFmtId="10" fontId="7" fillId="0" borderId="66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 vertical="center" wrapText="1"/>
    </xf>
    <xf numFmtId="166" fontId="7" fillId="0" borderId="1" xfId="0" applyNumberFormat="1" applyFont="1" applyBorder="1" applyAlignment="1">
      <alignment horizontal="center" vertical="center"/>
    </xf>
    <xf numFmtId="3" fontId="7" fillId="0" borderId="24" xfId="0" applyNumberFormat="1" applyFont="1" applyBorder="1" applyAlignment="1">
      <alignment horizontal="center" vertical="center"/>
    </xf>
    <xf numFmtId="3" fontId="7" fillId="0" borderId="9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center"/>
    </xf>
    <xf numFmtId="3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26" xfId="0" applyFont="1" applyBorder="1"/>
    <xf numFmtId="0" fontId="6" fillId="0" borderId="22" xfId="0" applyFont="1" applyBorder="1"/>
    <xf numFmtId="3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/>
    <xf numFmtId="0" fontId="7" fillId="0" borderId="0" xfId="0" applyFont="1"/>
    <xf numFmtId="0" fontId="20" fillId="0" borderId="1" xfId="0" applyFont="1" applyBorder="1" applyAlignment="1">
      <alignment vertical="center" wrapText="1"/>
    </xf>
    <xf numFmtId="169" fontId="7" fillId="0" borderId="1" xfId="0" applyNumberFormat="1" applyFont="1" applyBorder="1" applyAlignment="1">
      <alignment horizontal="center" vertical="center"/>
    </xf>
    <xf numFmtId="0" fontId="20" fillId="0" borderId="59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7" fillId="0" borderId="56" xfId="0" applyFont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3" fontId="7" fillId="0" borderId="52" xfId="0" applyNumberFormat="1" applyFont="1" applyBorder="1" applyAlignment="1">
      <alignment horizontal="center" vertical="center" wrapText="1"/>
    </xf>
    <xf numFmtId="3" fontId="7" fillId="0" borderId="55" xfId="0" applyNumberFormat="1" applyFont="1" applyBorder="1" applyAlignment="1">
      <alignment horizontal="center" vertical="center" wrapText="1"/>
    </xf>
    <xf numFmtId="3" fontId="7" fillId="0" borderId="53" xfId="0" applyNumberFormat="1" applyFont="1" applyBorder="1" applyAlignment="1">
      <alignment horizontal="center" vertical="center" wrapText="1"/>
    </xf>
    <xf numFmtId="3" fontId="7" fillId="0" borderId="57" xfId="0" applyNumberFormat="1" applyFont="1" applyBorder="1" applyAlignment="1">
      <alignment horizontal="center" vertical="center"/>
    </xf>
    <xf numFmtId="3" fontId="7" fillId="0" borderId="14" xfId="0" applyNumberFormat="1" applyFont="1" applyBorder="1" applyAlignment="1">
      <alignment horizontal="center" vertical="center"/>
    </xf>
    <xf numFmtId="3" fontId="7" fillId="0" borderId="58" xfId="0" applyNumberFormat="1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2" xfId="0" applyFont="1" applyBorder="1" applyAlignment="1">
      <alignment vertical="center" wrapText="1"/>
    </xf>
    <xf numFmtId="0" fontId="7" fillId="0" borderId="53" xfId="0" applyFont="1" applyBorder="1" applyAlignment="1">
      <alignment vertical="center" wrapText="1"/>
    </xf>
    <xf numFmtId="3" fontId="7" fillId="0" borderId="55" xfId="0" applyNumberFormat="1" applyFont="1" applyBorder="1" applyAlignment="1">
      <alignment horizontal="center" vertical="center"/>
    </xf>
    <xf numFmtId="3" fontId="7" fillId="0" borderId="53" xfId="0" applyNumberFormat="1" applyFont="1" applyBorder="1" applyAlignment="1">
      <alignment horizontal="center" vertical="center"/>
    </xf>
    <xf numFmtId="0" fontId="22" fillId="0" borderId="38" xfId="0" applyFont="1" applyBorder="1" applyAlignment="1">
      <alignment vertical="center"/>
    </xf>
    <xf numFmtId="0" fontId="22" fillId="0" borderId="17" xfId="0" applyFont="1" applyBorder="1" applyAlignment="1">
      <alignment vertical="center"/>
    </xf>
    <xf numFmtId="3" fontId="22" fillId="0" borderId="37" xfId="0" applyNumberFormat="1" applyFont="1" applyBorder="1" applyAlignment="1">
      <alignment horizontal="center" vertical="center"/>
    </xf>
    <xf numFmtId="3" fontId="22" fillId="0" borderId="11" xfId="0" applyNumberFormat="1" applyFont="1" applyBorder="1" applyAlignment="1">
      <alignment horizontal="center" vertical="center"/>
    </xf>
    <xf numFmtId="3" fontId="22" fillId="0" borderId="17" xfId="0" applyNumberFormat="1" applyFont="1" applyBorder="1" applyAlignment="1">
      <alignment horizontal="center" vertical="center"/>
    </xf>
    <xf numFmtId="0" fontId="22" fillId="0" borderId="5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3" fontId="22" fillId="0" borderId="23" xfId="0" applyNumberFormat="1" applyFont="1" applyBorder="1" applyAlignment="1">
      <alignment horizontal="center" vertical="center"/>
    </xf>
    <xf numFmtId="3" fontId="22" fillId="0" borderId="2" xfId="0" applyNumberFormat="1" applyFont="1" applyBorder="1" applyAlignment="1">
      <alignment horizontal="center" vertical="center"/>
    </xf>
    <xf numFmtId="3" fontId="22" fillId="0" borderId="3" xfId="0" applyNumberFormat="1" applyFont="1" applyBorder="1" applyAlignment="1">
      <alignment horizontal="center" vertical="center"/>
    </xf>
    <xf numFmtId="10" fontId="6" fillId="0" borderId="24" xfId="5" applyNumberFormat="1" applyFont="1" applyFill="1" applyBorder="1" applyAlignment="1">
      <alignment horizontal="center" vertical="center"/>
    </xf>
    <xf numFmtId="10" fontId="6" fillId="0" borderId="27" xfId="5" applyNumberFormat="1" applyFont="1" applyFill="1" applyBorder="1" applyAlignment="1">
      <alignment horizontal="center" vertical="center"/>
    </xf>
    <xf numFmtId="10" fontId="6" fillId="0" borderId="9" xfId="5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166" fontId="7" fillId="0" borderId="23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166" fontId="7" fillId="0" borderId="5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3" fontId="7" fillId="0" borderId="27" xfId="0" applyNumberFormat="1" applyFont="1" applyBorder="1" applyAlignment="1">
      <alignment horizontal="center" vertical="center"/>
    </xf>
    <xf numFmtId="0" fontId="6" fillId="0" borderId="6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3" fontId="7" fillId="0" borderId="24" xfId="0" applyNumberFormat="1" applyFont="1" applyBorder="1"/>
    <xf numFmtId="3" fontId="7" fillId="0" borderId="9" xfId="0" applyNumberFormat="1" applyFont="1" applyBorder="1"/>
    <xf numFmtId="0" fontId="10" fillId="0" borderId="26" xfId="0" applyFont="1" applyBorder="1"/>
    <xf numFmtId="0" fontId="10" fillId="0" borderId="22" xfId="0" applyFont="1" applyBorder="1"/>
    <xf numFmtId="0" fontId="10" fillId="0" borderId="26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60" xfId="0" applyFont="1" applyBorder="1"/>
    <xf numFmtId="0" fontId="10" fillId="0" borderId="0" xfId="0" applyFont="1"/>
    <xf numFmtId="3" fontId="6" fillId="0" borderId="31" xfId="0" applyNumberFormat="1" applyFont="1" applyBorder="1" applyAlignment="1">
      <alignment vertical="center" wrapText="1"/>
    </xf>
    <xf numFmtId="3" fontId="6" fillId="0" borderId="23" xfId="0" applyNumberFormat="1" applyFont="1" applyBorder="1" applyAlignment="1">
      <alignment vertical="center" wrapText="1"/>
    </xf>
    <xf numFmtId="3" fontId="7" fillId="9" borderId="2" xfId="0" applyNumberFormat="1" applyFont="1" applyFill="1" applyBorder="1" applyAlignment="1">
      <alignment horizontal="center" vertical="center" wrapText="1"/>
    </xf>
    <xf numFmtId="3" fontId="7" fillId="9" borderId="30" xfId="0" applyNumberFormat="1" applyFont="1" applyFill="1" applyBorder="1" applyAlignment="1">
      <alignment horizontal="center" vertical="center" wrapText="1"/>
    </xf>
    <xf numFmtId="3" fontId="7" fillId="9" borderId="31" xfId="0" applyNumberFormat="1" applyFont="1" applyFill="1" applyBorder="1" applyAlignment="1">
      <alignment horizontal="center" vertical="center" wrapText="1"/>
    </xf>
    <xf numFmtId="3" fontId="7" fillId="9" borderId="23" xfId="0" applyNumberFormat="1" applyFont="1" applyFill="1" applyBorder="1" applyAlignment="1">
      <alignment horizontal="center" vertical="center" wrapText="1"/>
    </xf>
    <xf numFmtId="3" fontId="7" fillId="0" borderId="30" xfId="0" applyNumberFormat="1" applyFont="1" applyBorder="1" applyAlignment="1">
      <alignment horizontal="center" vertical="center" wrapText="1"/>
    </xf>
    <xf numFmtId="3" fontId="7" fillId="0" borderId="31" xfId="0" applyNumberFormat="1" applyFont="1" applyBorder="1" applyAlignment="1">
      <alignment horizontal="center" vertical="center" wrapText="1"/>
    </xf>
    <xf numFmtId="12" fontId="7" fillId="0" borderId="2" xfId="0" applyNumberFormat="1" applyFont="1" applyBorder="1" applyAlignment="1">
      <alignment horizontal="center" vertical="center" wrapText="1"/>
    </xf>
    <xf numFmtId="3" fontId="6" fillId="0" borderId="2" xfId="0" applyNumberFormat="1" applyFont="1" applyBorder="1" applyAlignment="1">
      <alignment vertical="center" wrapText="1"/>
    </xf>
    <xf numFmtId="3" fontId="6" fillId="0" borderId="30" xfId="0" applyNumberFormat="1" applyFont="1" applyBorder="1" applyAlignment="1">
      <alignment vertical="center" wrapText="1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15" xfId="0" applyNumberFormat="1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4" fontId="7" fillId="0" borderId="13" xfId="0" applyNumberFormat="1" applyFont="1" applyBorder="1" applyAlignment="1">
      <alignment horizontal="center" vertical="center" wrapText="1"/>
    </xf>
    <xf numFmtId="0" fontId="7" fillId="9" borderId="28" xfId="0" applyFont="1" applyFill="1" applyBorder="1" applyAlignment="1">
      <alignment horizontal="center" vertical="center" wrapText="1"/>
    </xf>
    <xf numFmtId="0" fontId="7" fillId="9" borderId="29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9" fontId="7" fillId="2" borderId="2" xfId="0" applyNumberFormat="1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right" vertical="center" wrapText="1"/>
    </xf>
    <xf numFmtId="0" fontId="7" fillId="0" borderId="31" xfId="0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7" fillId="9" borderId="30" xfId="0" applyFont="1" applyFill="1" applyBorder="1" applyAlignment="1">
      <alignment horizontal="center" vertical="center" wrapText="1"/>
    </xf>
    <xf numFmtId="0" fontId="7" fillId="9" borderId="23" xfId="0" applyFont="1" applyFill="1" applyBorder="1" applyAlignment="1">
      <alignment horizontal="center" vertical="center" wrapText="1"/>
    </xf>
    <xf numFmtId="4" fontId="7" fillId="0" borderId="30" xfId="0" applyNumberFormat="1" applyFont="1" applyBorder="1" applyAlignment="1">
      <alignment horizontal="center" vertical="center" wrapText="1"/>
    </xf>
    <xf numFmtId="4" fontId="7" fillId="0" borderId="23" xfId="0" applyNumberFormat="1" applyFont="1" applyBorder="1" applyAlignment="1">
      <alignment horizontal="center" vertical="center" wrapText="1"/>
    </xf>
    <xf numFmtId="168" fontId="7" fillId="0" borderId="31" xfId="0" applyNumberFormat="1" applyFont="1" applyBorder="1" applyAlignment="1">
      <alignment horizontal="left" vertical="center" wrapText="1"/>
    </xf>
    <xf numFmtId="168" fontId="7" fillId="0" borderId="23" xfId="0" applyNumberFormat="1" applyFont="1" applyBorder="1" applyAlignment="1">
      <alignment horizontal="left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4" fontId="7" fillId="0" borderId="2" xfId="0" applyNumberFormat="1" applyFont="1" applyBorder="1" applyAlignment="1">
      <alignment horizontal="center" vertical="center" wrapText="1"/>
    </xf>
  </cellXfs>
  <cellStyles count="8">
    <cellStyle name="Гиперссылка" xfId="1" builtinId="8"/>
    <cellStyle name="Нейтральный" xfId="2" builtinId="28"/>
    <cellStyle name="Обычный" xfId="0" builtinId="0"/>
    <cellStyle name="Обычный 2" xfId="3" xr:uid="{00000000-0005-0000-0000-000003000000}"/>
    <cellStyle name="Плохой" xfId="4" builtinId="27"/>
    <cellStyle name="Процентный" xfId="5" builtinId="5"/>
    <cellStyle name="Финансовый" xfId="6" builtinId="3"/>
    <cellStyle name="Хороший" xfId="7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245938315118952E-2"/>
          <c:y val="1.2321266096603794E-2"/>
          <c:w val="0.74586492802015303"/>
          <c:h val="0.777889383362505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Сравнительный!$C$2</c:f>
              <c:strCache>
                <c:ptCount val="1"/>
                <c:pt idx="0">
                  <c:v>Аналог №1</c:v>
                </c:pt>
              </c:strCache>
            </c:strRef>
          </c:tx>
          <c:yVal>
            <c:numRef>
              <c:f>(Сравнительный!$C$39,Сравнительный!$C$42,Сравнительный!$C$45,Сравнительный!$C$54,Сравнительный!$C$57,Сравнительный!$C$60,Сравнительный!$C$63,Сравнительный!$C$66,Сравнительный!$C$71,Сравнительный!$C$74,Сравнительный!$C$77,Сравнительный!$C$80,Сравнительный!$C$86)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1B-4AE4-ABAE-FA7193ED048D}"/>
            </c:ext>
          </c:extLst>
        </c:ser>
        <c:ser>
          <c:idx val="1"/>
          <c:order val="1"/>
          <c:tx>
            <c:strRef>
              <c:f>Сравнительный!$D$38</c:f>
              <c:strCache>
                <c:ptCount val="1"/>
                <c:pt idx="0">
                  <c:v>Аналог №4</c:v>
                </c:pt>
              </c:strCache>
            </c:strRef>
          </c:tx>
          <c:yVal>
            <c:numRef>
              <c:f>(Сравнительный!$D$39,Сравнительный!$D$42,Сравнительный!$D$45,Сравнительный!$D$54,Сравнительный!$D$57,Сравнительный!$D$60,Сравнительный!$D$63,Сравнительный!$D$66,Сравнительный!$D$71,Сравнительный!$D$74,Сравнительный!$D$77,Сравнительный!$D$80,Сравнительный!$D$86)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1B-4AE4-ABAE-FA7193ED048D}"/>
            </c:ext>
          </c:extLst>
        </c:ser>
        <c:ser>
          <c:idx val="2"/>
          <c:order val="2"/>
          <c:tx>
            <c:strRef>
              <c:f>Сравнительный!$E$38</c:f>
              <c:strCache>
                <c:ptCount val="1"/>
                <c:pt idx="0">
                  <c:v>Аналог №3</c:v>
                </c:pt>
              </c:strCache>
            </c:strRef>
          </c:tx>
          <c:yVal>
            <c:numRef>
              <c:f>(Сравнительный!$E$39,Сравнительный!$E$42,Сравнительный!$E$45,Сравнительный!$E$54,Сравнительный!$E$57,Сравнительный!$E$60,Сравнительный!$E$63,Сравнительный!$E$66,Сравнительный!$E$71,Сравнительный!$E$74,Сравнительный!$E$77,Сравнительный!$E$80,Сравнительный!$E$86)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1B-4AE4-ABAE-FA7193ED048D}"/>
            </c:ext>
          </c:extLst>
        </c:ser>
        <c:ser>
          <c:idx val="3"/>
          <c:order val="3"/>
          <c:tx>
            <c:strRef>
              <c:f>Сравнительный!$F$38</c:f>
              <c:strCache>
                <c:ptCount val="1"/>
                <c:pt idx="0">
                  <c:v>Аналог №4</c:v>
                </c:pt>
              </c:strCache>
            </c:strRef>
          </c:tx>
          <c:yVal>
            <c:numRef>
              <c:f>(Сравнительный!$F$39,Сравнительный!$F$42,Сравнительный!$F$45,Сравнительный!$F$54,Сравнительный!$F$57,Сравнительный!$F$60,Сравнительный!$F$63,Сравнительный!$F$66,Сравнительный!$F$71,Сравнительный!$F$74,Сравнительный!$F$77,Сравнительный!$F$80,Сравнительный!$F$86)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1B-4AE4-ABAE-FA7193ED048D}"/>
            </c:ext>
          </c:extLst>
        </c:ser>
        <c:ser>
          <c:idx val="4"/>
          <c:order val="4"/>
          <c:tx>
            <c:strRef>
              <c:f>Сравнительный!$G$38</c:f>
              <c:strCache>
                <c:ptCount val="1"/>
                <c:pt idx="0">
                  <c:v>Аналог №5</c:v>
                </c:pt>
              </c:strCache>
            </c:strRef>
          </c:tx>
          <c:yVal>
            <c:numRef>
              <c:f>(Сравнительный!$G$39,Сравнительный!$G$42,Сравнительный!$G$45,Сравнительный!$G$54,Сравнительный!$G$57,Сравнительный!$G$60,Сравнительный!$G$63,Сравнительный!$G$66,Сравнительный!$G$71,Сравнительный!$G$74,Сравнительный!$G$77,Сравнительный!$G$80,Сравнительный!$G$86)</c:f>
            </c:numRef>
          </c:yVal>
          <c:smooth val="1"/>
          <c:extLst>
            <c:ext xmlns:c16="http://schemas.microsoft.com/office/drawing/2014/chart" uri="{C3380CC4-5D6E-409C-BE32-E72D297353CC}">
              <c16:uniqueId val="{00000004-0F1B-4AE4-ABAE-FA7193ED048D}"/>
            </c:ext>
          </c:extLst>
        </c:ser>
        <c:ser>
          <c:idx val="5"/>
          <c:order val="5"/>
          <c:tx>
            <c:strRef>
              <c:f>Сравнительный!$B$38</c:f>
              <c:strCache>
                <c:ptCount val="1"/>
                <c:pt idx="0">
                  <c:v>Объект оценки</c:v>
                </c:pt>
              </c:strCache>
            </c:strRef>
          </c:tx>
          <c:xVal>
            <c:numLit>
              <c:formatCode>General</c:formatCode>
              <c:ptCount val="1"/>
              <c:pt idx="0">
                <c:v>13</c:v>
              </c:pt>
            </c:numLit>
          </c:xVal>
          <c:yVal>
            <c:numRef>
              <c:f>Сравнительный!$B$95</c:f>
              <c:numCache>
                <c:formatCode>#,##0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1B-4AE4-ABAE-FA7193ED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10368"/>
        <c:axId val="218454272"/>
      </c:scatterChart>
      <c:valAx>
        <c:axId val="2180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Номер корректировки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8454272"/>
        <c:crosses val="autoZero"/>
        <c:crossBetween val="midCat"/>
      </c:valAx>
      <c:valAx>
        <c:axId val="218454272"/>
        <c:scaling>
          <c:orientation val="minMax"/>
          <c:min val="15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Стоимость кв.м. / тыс. руб.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80103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19</xdr:row>
      <xdr:rowOff>47625</xdr:rowOff>
    </xdr:from>
    <xdr:to>
      <xdr:col>18</xdr:col>
      <xdr:colOff>171450</xdr:colOff>
      <xdr:row>45</xdr:row>
      <xdr:rowOff>180975</xdr:rowOff>
    </xdr:to>
    <xdr:graphicFrame macro="">
      <xdr:nvGraphicFramePr>
        <xdr:cNvPr id="8211270" name="Диаграмма 2">
          <a:extLst>
            <a:ext uri="{FF2B5EF4-FFF2-40B4-BE49-F238E27FC236}">
              <a16:creationId xmlns:a16="http://schemas.microsoft.com/office/drawing/2014/main" id="{00000000-0008-0000-0400-0000464B7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66675</xdr:colOff>
      <xdr:row>56</xdr:row>
      <xdr:rowOff>76200</xdr:rowOff>
    </xdr:from>
    <xdr:to>
      <xdr:col>19</xdr:col>
      <xdr:colOff>104775</xdr:colOff>
      <xdr:row>67</xdr:row>
      <xdr:rowOff>85725</xdr:rowOff>
    </xdr:to>
    <xdr:pic>
      <xdr:nvPicPr>
        <xdr:cNvPr id="8211271" name="Рисунок 9">
          <a:extLst>
            <a:ext uri="{FF2B5EF4-FFF2-40B4-BE49-F238E27FC236}">
              <a16:creationId xmlns:a16="http://schemas.microsoft.com/office/drawing/2014/main" id="{00000000-0008-0000-0400-0000474B7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182350" y="11182350"/>
          <a:ext cx="2476500" cy="2105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76</xdr:row>
      <xdr:rowOff>152400</xdr:rowOff>
    </xdr:from>
    <xdr:to>
      <xdr:col>18</xdr:col>
      <xdr:colOff>19050</xdr:colOff>
      <xdr:row>81</xdr:row>
      <xdr:rowOff>133350</xdr:rowOff>
    </xdr:to>
    <xdr:pic>
      <xdr:nvPicPr>
        <xdr:cNvPr id="8211272" name="Рисунок 10">
          <a:extLst>
            <a:ext uri="{FF2B5EF4-FFF2-40B4-BE49-F238E27FC236}">
              <a16:creationId xmlns:a16="http://schemas.microsoft.com/office/drawing/2014/main" id="{00000000-0008-0000-0400-0000484B7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15675" y="15411450"/>
          <a:ext cx="1847850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276225</xdr:colOff>
      <xdr:row>46</xdr:row>
      <xdr:rowOff>161925</xdr:rowOff>
    </xdr:from>
    <xdr:to>
      <xdr:col>25</xdr:col>
      <xdr:colOff>523875</xdr:colOff>
      <xdr:row>73</xdr:row>
      <xdr:rowOff>66675</xdr:rowOff>
    </xdr:to>
    <xdr:pic>
      <xdr:nvPicPr>
        <xdr:cNvPr id="8211273" name="Рисунок 1">
          <a:extLst>
            <a:ext uri="{FF2B5EF4-FFF2-40B4-BE49-F238E27FC236}">
              <a16:creationId xmlns:a16="http://schemas.microsoft.com/office/drawing/2014/main" id="{00000000-0008-0000-0400-0000494B7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220700" y="9144000"/>
          <a:ext cx="4514850" cy="5610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2</xdr:col>
      <xdr:colOff>0</xdr:colOff>
      <xdr:row>3</xdr:row>
      <xdr:rowOff>0</xdr:rowOff>
    </xdr:to>
    <xdr:sp macro="" textlink="">
      <xdr:nvSpPr>
        <xdr:cNvPr id="8279908" name="Line 1">
          <a:extLst>
            <a:ext uri="{FF2B5EF4-FFF2-40B4-BE49-F238E27FC236}">
              <a16:creationId xmlns:a16="http://schemas.microsoft.com/office/drawing/2014/main" id="{00000000-0008-0000-0600-000064577E00}"/>
            </a:ext>
          </a:extLst>
        </xdr:cNvPr>
        <xdr:cNvSpPr>
          <a:spLocks noChangeShapeType="1"/>
        </xdr:cNvSpPr>
      </xdr:nvSpPr>
      <xdr:spPr bwMode="auto">
        <a:xfrm flipH="1" flipV="1">
          <a:off x="0" y="333375"/>
          <a:ext cx="1495425" cy="790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12</xdr:row>
      <xdr:rowOff>9525</xdr:rowOff>
    </xdr:from>
    <xdr:to>
      <xdr:col>2</xdr:col>
      <xdr:colOff>0</xdr:colOff>
      <xdr:row>13</xdr:row>
      <xdr:rowOff>0</xdr:rowOff>
    </xdr:to>
    <xdr:sp macro="" textlink="">
      <xdr:nvSpPr>
        <xdr:cNvPr id="8279909" name="Line 2">
          <a:extLst>
            <a:ext uri="{FF2B5EF4-FFF2-40B4-BE49-F238E27FC236}">
              <a16:creationId xmlns:a16="http://schemas.microsoft.com/office/drawing/2014/main" id="{00000000-0008-0000-0600-000065577E00}"/>
            </a:ext>
          </a:extLst>
        </xdr:cNvPr>
        <xdr:cNvSpPr>
          <a:spLocks noChangeShapeType="1"/>
        </xdr:cNvSpPr>
      </xdr:nvSpPr>
      <xdr:spPr bwMode="auto">
        <a:xfrm flipH="1" flipV="1">
          <a:off x="0" y="2590800"/>
          <a:ext cx="1495425" cy="809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</xdr:row>
      <xdr:rowOff>9525</xdr:rowOff>
    </xdr:from>
    <xdr:to>
      <xdr:col>2</xdr:col>
      <xdr:colOff>0</xdr:colOff>
      <xdr:row>24</xdr:row>
      <xdr:rowOff>0</xdr:rowOff>
    </xdr:to>
    <xdr:sp macro="" textlink="">
      <xdr:nvSpPr>
        <xdr:cNvPr id="8279910" name="Line 3">
          <a:extLst>
            <a:ext uri="{FF2B5EF4-FFF2-40B4-BE49-F238E27FC236}">
              <a16:creationId xmlns:a16="http://schemas.microsoft.com/office/drawing/2014/main" id="{00000000-0008-0000-0600-000066577E00}"/>
            </a:ext>
          </a:extLst>
        </xdr:cNvPr>
        <xdr:cNvSpPr>
          <a:spLocks noChangeShapeType="1"/>
        </xdr:cNvSpPr>
      </xdr:nvSpPr>
      <xdr:spPr bwMode="auto">
        <a:xfrm flipH="1" flipV="1">
          <a:off x="0" y="5029200"/>
          <a:ext cx="1495425" cy="571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16</xdr:col>
      <xdr:colOff>0</xdr:colOff>
      <xdr:row>41</xdr:row>
      <xdr:rowOff>0</xdr:rowOff>
    </xdr:from>
    <xdr:to>
      <xdr:col>16</xdr:col>
      <xdr:colOff>76200</xdr:colOff>
      <xdr:row>41</xdr:row>
      <xdr:rowOff>9525</xdr:rowOff>
    </xdr:to>
    <xdr:pic>
      <xdr:nvPicPr>
        <xdr:cNvPr id="8279911" name="Picture 5" descr="x">
          <a:extLst>
            <a:ext uri="{FF2B5EF4-FFF2-40B4-BE49-F238E27FC236}">
              <a16:creationId xmlns:a16="http://schemas.microsoft.com/office/drawing/2014/main" id="{00000000-0008-0000-0600-000067577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63150" y="87820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31</xdr:row>
      <xdr:rowOff>9525</xdr:rowOff>
    </xdr:from>
    <xdr:to>
      <xdr:col>2</xdr:col>
      <xdr:colOff>28575</xdr:colOff>
      <xdr:row>32</xdr:row>
      <xdr:rowOff>0</xdr:rowOff>
    </xdr:to>
    <xdr:sp macro="" textlink="">
      <xdr:nvSpPr>
        <xdr:cNvPr id="8279912" name="Line 6">
          <a:extLst>
            <a:ext uri="{FF2B5EF4-FFF2-40B4-BE49-F238E27FC236}">
              <a16:creationId xmlns:a16="http://schemas.microsoft.com/office/drawing/2014/main" id="{00000000-0008-0000-0600-000068577E00}"/>
            </a:ext>
          </a:extLst>
        </xdr:cNvPr>
        <xdr:cNvSpPr>
          <a:spLocks noChangeShapeType="1"/>
        </xdr:cNvSpPr>
      </xdr:nvSpPr>
      <xdr:spPr bwMode="auto">
        <a:xfrm flipH="1" flipV="1">
          <a:off x="28575" y="6667500"/>
          <a:ext cx="1495425" cy="657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44</xdr:row>
      <xdr:rowOff>9525</xdr:rowOff>
    </xdr:from>
    <xdr:to>
      <xdr:col>2</xdr:col>
      <xdr:colOff>0</xdr:colOff>
      <xdr:row>45</xdr:row>
      <xdr:rowOff>0</xdr:rowOff>
    </xdr:to>
    <xdr:sp macro="" textlink="">
      <xdr:nvSpPr>
        <xdr:cNvPr id="8279913" name="Line 7">
          <a:extLst>
            <a:ext uri="{FF2B5EF4-FFF2-40B4-BE49-F238E27FC236}">
              <a16:creationId xmlns:a16="http://schemas.microsoft.com/office/drawing/2014/main" id="{00000000-0008-0000-0600-000069577E00}"/>
            </a:ext>
          </a:extLst>
        </xdr:cNvPr>
        <xdr:cNvSpPr>
          <a:spLocks noChangeShapeType="1"/>
        </xdr:cNvSpPr>
      </xdr:nvSpPr>
      <xdr:spPr bwMode="auto">
        <a:xfrm flipH="1" flipV="1">
          <a:off x="0" y="9277350"/>
          <a:ext cx="149542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44</xdr:row>
      <xdr:rowOff>9525</xdr:rowOff>
    </xdr:from>
    <xdr:to>
      <xdr:col>2</xdr:col>
      <xdr:colOff>0</xdr:colOff>
      <xdr:row>45</xdr:row>
      <xdr:rowOff>0</xdr:rowOff>
    </xdr:to>
    <xdr:sp macro="" textlink="">
      <xdr:nvSpPr>
        <xdr:cNvPr id="8279914" name="Line 8">
          <a:extLst>
            <a:ext uri="{FF2B5EF4-FFF2-40B4-BE49-F238E27FC236}">
              <a16:creationId xmlns:a16="http://schemas.microsoft.com/office/drawing/2014/main" id="{00000000-0008-0000-0600-00006A577E00}"/>
            </a:ext>
          </a:extLst>
        </xdr:cNvPr>
        <xdr:cNvSpPr>
          <a:spLocks noChangeShapeType="1"/>
        </xdr:cNvSpPr>
      </xdr:nvSpPr>
      <xdr:spPr bwMode="auto">
        <a:xfrm flipH="1" flipV="1">
          <a:off x="0" y="9277350"/>
          <a:ext cx="149542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52</xdr:row>
      <xdr:rowOff>9525</xdr:rowOff>
    </xdr:from>
    <xdr:to>
      <xdr:col>2</xdr:col>
      <xdr:colOff>0</xdr:colOff>
      <xdr:row>53</xdr:row>
      <xdr:rowOff>0</xdr:rowOff>
    </xdr:to>
    <xdr:sp macro="" textlink="">
      <xdr:nvSpPr>
        <xdr:cNvPr id="8279915" name="Line 9">
          <a:extLst>
            <a:ext uri="{FF2B5EF4-FFF2-40B4-BE49-F238E27FC236}">
              <a16:creationId xmlns:a16="http://schemas.microsoft.com/office/drawing/2014/main" id="{00000000-0008-0000-0600-00006B577E00}"/>
            </a:ext>
          </a:extLst>
        </xdr:cNvPr>
        <xdr:cNvSpPr>
          <a:spLocks noChangeShapeType="1"/>
        </xdr:cNvSpPr>
      </xdr:nvSpPr>
      <xdr:spPr bwMode="auto">
        <a:xfrm flipH="1" flipV="1">
          <a:off x="0" y="10572750"/>
          <a:ext cx="149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59</xdr:row>
      <xdr:rowOff>9525</xdr:rowOff>
    </xdr:from>
    <xdr:to>
      <xdr:col>2</xdr:col>
      <xdr:colOff>0</xdr:colOff>
      <xdr:row>60</xdr:row>
      <xdr:rowOff>0</xdr:rowOff>
    </xdr:to>
    <xdr:sp macro="" textlink="">
      <xdr:nvSpPr>
        <xdr:cNvPr id="8279916" name="Line 13">
          <a:extLst>
            <a:ext uri="{FF2B5EF4-FFF2-40B4-BE49-F238E27FC236}">
              <a16:creationId xmlns:a16="http://schemas.microsoft.com/office/drawing/2014/main" id="{00000000-0008-0000-0600-00006C577E00}"/>
            </a:ext>
          </a:extLst>
        </xdr:cNvPr>
        <xdr:cNvSpPr>
          <a:spLocks noChangeShapeType="1"/>
        </xdr:cNvSpPr>
      </xdr:nvSpPr>
      <xdr:spPr bwMode="auto">
        <a:xfrm flipH="1" flipV="1">
          <a:off x="0" y="11068050"/>
          <a:ext cx="149542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59</xdr:row>
      <xdr:rowOff>9525</xdr:rowOff>
    </xdr:from>
    <xdr:to>
      <xdr:col>2</xdr:col>
      <xdr:colOff>0</xdr:colOff>
      <xdr:row>60</xdr:row>
      <xdr:rowOff>0</xdr:rowOff>
    </xdr:to>
    <xdr:sp macro="" textlink="">
      <xdr:nvSpPr>
        <xdr:cNvPr id="8279917" name="Line 14">
          <a:extLst>
            <a:ext uri="{FF2B5EF4-FFF2-40B4-BE49-F238E27FC236}">
              <a16:creationId xmlns:a16="http://schemas.microsoft.com/office/drawing/2014/main" id="{00000000-0008-0000-0600-00006D577E00}"/>
            </a:ext>
          </a:extLst>
        </xdr:cNvPr>
        <xdr:cNvSpPr>
          <a:spLocks noChangeShapeType="1"/>
        </xdr:cNvSpPr>
      </xdr:nvSpPr>
      <xdr:spPr bwMode="auto">
        <a:xfrm flipH="1" flipV="1">
          <a:off x="0" y="11068050"/>
          <a:ext cx="149542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75</xdr:row>
      <xdr:rowOff>9525</xdr:rowOff>
    </xdr:from>
    <xdr:to>
      <xdr:col>2</xdr:col>
      <xdr:colOff>0</xdr:colOff>
      <xdr:row>76</xdr:row>
      <xdr:rowOff>0</xdr:rowOff>
    </xdr:to>
    <xdr:sp macro="" textlink="">
      <xdr:nvSpPr>
        <xdr:cNvPr id="8279918" name="Line 6">
          <a:extLst>
            <a:ext uri="{FF2B5EF4-FFF2-40B4-BE49-F238E27FC236}">
              <a16:creationId xmlns:a16="http://schemas.microsoft.com/office/drawing/2014/main" id="{00000000-0008-0000-0600-00006E577E00}"/>
            </a:ext>
          </a:extLst>
        </xdr:cNvPr>
        <xdr:cNvSpPr>
          <a:spLocks noChangeShapeType="1"/>
        </xdr:cNvSpPr>
      </xdr:nvSpPr>
      <xdr:spPr bwMode="auto">
        <a:xfrm flipH="1" flipV="1">
          <a:off x="0" y="14563725"/>
          <a:ext cx="1495425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88</xdr:row>
      <xdr:rowOff>9525</xdr:rowOff>
    </xdr:from>
    <xdr:to>
      <xdr:col>2</xdr:col>
      <xdr:colOff>0</xdr:colOff>
      <xdr:row>89</xdr:row>
      <xdr:rowOff>0</xdr:rowOff>
    </xdr:to>
    <xdr:sp macro="" textlink="">
      <xdr:nvSpPr>
        <xdr:cNvPr id="8279919" name="Line 8">
          <a:extLst>
            <a:ext uri="{FF2B5EF4-FFF2-40B4-BE49-F238E27FC236}">
              <a16:creationId xmlns:a16="http://schemas.microsoft.com/office/drawing/2014/main" id="{00000000-0008-0000-0600-00006F577E00}"/>
            </a:ext>
          </a:extLst>
        </xdr:cNvPr>
        <xdr:cNvSpPr>
          <a:spLocks noChangeShapeType="1"/>
        </xdr:cNvSpPr>
      </xdr:nvSpPr>
      <xdr:spPr bwMode="auto">
        <a:xfrm flipH="1" flipV="1">
          <a:off x="0" y="17478375"/>
          <a:ext cx="1495425" cy="904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88</xdr:row>
      <xdr:rowOff>9525</xdr:rowOff>
    </xdr:from>
    <xdr:to>
      <xdr:col>2</xdr:col>
      <xdr:colOff>0</xdr:colOff>
      <xdr:row>89</xdr:row>
      <xdr:rowOff>0</xdr:rowOff>
    </xdr:to>
    <xdr:sp macro="" textlink="">
      <xdr:nvSpPr>
        <xdr:cNvPr id="8279920" name="Line 9">
          <a:extLst>
            <a:ext uri="{FF2B5EF4-FFF2-40B4-BE49-F238E27FC236}">
              <a16:creationId xmlns:a16="http://schemas.microsoft.com/office/drawing/2014/main" id="{00000000-0008-0000-0600-000070577E00}"/>
            </a:ext>
          </a:extLst>
        </xdr:cNvPr>
        <xdr:cNvSpPr>
          <a:spLocks noChangeShapeType="1"/>
        </xdr:cNvSpPr>
      </xdr:nvSpPr>
      <xdr:spPr bwMode="auto">
        <a:xfrm flipH="1" flipV="1">
          <a:off x="0" y="17478375"/>
          <a:ext cx="1495425" cy="904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44</xdr:row>
      <xdr:rowOff>9525</xdr:rowOff>
    </xdr:from>
    <xdr:to>
      <xdr:col>13</xdr:col>
      <xdr:colOff>0</xdr:colOff>
      <xdr:row>45</xdr:row>
      <xdr:rowOff>0</xdr:rowOff>
    </xdr:to>
    <xdr:sp macro="" textlink="">
      <xdr:nvSpPr>
        <xdr:cNvPr id="8279921" name="Line 7">
          <a:extLst>
            <a:ext uri="{FF2B5EF4-FFF2-40B4-BE49-F238E27FC236}">
              <a16:creationId xmlns:a16="http://schemas.microsoft.com/office/drawing/2014/main" id="{00000000-0008-0000-0600-000071577E00}"/>
            </a:ext>
          </a:extLst>
        </xdr:cNvPr>
        <xdr:cNvSpPr>
          <a:spLocks noChangeShapeType="1"/>
        </xdr:cNvSpPr>
      </xdr:nvSpPr>
      <xdr:spPr bwMode="auto">
        <a:xfrm flipH="1" flipV="1">
          <a:off x="6753225" y="9277350"/>
          <a:ext cx="135255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44</xdr:row>
      <xdr:rowOff>9525</xdr:rowOff>
    </xdr:from>
    <xdr:to>
      <xdr:col>13</xdr:col>
      <xdr:colOff>0</xdr:colOff>
      <xdr:row>45</xdr:row>
      <xdr:rowOff>0</xdr:rowOff>
    </xdr:to>
    <xdr:sp macro="" textlink="">
      <xdr:nvSpPr>
        <xdr:cNvPr id="8279922" name="Line 8">
          <a:extLst>
            <a:ext uri="{FF2B5EF4-FFF2-40B4-BE49-F238E27FC236}">
              <a16:creationId xmlns:a16="http://schemas.microsoft.com/office/drawing/2014/main" id="{00000000-0008-0000-0600-000072577E00}"/>
            </a:ext>
          </a:extLst>
        </xdr:cNvPr>
        <xdr:cNvSpPr>
          <a:spLocks noChangeShapeType="1"/>
        </xdr:cNvSpPr>
      </xdr:nvSpPr>
      <xdr:spPr bwMode="auto">
        <a:xfrm flipH="1" flipV="1">
          <a:off x="6753225" y="9277350"/>
          <a:ext cx="135255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96</xdr:row>
      <xdr:rowOff>9525</xdr:rowOff>
    </xdr:from>
    <xdr:to>
      <xdr:col>14</xdr:col>
      <xdr:colOff>0</xdr:colOff>
      <xdr:row>97</xdr:row>
      <xdr:rowOff>0</xdr:rowOff>
    </xdr:to>
    <xdr:sp macro="" textlink="">
      <xdr:nvSpPr>
        <xdr:cNvPr id="8279923" name="Line 8">
          <a:extLst>
            <a:ext uri="{FF2B5EF4-FFF2-40B4-BE49-F238E27FC236}">
              <a16:creationId xmlns:a16="http://schemas.microsoft.com/office/drawing/2014/main" id="{00000000-0008-0000-0600-000073577E00}"/>
            </a:ext>
          </a:extLst>
        </xdr:cNvPr>
        <xdr:cNvSpPr>
          <a:spLocks noChangeShapeType="1"/>
        </xdr:cNvSpPr>
      </xdr:nvSpPr>
      <xdr:spPr bwMode="auto">
        <a:xfrm flipH="1" flipV="1">
          <a:off x="7305675" y="20097750"/>
          <a:ext cx="1371600" cy="676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75</xdr:row>
      <xdr:rowOff>9525</xdr:rowOff>
    </xdr:from>
    <xdr:to>
      <xdr:col>14</xdr:col>
      <xdr:colOff>0</xdr:colOff>
      <xdr:row>76</xdr:row>
      <xdr:rowOff>0</xdr:rowOff>
    </xdr:to>
    <xdr:sp macro="" textlink="">
      <xdr:nvSpPr>
        <xdr:cNvPr id="8279924" name="Line 6">
          <a:extLst>
            <a:ext uri="{FF2B5EF4-FFF2-40B4-BE49-F238E27FC236}">
              <a16:creationId xmlns:a16="http://schemas.microsoft.com/office/drawing/2014/main" id="{00000000-0008-0000-0600-000074577E00}"/>
            </a:ext>
          </a:extLst>
        </xdr:cNvPr>
        <xdr:cNvSpPr>
          <a:spLocks noChangeShapeType="1"/>
        </xdr:cNvSpPr>
      </xdr:nvSpPr>
      <xdr:spPr bwMode="auto">
        <a:xfrm flipH="1" flipV="1">
          <a:off x="7305675" y="14563725"/>
          <a:ext cx="13716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75</xdr:row>
      <xdr:rowOff>9525</xdr:rowOff>
    </xdr:from>
    <xdr:to>
      <xdr:col>14</xdr:col>
      <xdr:colOff>0</xdr:colOff>
      <xdr:row>76</xdr:row>
      <xdr:rowOff>0</xdr:rowOff>
    </xdr:to>
    <xdr:sp macro="" textlink="">
      <xdr:nvSpPr>
        <xdr:cNvPr id="8279925" name="Line 7">
          <a:extLst>
            <a:ext uri="{FF2B5EF4-FFF2-40B4-BE49-F238E27FC236}">
              <a16:creationId xmlns:a16="http://schemas.microsoft.com/office/drawing/2014/main" id="{00000000-0008-0000-0600-000075577E00}"/>
            </a:ext>
          </a:extLst>
        </xdr:cNvPr>
        <xdr:cNvSpPr>
          <a:spLocks noChangeShapeType="1"/>
        </xdr:cNvSpPr>
      </xdr:nvSpPr>
      <xdr:spPr bwMode="auto">
        <a:xfrm flipH="1" flipV="1">
          <a:off x="7305675" y="14563725"/>
          <a:ext cx="13716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81</xdr:row>
      <xdr:rowOff>0</xdr:rowOff>
    </xdr:from>
    <xdr:to>
      <xdr:col>2</xdr:col>
      <xdr:colOff>0</xdr:colOff>
      <xdr:row>81</xdr:row>
      <xdr:rowOff>438150</xdr:rowOff>
    </xdr:to>
    <xdr:sp macro="" textlink="">
      <xdr:nvSpPr>
        <xdr:cNvPr id="8279926" name="Line 6">
          <a:extLst>
            <a:ext uri="{FF2B5EF4-FFF2-40B4-BE49-F238E27FC236}">
              <a16:creationId xmlns:a16="http://schemas.microsoft.com/office/drawing/2014/main" id="{00000000-0008-0000-0600-000076577E00}"/>
            </a:ext>
          </a:extLst>
        </xdr:cNvPr>
        <xdr:cNvSpPr>
          <a:spLocks noChangeShapeType="1"/>
        </xdr:cNvSpPr>
      </xdr:nvSpPr>
      <xdr:spPr bwMode="auto">
        <a:xfrm flipH="1" flipV="1">
          <a:off x="0" y="15992475"/>
          <a:ext cx="149542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9525</xdr:rowOff>
    </xdr:from>
    <xdr:to>
      <xdr:col>2</xdr:col>
      <xdr:colOff>0</xdr:colOff>
      <xdr:row>3</xdr:row>
      <xdr:rowOff>0</xdr:rowOff>
    </xdr:to>
    <xdr:sp macro="" textlink="">
      <xdr:nvSpPr>
        <xdr:cNvPr id="8279927" name="Line 1">
          <a:extLst>
            <a:ext uri="{FF2B5EF4-FFF2-40B4-BE49-F238E27FC236}">
              <a16:creationId xmlns:a16="http://schemas.microsoft.com/office/drawing/2014/main" id="{00000000-0008-0000-0600-000077577E00}"/>
            </a:ext>
          </a:extLst>
        </xdr:cNvPr>
        <xdr:cNvSpPr>
          <a:spLocks noChangeShapeType="1"/>
        </xdr:cNvSpPr>
      </xdr:nvSpPr>
      <xdr:spPr bwMode="auto">
        <a:xfrm flipH="1" flipV="1">
          <a:off x="0" y="333375"/>
          <a:ext cx="1495425" cy="790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12</xdr:row>
      <xdr:rowOff>9525</xdr:rowOff>
    </xdr:from>
    <xdr:to>
      <xdr:col>2</xdr:col>
      <xdr:colOff>0</xdr:colOff>
      <xdr:row>13</xdr:row>
      <xdr:rowOff>0</xdr:rowOff>
    </xdr:to>
    <xdr:sp macro="" textlink="">
      <xdr:nvSpPr>
        <xdr:cNvPr id="8279928" name="Line 2">
          <a:extLst>
            <a:ext uri="{FF2B5EF4-FFF2-40B4-BE49-F238E27FC236}">
              <a16:creationId xmlns:a16="http://schemas.microsoft.com/office/drawing/2014/main" id="{00000000-0008-0000-0600-000078577E00}"/>
            </a:ext>
          </a:extLst>
        </xdr:cNvPr>
        <xdr:cNvSpPr>
          <a:spLocks noChangeShapeType="1"/>
        </xdr:cNvSpPr>
      </xdr:nvSpPr>
      <xdr:spPr bwMode="auto">
        <a:xfrm flipH="1" flipV="1">
          <a:off x="0" y="2590800"/>
          <a:ext cx="1495425" cy="809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</xdr:row>
      <xdr:rowOff>9525</xdr:rowOff>
    </xdr:from>
    <xdr:to>
      <xdr:col>2</xdr:col>
      <xdr:colOff>0</xdr:colOff>
      <xdr:row>24</xdr:row>
      <xdr:rowOff>0</xdr:rowOff>
    </xdr:to>
    <xdr:sp macro="" textlink="">
      <xdr:nvSpPr>
        <xdr:cNvPr id="8279929" name="Line 6">
          <a:extLst>
            <a:ext uri="{FF2B5EF4-FFF2-40B4-BE49-F238E27FC236}">
              <a16:creationId xmlns:a16="http://schemas.microsoft.com/office/drawing/2014/main" id="{00000000-0008-0000-0600-000079577E00}"/>
            </a:ext>
          </a:extLst>
        </xdr:cNvPr>
        <xdr:cNvSpPr>
          <a:spLocks noChangeShapeType="1"/>
        </xdr:cNvSpPr>
      </xdr:nvSpPr>
      <xdr:spPr bwMode="auto">
        <a:xfrm flipH="1" flipV="1">
          <a:off x="0" y="5029200"/>
          <a:ext cx="1495425" cy="57150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9525</xdr:rowOff>
    </xdr:from>
    <xdr:to>
      <xdr:col>2</xdr:col>
      <xdr:colOff>0</xdr:colOff>
      <xdr:row>9</xdr:row>
      <xdr:rowOff>0</xdr:rowOff>
    </xdr:to>
    <xdr:sp macro="" textlink="">
      <xdr:nvSpPr>
        <xdr:cNvPr id="8321056" name="Line 7">
          <a:extLst>
            <a:ext uri="{FF2B5EF4-FFF2-40B4-BE49-F238E27FC236}">
              <a16:creationId xmlns:a16="http://schemas.microsoft.com/office/drawing/2014/main" id="{00000000-0008-0000-0700-000020F87E00}"/>
            </a:ext>
          </a:extLst>
        </xdr:cNvPr>
        <xdr:cNvSpPr>
          <a:spLocks noChangeShapeType="1"/>
        </xdr:cNvSpPr>
      </xdr:nvSpPr>
      <xdr:spPr bwMode="auto">
        <a:xfrm flipH="1" flipV="1">
          <a:off x="0" y="1485900"/>
          <a:ext cx="1362075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8</xdr:row>
      <xdr:rowOff>9525</xdr:rowOff>
    </xdr:from>
    <xdr:to>
      <xdr:col>13</xdr:col>
      <xdr:colOff>0</xdr:colOff>
      <xdr:row>9</xdr:row>
      <xdr:rowOff>0</xdr:rowOff>
    </xdr:to>
    <xdr:sp macro="" textlink="">
      <xdr:nvSpPr>
        <xdr:cNvPr id="8321057" name="Line 7">
          <a:extLst>
            <a:ext uri="{FF2B5EF4-FFF2-40B4-BE49-F238E27FC236}">
              <a16:creationId xmlns:a16="http://schemas.microsoft.com/office/drawing/2014/main" id="{00000000-0008-0000-0700-000021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1485900"/>
          <a:ext cx="133350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16</xdr:row>
      <xdr:rowOff>9525</xdr:rowOff>
    </xdr:from>
    <xdr:to>
      <xdr:col>2</xdr:col>
      <xdr:colOff>0</xdr:colOff>
      <xdr:row>17</xdr:row>
      <xdr:rowOff>0</xdr:rowOff>
    </xdr:to>
    <xdr:sp macro="" textlink="">
      <xdr:nvSpPr>
        <xdr:cNvPr id="8321058" name="Line 7">
          <a:extLst>
            <a:ext uri="{FF2B5EF4-FFF2-40B4-BE49-F238E27FC236}">
              <a16:creationId xmlns:a16="http://schemas.microsoft.com/office/drawing/2014/main" id="{00000000-0008-0000-0700-000022F87E00}"/>
            </a:ext>
          </a:extLst>
        </xdr:cNvPr>
        <xdr:cNvSpPr>
          <a:spLocks noChangeShapeType="1"/>
        </xdr:cNvSpPr>
      </xdr:nvSpPr>
      <xdr:spPr bwMode="auto">
        <a:xfrm flipH="1" flipV="1">
          <a:off x="0" y="2800350"/>
          <a:ext cx="13620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16</xdr:row>
      <xdr:rowOff>9525</xdr:rowOff>
    </xdr:from>
    <xdr:to>
      <xdr:col>13</xdr:col>
      <xdr:colOff>0</xdr:colOff>
      <xdr:row>17</xdr:row>
      <xdr:rowOff>0</xdr:rowOff>
    </xdr:to>
    <xdr:sp macro="" textlink="">
      <xdr:nvSpPr>
        <xdr:cNvPr id="8321059" name="Line 7">
          <a:extLst>
            <a:ext uri="{FF2B5EF4-FFF2-40B4-BE49-F238E27FC236}">
              <a16:creationId xmlns:a16="http://schemas.microsoft.com/office/drawing/2014/main" id="{00000000-0008-0000-0700-000023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2800350"/>
          <a:ext cx="133350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2</xdr:col>
      <xdr:colOff>0</xdr:colOff>
      <xdr:row>1</xdr:row>
      <xdr:rowOff>523875</xdr:rowOff>
    </xdr:to>
    <xdr:sp macro="" textlink="">
      <xdr:nvSpPr>
        <xdr:cNvPr id="8321060" name="Line 7">
          <a:extLst>
            <a:ext uri="{FF2B5EF4-FFF2-40B4-BE49-F238E27FC236}">
              <a16:creationId xmlns:a16="http://schemas.microsoft.com/office/drawing/2014/main" id="{00000000-0008-0000-0700-000024F87E00}"/>
            </a:ext>
          </a:extLst>
        </xdr:cNvPr>
        <xdr:cNvSpPr>
          <a:spLocks noChangeShapeType="1"/>
        </xdr:cNvSpPr>
      </xdr:nvSpPr>
      <xdr:spPr bwMode="auto">
        <a:xfrm flipH="1" flipV="1">
          <a:off x="0" y="161925"/>
          <a:ext cx="1362075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1</xdr:row>
      <xdr:rowOff>9525</xdr:rowOff>
    </xdr:from>
    <xdr:to>
      <xdr:col>13</xdr:col>
      <xdr:colOff>0</xdr:colOff>
      <xdr:row>2</xdr:row>
      <xdr:rowOff>0</xdr:rowOff>
    </xdr:to>
    <xdr:sp macro="" textlink="">
      <xdr:nvSpPr>
        <xdr:cNvPr id="8321061" name="Line 7">
          <a:extLst>
            <a:ext uri="{FF2B5EF4-FFF2-40B4-BE49-F238E27FC236}">
              <a16:creationId xmlns:a16="http://schemas.microsoft.com/office/drawing/2014/main" id="{00000000-0008-0000-0700-000025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171450"/>
          <a:ext cx="133350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</xdr:row>
      <xdr:rowOff>9525</xdr:rowOff>
    </xdr:from>
    <xdr:to>
      <xdr:col>2</xdr:col>
      <xdr:colOff>0</xdr:colOff>
      <xdr:row>28</xdr:row>
      <xdr:rowOff>0</xdr:rowOff>
    </xdr:to>
    <xdr:sp macro="" textlink="">
      <xdr:nvSpPr>
        <xdr:cNvPr id="8321062" name="Line 7">
          <a:extLst>
            <a:ext uri="{FF2B5EF4-FFF2-40B4-BE49-F238E27FC236}">
              <a16:creationId xmlns:a16="http://schemas.microsoft.com/office/drawing/2014/main" id="{00000000-0008-0000-0700-000026F87E00}"/>
            </a:ext>
          </a:extLst>
        </xdr:cNvPr>
        <xdr:cNvSpPr>
          <a:spLocks noChangeShapeType="1"/>
        </xdr:cNvSpPr>
      </xdr:nvSpPr>
      <xdr:spPr bwMode="auto">
        <a:xfrm flipH="1" flipV="1">
          <a:off x="0" y="4819650"/>
          <a:ext cx="136207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</xdr:row>
      <xdr:rowOff>9525</xdr:rowOff>
    </xdr:from>
    <xdr:to>
      <xdr:col>2</xdr:col>
      <xdr:colOff>0</xdr:colOff>
      <xdr:row>28</xdr:row>
      <xdr:rowOff>0</xdr:rowOff>
    </xdr:to>
    <xdr:sp macro="" textlink="">
      <xdr:nvSpPr>
        <xdr:cNvPr id="8321063" name="Line 8">
          <a:extLst>
            <a:ext uri="{FF2B5EF4-FFF2-40B4-BE49-F238E27FC236}">
              <a16:creationId xmlns:a16="http://schemas.microsoft.com/office/drawing/2014/main" id="{00000000-0008-0000-0700-000027F87E00}"/>
            </a:ext>
          </a:extLst>
        </xdr:cNvPr>
        <xdr:cNvSpPr>
          <a:spLocks noChangeShapeType="1"/>
        </xdr:cNvSpPr>
      </xdr:nvSpPr>
      <xdr:spPr bwMode="auto">
        <a:xfrm flipH="1" flipV="1">
          <a:off x="0" y="4819650"/>
          <a:ext cx="136207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27</xdr:row>
      <xdr:rowOff>9525</xdr:rowOff>
    </xdr:from>
    <xdr:to>
      <xdr:col>13</xdr:col>
      <xdr:colOff>0</xdr:colOff>
      <xdr:row>28</xdr:row>
      <xdr:rowOff>0</xdr:rowOff>
    </xdr:to>
    <xdr:sp macro="" textlink="">
      <xdr:nvSpPr>
        <xdr:cNvPr id="8321064" name="Line 7">
          <a:extLst>
            <a:ext uri="{FF2B5EF4-FFF2-40B4-BE49-F238E27FC236}">
              <a16:creationId xmlns:a16="http://schemas.microsoft.com/office/drawing/2014/main" id="{00000000-0008-0000-0700-000028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4819650"/>
          <a:ext cx="13335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27</xdr:row>
      <xdr:rowOff>9525</xdr:rowOff>
    </xdr:from>
    <xdr:to>
      <xdr:col>13</xdr:col>
      <xdr:colOff>0</xdr:colOff>
      <xdr:row>28</xdr:row>
      <xdr:rowOff>0</xdr:rowOff>
    </xdr:to>
    <xdr:sp macro="" textlink="">
      <xdr:nvSpPr>
        <xdr:cNvPr id="8321065" name="Line 8">
          <a:extLst>
            <a:ext uri="{FF2B5EF4-FFF2-40B4-BE49-F238E27FC236}">
              <a16:creationId xmlns:a16="http://schemas.microsoft.com/office/drawing/2014/main" id="{00000000-0008-0000-0700-000029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4819650"/>
          <a:ext cx="13335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8</xdr:row>
      <xdr:rowOff>9525</xdr:rowOff>
    </xdr:from>
    <xdr:to>
      <xdr:col>2</xdr:col>
      <xdr:colOff>0</xdr:colOff>
      <xdr:row>9</xdr:row>
      <xdr:rowOff>0</xdr:rowOff>
    </xdr:to>
    <xdr:sp macro="" textlink="">
      <xdr:nvSpPr>
        <xdr:cNvPr id="8321066" name="Line 7">
          <a:extLst>
            <a:ext uri="{FF2B5EF4-FFF2-40B4-BE49-F238E27FC236}">
              <a16:creationId xmlns:a16="http://schemas.microsoft.com/office/drawing/2014/main" id="{00000000-0008-0000-0700-00002AF87E00}"/>
            </a:ext>
          </a:extLst>
        </xdr:cNvPr>
        <xdr:cNvSpPr>
          <a:spLocks noChangeShapeType="1"/>
        </xdr:cNvSpPr>
      </xdr:nvSpPr>
      <xdr:spPr bwMode="auto">
        <a:xfrm flipH="1" flipV="1">
          <a:off x="0" y="1485900"/>
          <a:ext cx="1362075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8</xdr:row>
      <xdr:rowOff>9525</xdr:rowOff>
    </xdr:from>
    <xdr:to>
      <xdr:col>13</xdr:col>
      <xdr:colOff>0</xdr:colOff>
      <xdr:row>9</xdr:row>
      <xdr:rowOff>0</xdr:rowOff>
    </xdr:to>
    <xdr:sp macro="" textlink="">
      <xdr:nvSpPr>
        <xdr:cNvPr id="8321067" name="Line 7">
          <a:extLst>
            <a:ext uri="{FF2B5EF4-FFF2-40B4-BE49-F238E27FC236}">
              <a16:creationId xmlns:a16="http://schemas.microsoft.com/office/drawing/2014/main" id="{00000000-0008-0000-0700-00002B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1485900"/>
          <a:ext cx="133350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16</xdr:row>
      <xdr:rowOff>9525</xdr:rowOff>
    </xdr:from>
    <xdr:to>
      <xdr:col>2</xdr:col>
      <xdr:colOff>0</xdr:colOff>
      <xdr:row>17</xdr:row>
      <xdr:rowOff>0</xdr:rowOff>
    </xdr:to>
    <xdr:sp macro="" textlink="">
      <xdr:nvSpPr>
        <xdr:cNvPr id="8321068" name="Line 7">
          <a:extLst>
            <a:ext uri="{FF2B5EF4-FFF2-40B4-BE49-F238E27FC236}">
              <a16:creationId xmlns:a16="http://schemas.microsoft.com/office/drawing/2014/main" id="{00000000-0008-0000-0700-00002CF87E00}"/>
            </a:ext>
          </a:extLst>
        </xdr:cNvPr>
        <xdr:cNvSpPr>
          <a:spLocks noChangeShapeType="1"/>
        </xdr:cNvSpPr>
      </xdr:nvSpPr>
      <xdr:spPr bwMode="auto">
        <a:xfrm flipH="1" flipV="1">
          <a:off x="0" y="2800350"/>
          <a:ext cx="13620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16</xdr:row>
      <xdr:rowOff>9525</xdr:rowOff>
    </xdr:from>
    <xdr:to>
      <xdr:col>13</xdr:col>
      <xdr:colOff>0</xdr:colOff>
      <xdr:row>17</xdr:row>
      <xdr:rowOff>0</xdr:rowOff>
    </xdr:to>
    <xdr:sp macro="" textlink="">
      <xdr:nvSpPr>
        <xdr:cNvPr id="8321069" name="Line 7">
          <a:extLst>
            <a:ext uri="{FF2B5EF4-FFF2-40B4-BE49-F238E27FC236}">
              <a16:creationId xmlns:a16="http://schemas.microsoft.com/office/drawing/2014/main" id="{00000000-0008-0000-0700-00002D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2800350"/>
          <a:ext cx="133350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1</xdr:row>
      <xdr:rowOff>0</xdr:rowOff>
    </xdr:from>
    <xdr:to>
      <xdr:col>13</xdr:col>
      <xdr:colOff>0</xdr:colOff>
      <xdr:row>1</xdr:row>
      <xdr:rowOff>438150</xdr:rowOff>
    </xdr:to>
    <xdr:sp macro="" textlink="">
      <xdr:nvSpPr>
        <xdr:cNvPr id="8321070" name="Line 7">
          <a:extLst>
            <a:ext uri="{FF2B5EF4-FFF2-40B4-BE49-F238E27FC236}">
              <a16:creationId xmlns:a16="http://schemas.microsoft.com/office/drawing/2014/main" id="{00000000-0008-0000-0700-00002E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161925"/>
          <a:ext cx="133350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</xdr:row>
      <xdr:rowOff>9525</xdr:rowOff>
    </xdr:from>
    <xdr:to>
      <xdr:col>2</xdr:col>
      <xdr:colOff>0</xdr:colOff>
      <xdr:row>28</xdr:row>
      <xdr:rowOff>0</xdr:rowOff>
    </xdr:to>
    <xdr:sp macro="" textlink="">
      <xdr:nvSpPr>
        <xdr:cNvPr id="8321071" name="Line 7">
          <a:extLst>
            <a:ext uri="{FF2B5EF4-FFF2-40B4-BE49-F238E27FC236}">
              <a16:creationId xmlns:a16="http://schemas.microsoft.com/office/drawing/2014/main" id="{00000000-0008-0000-0700-00002FF87E00}"/>
            </a:ext>
          </a:extLst>
        </xdr:cNvPr>
        <xdr:cNvSpPr>
          <a:spLocks noChangeShapeType="1"/>
        </xdr:cNvSpPr>
      </xdr:nvSpPr>
      <xdr:spPr bwMode="auto">
        <a:xfrm flipH="1" flipV="1">
          <a:off x="0" y="4819650"/>
          <a:ext cx="136207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</xdr:row>
      <xdr:rowOff>9525</xdr:rowOff>
    </xdr:from>
    <xdr:to>
      <xdr:col>2</xdr:col>
      <xdr:colOff>0</xdr:colOff>
      <xdr:row>28</xdr:row>
      <xdr:rowOff>0</xdr:rowOff>
    </xdr:to>
    <xdr:sp macro="" textlink="">
      <xdr:nvSpPr>
        <xdr:cNvPr id="8321072" name="Line 8">
          <a:extLst>
            <a:ext uri="{FF2B5EF4-FFF2-40B4-BE49-F238E27FC236}">
              <a16:creationId xmlns:a16="http://schemas.microsoft.com/office/drawing/2014/main" id="{00000000-0008-0000-0700-000030F87E00}"/>
            </a:ext>
          </a:extLst>
        </xdr:cNvPr>
        <xdr:cNvSpPr>
          <a:spLocks noChangeShapeType="1"/>
        </xdr:cNvSpPr>
      </xdr:nvSpPr>
      <xdr:spPr bwMode="auto">
        <a:xfrm flipH="1" flipV="1">
          <a:off x="0" y="4819650"/>
          <a:ext cx="136207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27</xdr:row>
      <xdr:rowOff>9525</xdr:rowOff>
    </xdr:from>
    <xdr:to>
      <xdr:col>13</xdr:col>
      <xdr:colOff>0</xdr:colOff>
      <xdr:row>28</xdr:row>
      <xdr:rowOff>0</xdr:rowOff>
    </xdr:to>
    <xdr:sp macro="" textlink="">
      <xdr:nvSpPr>
        <xdr:cNvPr id="8321073" name="Line 7">
          <a:extLst>
            <a:ext uri="{FF2B5EF4-FFF2-40B4-BE49-F238E27FC236}">
              <a16:creationId xmlns:a16="http://schemas.microsoft.com/office/drawing/2014/main" id="{00000000-0008-0000-0700-000031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4819650"/>
          <a:ext cx="13335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27</xdr:row>
      <xdr:rowOff>9525</xdr:rowOff>
    </xdr:from>
    <xdr:to>
      <xdr:col>13</xdr:col>
      <xdr:colOff>0</xdr:colOff>
      <xdr:row>28</xdr:row>
      <xdr:rowOff>0</xdr:rowOff>
    </xdr:to>
    <xdr:sp macro="" textlink="">
      <xdr:nvSpPr>
        <xdr:cNvPr id="8321074" name="Line 8">
          <a:extLst>
            <a:ext uri="{FF2B5EF4-FFF2-40B4-BE49-F238E27FC236}">
              <a16:creationId xmlns:a16="http://schemas.microsoft.com/office/drawing/2014/main" id="{00000000-0008-0000-0700-000032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4819650"/>
          <a:ext cx="13335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8</xdr:row>
      <xdr:rowOff>9525</xdr:rowOff>
    </xdr:from>
    <xdr:to>
      <xdr:col>2</xdr:col>
      <xdr:colOff>0</xdr:colOff>
      <xdr:row>9</xdr:row>
      <xdr:rowOff>0</xdr:rowOff>
    </xdr:to>
    <xdr:sp macro="" textlink="">
      <xdr:nvSpPr>
        <xdr:cNvPr id="8321075" name="Line 7">
          <a:extLst>
            <a:ext uri="{FF2B5EF4-FFF2-40B4-BE49-F238E27FC236}">
              <a16:creationId xmlns:a16="http://schemas.microsoft.com/office/drawing/2014/main" id="{00000000-0008-0000-0700-000033F87E00}"/>
            </a:ext>
          </a:extLst>
        </xdr:cNvPr>
        <xdr:cNvSpPr>
          <a:spLocks noChangeShapeType="1"/>
        </xdr:cNvSpPr>
      </xdr:nvSpPr>
      <xdr:spPr bwMode="auto">
        <a:xfrm flipH="1" flipV="1">
          <a:off x="0" y="1485900"/>
          <a:ext cx="1362075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8</xdr:row>
      <xdr:rowOff>9525</xdr:rowOff>
    </xdr:from>
    <xdr:to>
      <xdr:col>13</xdr:col>
      <xdr:colOff>0</xdr:colOff>
      <xdr:row>9</xdr:row>
      <xdr:rowOff>0</xdr:rowOff>
    </xdr:to>
    <xdr:sp macro="" textlink="">
      <xdr:nvSpPr>
        <xdr:cNvPr id="8321076" name="Line 7">
          <a:extLst>
            <a:ext uri="{FF2B5EF4-FFF2-40B4-BE49-F238E27FC236}">
              <a16:creationId xmlns:a16="http://schemas.microsoft.com/office/drawing/2014/main" id="{00000000-0008-0000-0700-000034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1485900"/>
          <a:ext cx="133350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16</xdr:row>
      <xdr:rowOff>9525</xdr:rowOff>
    </xdr:from>
    <xdr:to>
      <xdr:col>2</xdr:col>
      <xdr:colOff>0</xdr:colOff>
      <xdr:row>17</xdr:row>
      <xdr:rowOff>0</xdr:rowOff>
    </xdr:to>
    <xdr:sp macro="" textlink="">
      <xdr:nvSpPr>
        <xdr:cNvPr id="8321077" name="Line 7">
          <a:extLst>
            <a:ext uri="{FF2B5EF4-FFF2-40B4-BE49-F238E27FC236}">
              <a16:creationId xmlns:a16="http://schemas.microsoft.com/office/drawing/2014/main" id="{00000000-0008-0000-0700-000035F87E00}"/>
            </a:ext>
          </a:extLst>
        </xdr:cNvPr>
        <xdr:cNvSpPr>
          <a:spLocks noChangeShapeType="1"/>
        </xdr:cNvSpPr>
      </xdr:nvSpPr>
      <xdr:spPr bwMode="auto">
        <a:xfrm flipH="1" flipV="1">
          <a:off x="0" y="2800350"/>
          <a:ext cx="13620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16</xdr:row>
      <xdr:rowOff>9525</xdr:rowOff>
    </xdr:from>
    <xdr:to>
      <xdr:col>13</xdr:col>
      <xdr:colOff>0</xdr:colOff>
      <xdr:row>17</xdr:row>
      <xdr:rowOff>0</xdr:rowOff>
    </xdr:to>
    <xdr:sp macro="" textlink="">
      <xdr:nvSpPr>
        <xdr:cNvPr id="8321078" name="Line 7">
          <a:extLst>
            <a:ext uri="{FF2B5EF4-FFF2-40B4-BE49-F238E27FC236}">
              <a16:creationId xmlns:a16="http://schemas.microsoft.com/office/drawing/2014/main" id="{00000000-0008-0000-0700-000036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2800350"/>
          <a:ext cx="133350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2</xdr:col>
      <xdr:colOff>0</xdr:colOff>
      <xdr:row>1</xdr:row>
      <xdr:rowOff>523875</xdr:rowOff>
    </xdr:to>
    <xdr:sp macro="" textlink="">
      <xdr:nvSpPr>
        <xdr:cNvPr id="8321079" name="Line 7">
          <a:extLst>
            <a:ext uri="{FF2B5EF4-FFF2-40B4-BE49-F238E27FC236}">
              <a16:creationId xmlns:a16="http://schemas.microsoft.com/office/drawing/2014/main" id="{00000000-0008-0000-0700-000037F87E00}"/>
            </a:ext>
          </a:extLst>
        </xdr:cNvPr>
        <xdr:cNvSpPr>
          <a:spLocks noChangeShapeType="1"/>
        </xdr:cNvSpPr>
      </xdr:nvSpPr>
      <xdr:spPr bwMode="auto">
        <a:xfrm flipH="1" flipV="1">
          <a:off x="0" y="161925"/>
          <a:ext cx="1362075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1</xdr:row>
      <xdr:rowOff>9525</xdr:rowOff>
    </xdr:from>
    <xdr:to>
      <xdr:col>13</xdr:col>
      <xdr:colOff>0</xdr:colOff>
      <xdr:row>2</xdr:row>
      <xdr:rowOff>0</xdr:rowOff>
    </xdr:to>
    <xdr:sp macro="" textlink="">
      <xdr:nvSpPr>
        <xdr:cNvPr id="8321080" name="Line 7">
          <a:extLst>
            <a:ext uri="{FF2B5EF4-FFF2-40B4-BE49-F238E27FC236}">
              <a16:creationId xmlns:a16="http://schemas.microsoft.com/office/drawing/2014/main" id="{00000000-0008-0000-0700-000038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171450"/>
          <a:ext cx="133350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</xdr:row>
      <xdr:rowOff>9525</xdr:rowOff>
    </xdr:from>
    <xdr:to>
      <xdr:col>2</xdr:col>
      <xdr:colOff>0</xdr:colOff>
      <xdr:row>28</xdr:row>
      <xdr:rowOff>0</xdr:rowOff>
    </xdr:to>
    <xdr:sp macro="" textlink="">
      <xdr:nvSpPr>
        <xdr:cNvPr id="8321081" name="Line 7">
          <a:extLst>
            <a:ext uri="{FF2B5EF4-FFF2-40B4-BE49-F238E27FC236}">
              <a16:creationId xmlns:a16="http://schemas.microsoft.com/office/drawing/2014/main" id="{00000000-0008-0000-0700-000039F87E00}"/>
            </a:ext>
          </a:extLst>
        </xdr:cNvPr>
        <xdr:cNvSpPr>
          <a:spLocks noChangeShapeType="1"/>
        </xdr:cNvSpPr>
      </xdr:nvSpPr>
      <xdr:spPr bwMode="auto">
        <a:xfrm flipH="1" flipV="1">
          <a:off x="0" y="4819650"/>
          <a:ext cx="136207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</xdr:row>
      <xdr:rowOff>9525</xdr:rowOff>
    </xdr:from>
    <xdr:to>
      <xdr:col>2</xdr:col>
      <xdr:colOff>0</xdr:colOff>
      <xdr:row>28</xdr:row>
      <xdr:rowOff>0</xdr:rowOff>
    </xdr:to>
    <xdr:sp macro="" textlink="">
      <xdr:nvSpPr>
        <xdr:cNvPr id="8321082" name="Line 8">
          <a:extLst>
            <a:ext uri="{FF2B5EF4-FFF2-40B4-BE49-F238E27FC236}">
              <a16:creationId xmlns:a16="http://schemas.microsoft.com/office/drawing/2014/main" id="{00000000-0008-0000-0700-00003AF87E00}"/>
            </a:ext>
          </a:extLst>
        </xdr:cNvPr>
        <xdr:cNvSpPr>
          <a:spLocks noChangeShapeType="1"/>
        </xdr:cNvSpPr>
      </xdr:nvSpPr>
      <xdr:spPr bwMode="auto">
        <a:xfrm flipH="1" flipV="1">
          <a:off x="0" y="4819650"/>
          <a:ext cx="136207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27</xdr:row>
      <xdr:rowOff>9525</xdr:rowOff>
    </xdr:from>
    <xdr:to>
      <xdr:col>13</xdr:col>
      <xdr:colOff>0</xdr:colOff>
      <xdr:row>28</xdr:row>
      <xdr:rowOff>0</xdr:rowOff>
    </xdr:to>
    <xdr:sp macro="" textlink="">
      <xdr:nvSpPr>
        <xdr:cNvPr id="8321083" name="Line 7">
          <a:extLst>
            <a:ext uri="{FF2B5EF4-FFF2-40B4-BE49-F238E27FC236}">
              <a16:creationId xmlns:a16="http://schemas.microsoft.com/office/drawing/2014/main" id="{00000000-0008-0000-0700-00003B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4819650"/>
          <a:ext cx="13335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27</xdr:row>
      <xdr:rowOff>9525</xdr:rowOff>
    </xdr:from>
    <xdr:to>
      <xdr:col>13</xdr:col>
      <xdr:colOff>0</xdr:colOff>
      <xdr:row>28</xdr:row>
      <xdr:rowOff>0</xdr:rowOff>
    </xdr:to>
    <xdr:sp macro="" textlink="">
      <xdr:nvSpPr>
        <xdr:cNvPr id="8321084" name="Line 8">
          <a:extLst>
            <a:ext uri="{FF2B5EF4-FFF2-40B4-BE49-F238E27FC236}">
              <a16:creationId xmlns:a16="http://schemas.microsoft.com/office/drawing/2014/main" id="{00000000-0008-0000-0700-00003C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4819650"/>
          <a:ext cx="13335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8</xdr:row>
      <xdr:rowOff>9525</xdr:rowOff>
    </xdr:from>
    <xdr:to>
      <xdr:col>2</xdr:col>
      <xdr:colOff>0</xdr:colOff>
      <xdr:row>9</xdr:row>
      <xdr:rowOff>0</xdr:rowOff>
    </xdr:to>
    <xdr:sp macro="" textlink="">
      <xdr:nvSpPr>
        <xdr:cNvPr id="8321085" name="Line 7">
          <a:extLst>
            <a:ext uri="{FF2B5EF4-FFF2-40B4-BE49-F238E27FC236}">
              <a16:creationId xmlns:a16="http://schemas.microsoft.com/office/drawing/2014/main" id="{00000000-0008-0000-0700-00003DF87E00}"/>
            </a:ext>
          </a:extLst>
        </xdr:cNvPr>
        <xdr:cNvSpPr>
          <a:spLocks noChangeShapeType="1"/>
        </xdr:cNvSpPr>
      </xdr:nvSpPr>
      <xdr:spPr bwMode="auto">
        <a:xfrm flipH="1" flipV="1">
          <a:off x="0" y="1485900"/>
          <a:ext cx="1362075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8</xdr:row>
      <xdr:rowOff>9525</xdr:rowOff>
    </xdr:from>
    <xdr:to>
      <xdr:col>13</xdr:col>
      <xdr:colOff>0</xdr:colOff>
      <xdr:row>9</xdr:row>
      <xdr:rowOff>0</xdr:rowOff>
    </xdr:to>
    <xdr:sp macro="" textlink="">
      <xdr:nvSpPr>
        <xdr:cNvPr id="8321086" name="Line 7">
          <a:extLst>
            <a:ext uri="{FF2B5EF4-FFF2-40B4-BE49-F238E27FC236}">
              <a16:creationId xmlns:a16="http://schemas.microsoft.com/office/drawing/2014/main" id="{00000000-0008-0000-0700-00003E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1485900"/>
          <a:ext cx="133350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16</xdr:row>
      <xdr:rowOff>9525</xdr:rowOff>
    </xdr:from>
    <xdr:to>
      <xdr:col>2</xdr:col>
      <xdr:colOff>0</xdr:colOff>
      <xdr:row>17</xdr:row>
      <xdr:rowOff>0</xdr:rowOff>
    </xdr:to>
    <xdr:sp macro="" textlink="">
      <xdr:nvSpPr>
        <xdr:cNvPr id="8321087" name="Line 7">
          <a:extLst>
            <a:ext uri="{FF2B5EF4-FFF2-40B4-BE49-F238E27FC236}">
              <a16:creationId xmlns:a16="http://schemas.microsoft.com/office/drawing/2014/main" id="{00000000-0008-0000-0700-00003FF87E00}"/>
            </a:ext>
          </a:extLst>
        </xdr:cNvPr>
        <xdr:cNvSpPr>
          <a:spLocks noChangeShapeType="1"/>
        </xdr:cNvSpPr>
      </xdr:nvSpPr>
      <xdr:spPr bwMode="auto">
        <a:xfrm flipH="1" flipV="1">
          <a:off x="0" y="2800350"/>
          <a:ext cx="13620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16</xdr:row>
      <xdr:rowOff>9525</xdr:rowOff>
    </xdr:from>
    <xdr:to>
      <xdr:col>13</xdr:col>
      <xdr:colOff>0</xdr:colOff>
      <xdr:row>17</xdr:row>
      <xdr:rowOff>0</xdr:rowOff>
    </xdr:to>
    <xdr:sp macro="" textlink="">
      <xdr:nvSpPr>
        <xdr:cNvPr id="8321088" name="Line 7">
          <a:extLst>
            <a:ext uri="{FF2B5EF4-FFF2-40B4-BE49-F238E27FC236}">
              <a16:creationId xmlns:a16="http://schemas.microsoft.com/office/drawing/2014/main" id="{00000000-0008-0000-0700-000040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2800350"/>
          <a:ext cx="133350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1</xdr:row>
      <xdr:rowOff>0</xdr:rowOff>
    </xdr:from>
    <xdr:to>
      <xdr:col>13</xdr:col>
      <xdr:colOff>0</xdr:colOff>
      <xdr:row>1</xdr:row>
      <xdr:rowOff>438150</xdr:rowOff>
    </xdr:to>
    <xdr:sp macro="" textlink="">
      <xdr:nvSpPr>
        <xdr:cNvPr id="8321089" name="Line 7">
          <a:extLst>
            <a:ext uri="{FF2B5EF4-FFF2-40B4-BE49-F238E27FC236}">
              <a16:creationId xmlns:a16="http://schemas.microsoft.com/office/drawing/2014/main" id="{00000000-0008-0000-0700-000041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161925"/>
          <a:ext cx="133350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</xdr:row>
      <xdr:rowOff>9525</xdr:rowOff>
    </xdr:from>
    <xdr:to>
      <xdr:col>2</xdr:col>
      <xdr:colOff>0</xdr:colOff>
      <xdr:row>28</xdr:row>
      <xdr:rowOff>0</xdr:rowOff>
    </xdr:to>
    <xdr:sp macro="" textlink="">
      <xdr:nvSpPr>
        <xdr:cNvPr id="8321090" name="Line 7">
          <a:extLst>
            <a:ext uri="{FF2B5EF4-FFF2-40B4-BE49-F238E27FC236}">
              <a16:creationId xmlns:a16="http://schemas.microsoft.com/office/drawing/2014/main" id="{00000000-0008-0000-0700-000042F87E00}"/>
            </a:ext>
          </a:extLst>
        </xdr:cNvPr>
        <xdr:cNvSpPr>
          <a:spLocks noChangeShapeType="1"/>
        </xdr:cNvSpPr>
      </xdr:nvSpPr>
      <xdr:spPr bwMode="auto">
        <a:xfrm flipH="1" flipV="1">
          <a:off x="0" y="4819650"/>
          <a:ext cx="136207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</xdr:row>
      <xdr:rowOff>9525</xdr:rowOff>
    </xdr:from>
    <xdr:to>
      <xdr:col>2</xdr:col>
      <xdr:colOff>0</xdr:colOff>
      <xdr:row>28</xdr:row>
      <xdr:rowOff>0</xdr:rowOff>
    </xdr:to>
    <xdr:sp macro="" textlink="">
      <xdr:nvSpPr>
        <xdr:cNvPr id="8321091" name="Line 8">
          <a:extLst>
            <a:ext uri="{FF2B5EF4-FFF2-40B4-BE49-F238E27FC236}">
              <a16:creationId xmlns:a16="http://schemas.microsoft.com/office/drawing/2014/main" id="{00000000-0008-0000-0700-000043F87E00}"/>
            </a:ext>
          </a:extLst>
        </xdr:cNvPr>
        <xdr:cNvSpPr>
          <a:spLocks noChangeShapeType="1"/>
        </xdr:cNvSpPr>
      </xdr:nvSpPr>
      <xdr:spPr bwMode="auto">
        <a:xfrm flipH="1" flipV="1">
          <a:off x="0" y="4819650"/>
          <a:ext cx="136207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27</xdr:row>
      <xdr:rowOff>9525</xdr:rowOff>
    </xdr:from>
    <xdr:to>
      <xdr:col>13</xdr:col>
      <xdr:colOff>0</xdr:colOff>
      <xdr:row>28</xdr:row>
      <xdr:rowOff>0</xdr:rowOff>
    </xdr:to>
    <xdr:sp macro="" textlink="">
      <xdr:nvSpPr>
        <xdr:cNvPr id="8321092" name="Line 7">
          <a:extLst>
            <a:ext uri="{FF2B5EF4-FFF2-40B4-BE49-F238E27FC236}">
              <a16:creationId xmlns:a16="http://schemas.microsoft.com/office/drawing/2014/main" id="{00000000-0008-0000-0700-000044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4819650"/>
          <a:ext cx="13335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27</xdr:row>
      <xdr:rowOff>9525</xdr:rowOff>
    </xdr:from>
    <xdr:to>
      <xdr:col>13</xdr:col>
      <xdr:colOff>0</xdr:colOff>
      <xdr:row>28</xdr:row>
      <xdr:rowOff>0</xdr:rowOff>
    </xdr:to>
    <xdr:sp macro="" textlink="">
      <xdr:nvSpPr>
        <xdr:cNvPr id="8321093" name="Line 8">
          <a:extLst>
            <a:ext uri="{FF2B5EF4-FFF2-40B4-BE49-F238E27FC236}">
              <a16:creationId xmlns:a16="http://schemas.microsoft.com/office/drawing/2014/main" id="{00000000-0008-0000-0700-000045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4819650"/>
          <a:ext cx="13335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8</xdr:row>
      <xdr:rowOff>9525</xdr:rowOff>
    </xdr:from>
    <xdr:to>
      <xdr:col>2</xdr:col>
      <xdr:colOff>0</xdr:colOff>
      <xdr:row>9</xdr:row>
      <xdr:rowOff>0</xdr:rowOff>
    </xdr:to>
    <xdr:sp macro="" textlink="">
      <xdr:nvSpPr>
        <xdr:cNvPr id="8321094" name="Line 7">
          <a:extLst>
            <a:ext uri="{FF2B5EF4-FFF2-40B4-BE49-F238E27FC236}">
              <a16:creationId xmlns:a16="http://schemas.microsoft.com/office/drawing/2014/main" id="{00000000-0008-0000-0700-000046F87E00}"/>
            </a:ext>
          </a:extLst>
        </xdr:cNvPr>
        <xdr:cNvSpPr>
          <a:spLocks noChangeShapeType="1"/>
        </xdr:cNvSpPr>
      </xdr:nvSpPr>
      <xdr:spPr bwMode="auto">
        <a:xfrm flipH="1" flipV="1">
          <a:off x="0" y="1485900"/>
          <a:ext cx="1362075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8</xdr:row>
      <xdr:rowOff>9525</xdr:rowOff>
    </xdr:from>
    <xdr:to>
      <xdr:col>13</xdr:col>
      <xdr:colOff>0</xdr:colOff>
      <xdr:row>9</xdr:row>
      <xdr:rowOff>0</xdr:rowOff>
    </xdr:to>
    <xdr:sp macro="" textlink="">
      <xdr:nvSpPr>
        <xdr:cNvPr id="8321095" name="Line 7">
          <a:extLst>
            <a:ext uri="{FF2B5EF4-FFF2-40B4-BE49-F238E27FC236}">
              <a16:creationId xmlns:a16="http://schemas.microsoft.com/office/drawing/2014/main" id="{00000000-0008-0000-0700-000047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1485900"/>
          <a:ext cx="133350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16</xdr:row>
      <xdr:rowOff>9525</xdr:rowOff>
    </xdr:from>
    <xdr:to>
      <xdr:col>2</xdr:col>
      <xdr:colOff>0</xdr:colOff>
      <xdr:row>17</xdr:row>
      <xdr:rowOff>0</xdr:rowOff>
    </xdr:to>
    <xdr:sp macro="" textlink="">
      <xdr:nvSpPr>
        <xdr:cNvPr id="8321096" name="Line 7">
          <a:extLst>
            <a:ext uri="{FF2B5EF4-FFF2-40B4-BE49-F238E27FC236}">
              <a16:creationId xmlns:a16="http://schemas.microsoft.com/office/drawing/2014/main" id="{00000000-0008-0000-0700-000048F87E00}"/>
            </a:ext>
          </a:extLst>
        </xdr:cNvPr>
        <xdr:cNvSpPr>
          <a:spLocks noChangeShapeType="1"/>
        </xdr:cNvSpPr>
      </xdr:nvSpPr>
      <xdr:spPr bwMode="auto">
        <a:xfrm flipH="1" flipV="1">
          <a:off x="0" y="2800350"/>
          <a:ext cx="13620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16</xdr:row>
      <xdr:rowOff>9525</xdr:rowOff>
    </xdr:from>
    <xdr:to>
      <xdr:col>13</xdr:col>
      <xdr:colOff>0</xdr:colOff>
      <xdr:row>17</xdr:row>
      <xdr:rowOff>0</xdr:rowOff>
    </xdr:to>
    <xdr:sp macro="" textlink="">
      <xdr:nvSpPr>
        <xdr:cNvPr id="8321097" name="Line 7">
          <a:extLst>
            <a:ext uri="{FF2B5EF4-FFF2-40B4-BE49-F238E27FC236}">
              <a16:creationId xmlns:a16="http://schemas.microsoft.com/office/drawing/2014/main" id="{00000000-0008-0000-0700-000049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2800350"/>
          <a:ext cx="133350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9525</xdr:rowOff>
    </xdr:from>
    <xdr:to>
      <xdr:col>2</xdr:col>
      <xdr:colOff>0</xdr:colOff>
      <xdr:row>2</xdr:row>
      <xdr:rowOff>0</xdr:rowOff>
    </xdr:to>
    <xdr:sp macro="" textlink="">
      <xdr:nvSpPr>
        <xdr:cNvPr id="8321098" name="Line 7">
          <a:extLst>
            <a:ext uri="{FF2B5EF4-FFF2-40B4-BE49-F238E27FC236}">
              <a16:creationId xmlns:a16="http://schemas.microsoft.com/office/drawing/2014/main" id="{00000000-0008-0000-0700-00004AF87E00}"/>
            </a:ext>
          </a:extLst>
        </xdr:cNvPr>
        <xdr:cNvSpPr>
          <a:spLocks noChangeShapeType="1"/>
        </xdr:cNvSpPr>
      </xdr:nvSpPr>
      <xdr:spPr bwMode="auto">
        <a:xfrm flipH="1" flipV="1">
          <a:off x="0" y="171450"/>
          <a:ext cx="13620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1</xdr:row>
      <xdr:rowOff>0</xdr:rowOff>
    </xdr:from>
    <xdr:to>
      <xdr:col>13</xdr:col>
      <xdr:colOff>0</xdr:colOff>
      <xdr:row>1</xdr:row>
      <xdr:rowOff>438150</xdr:rowOff>
    </xdr:to>
    <xdr:sp macro="" textlink="">
      <xdr:nvSpPr>
        <xdr:cNvPr id="8321099" name="Line 7">
          <a:extLst>
            <a:ext uri="{FF2B5EF4-FFF2-40B4-BE49-F238E27FC236}">
              <a16:creationId xmlns:a16="http://schemas.microsoft.com/office/drawing/2014/main" id="{00000000-0008-0000-0700-00004B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161925"/>
          <a:ext cx="133350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</xdr:row>
      <xdr:rowOff>9525</xdr:rowOff>
    </xdr:from>
    <xdr:to>
      <xdr:col>2</xdr:col>
      <xdr:colOff>0</xdr:colOff>
      <xdr:row>28</xdr:row>
      <xdr:rowOff>0</xdr:rowOff>
    </xdr:to>
    <xdr:sp macro="" textlink="">
      <xdr:nvSpPr>
        <xdr:cNvPr id="8321100" name="Line 7">
          <a:extLst>
            <a:ext uri="{FF2B5EF4-FFF2-40B4-BE49-F238E27FC236}">
              <a16:creationId xmlns:a16="http://schemas.microsoft.com/office/drawing/2014/main" id="{00000000-0008-0000-0700-00004CF87E00}"/>
            </a:ext>
          </a:extLst>
        </xdr:cNvPr>
        <xdr:cNvSpPr>
          <a:spLocks noChangeShapeType="1"/>
        </xdr:cNvSpPr>
      </xdr:nvSpPr>
      <xdr:spPr bwMode="auto">
        <a:xfrm flipH="1" flipV="1">
          <a:off x="0" y="4819650"/>
          <a:ext cx="136207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</xdr:row>
      <xdr:rowOff>9525</xdr:rowOff>
    </xdr:from>
    <xdr:to>
      <xdr:col>2</xdr:col>
      <xdr:colOff>0</xdr:colOff>
      <xdr:row>28</xdr:row>
      <xdr:rowOff>0</xdr:rowOff>
    </xdr:to>
    <xdr:sp macro="" textlink="">
      <xdr:nvSpPr>
        <xdr:cNvPr id="8321101" name="Line 8">
          <a:extLst>
            <a:ext uri="{FF2B5EF4-FFF2-40B4-BE49-F238E27FC236}">
              <a16:creationId xmlns:a16="http://schemas.microsoft.com/office/drawing/2014/main" id="{00000000-0008-0000-0700-00004DF87E00}"/>
            </a:ext>
          </a:extLst>
        </xdr:cNvPr>
        <xdr:cNvSpPr>
          <a:spLocks noChangeShapeType="1"/>
        </xdr:cNvSpPr>
      </xdr:nvSpPr>
      <xdr:spPr bwMode="auto">
        <a:xfrm flipH="1" flipV="1">
          <a:off x="0" y="4819650"/>
          <a:ext cx="136207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27</xdr:row>
      <xdr:rowOff>9525</xdr:rowOff>
    </xdr:from>
    <xdr:to>
      <xdr:col>13</xdr:col>
      <xdr:colOff>0</xdr:colOff>
      <xdr:row>28</xdr:row>
      <xdr:rowOff>0</xdr:rowOff>
    </xdr:to>
    <xdr:sp macro="" textlink="">
      <xdr:nvSpPr>
        <xdr:cNvPr id="8321102" name="Line 7">
          <a:extLst>
            <a:ext uri="{FF2B5EF4-FFF2-40B4-BE49-F238E27FC236}">
              <a16:creationId xmlns:a16="http://schemas.microsoft.com/office/drawing/2014/main" id="{00000000-0008-0000-0700-00004E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4819650"/>
          <a:ext cx="13335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27</xdr:row>
      <xdr:rowOff>9525</xdr:rowOff>
    </xdr:from>
    <xdr:to>
      <xdr:col>13</xdr:col>
      <xdr:colOff>0</xdr:colOff>
      <xdr:row>28</xdr:row>
      <xdr:rowOff>0</xdr:rowOff>
    </xdr:to>
    <xdr:sp macro="" textlink="">
      <xdr:nvSpPr>
        <xdr:cNvPr id="8321103" name="Line 8">
          <a:extLst>
            <a:ext uri="{FF2B5EF4-FFF2-40B4-BE49-F238E27FC236}">
              <a16:creationId xmlns:a16="http://schemas.microsoft.com/office/drawing/2014/main" id="{00000000-0008-0000-0700-00004FF87E00}"/>
            </a:ext>
          </a:extLst>
        </xdr:cNvPr>
        <xdr:cNvSpPr>
          <a:spLocks noChangeShapeType="1"/>
        </xdr:cNvSpPr>
      </xdr:nvSpPr>
      <xdr:spPr bwMode="auto">
        <a:xfrm flipH="1" flipV="1">
          <a:off x="5648325" y="4819650"/>
          <a:ext cx="13335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11</xdr:col>
      <xdr:colOff>533400</xdr:colOff>
      <xdr:row>0</xdr:row>
      <xdr:rowOff>0</xdr:rowOff>
    </xdr:to>
    <xdr:pic>
      <xdr:nvPicPr>
        <xdr:cNvPr id="8227955" name="Picture 1">
          <a:extLst>
            <a:ext uri="{FF2B5EF4-FFF2-40B4-BE49-F238E27FC236}">
              <a16:creationId xmlns:a16="http://schemas.microsoft.com/office/drawing/2014/main" id="{00000000-0008-0000-0900-0000738C7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430125" y="0"/>
          <a:ext cx="1514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3</xdr:col>
      <xdr:colOff>228600</xdr:colOff>
      <xdr:row>40</xdr:row>
      <xdr:rowOff>76200</xdr:rowOff>
    </xdr:to>
    <xdr:pic>
      <xdr:nvPicPr>
        <xdr:cNvPr id="8227956" name="Рисунок 2">
          <a:extLst>
            <a:ext uri="{FF2B5EF4-FFF2-40B4-BE49-F238E27FC236}">
              <a16:creationId xmlns:a16="http://schemas.microsoft.com/office/drawing/2014/main" id="{00000000-0008-0000-0900-0000748C7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85925"/>
          <a:ext cx="6238875" cy="5095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br.ru/statistics/pdko/Mortgage/" TargetMode="External"/><Relationship Id="rId2" Type="http://schemas.openxmlformats.org/officeDocument/2006/relationships/hyperlink" Target="https://www.cbr.ru/statistics/pdko/int_rat/" TargetMode="External"/><Relationship Id="rId1" Type="http://schemas.openxmlformats.org/officeDocument/2006/relationships/printerSettings" Target="../printerSettings/printerSettings17.bin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://www.alfa-74.ru/stoimost-uslug/" TargetMode="External"/><Relationship Id="rId7" Type="http://schemas.openxmlformats.org/officeDocument/2006/relationships/printerSettings" Target="../printerSettings/printerSettings13.bin"/><Relationship Id="rId2" Type="http://schemas.openxmlformats.org/officeDocument/2006/relationships/hyperlink" Target="http://kldom.ru/services_and_prices/" TargetMode="External"/><Relationship Id="rId1" Type="http://schemas.openxmlformats.org/officeDocument/2006/relationships/hyperlink" Target="http://&#1089;&#1090;&#1077;&#1082;&#1083;&#1072;&#1085;&#1076;&#1080;&#1103;.&#1088;&#1092;/scheme3" TargetMode="External"/><Relationship Id="rId6" Type="http://schemas.openxmlformats.org/officeDocument/2006/relationships/hyperlink" Target="https://&#1085;&#1100;&#1102;&#1090;&#1086;&#1085;74.&#1088;&#1092;/gallery/decoration/rough-finish.php" TargetMode="External"/><Relationship Id="rId5" Type="http://schemas.openxmlformats.org/officeDocument/2006/relationships/hyperlink" Target="http://rieltf.ru/&#1089;&#1090;&#1086;&#1080;&#1084;&#1086;&#1089;&#1090;&#1100;-&#1091;&#1089;&#1083;&#1091;&#1075;/" TargetMode="External"/><Relationship Id="rId4" Type="http://schemas.openxmlformats.org/officeDocument/2006/relationships/hyperlink" Target="http://74dom.moy.su/index/prajs_uslug/0-67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BN105"/>
  <sheetViews>
    <sheetView showGridLines="0" tabSelected="1" zoomScale="80" zoomScaleNormal="80" zoomScaleSheetLayoutView="100" workbookViewId="0">
      <selection sqref="A1:O1"/>
    </sheetView>
  </sheetViews>
  <sheetFormatPr defaultRowHeight="10.5" outlineLevelRow="1" x14ac:dyDescent="0.15"/>
  <cols>
    <col min="1" max="1" width="14.140625" style="5" customWidth="1"/>
    <col min="2" max="2" width="2.85546875" style="5" customWidth="1"/>
    <col min="3" max="3" width="3" style="1" customWidth="1"/>
    <col min="4" max="4" width="4.5703125" style="1" customWidth="1"/>
    <col min="5" max="5" width="9" style="1" customWidth="1"/>
    <col min="6" max="6" width="3.5703125" style="1" customWidth="1"/>
    <col min="7" max="7" width="7.42578125" style="1" customWidth="1"/>
    <col min="8" max="8" width="4.7109375" style="1" customWidth="1"/>
    <col min="9" max="9" width="6.42578125" style="1" customWidth="1"/>
    <col min="10" max="10" width="4.7109375" style="1" customWidth="1"/>
    <col min="11" max="11" width="6.42578125" style="1" customWidth="1"/>
    <col min="12" max="12" width="4.7109375" style="1" customWidth="1"/>
    <col min="13" max="13" width="6.42578125" style="1" customWidth="1"/>
    <col min="14" max="14" width="4.7109375" style="1" customWidth="1"/>
    <col min="15" max="15" width="6.42578125" style="1" customWidth="1"/>
    <col min="16" max="16" width="36.28515625" style="1" customWidth="1"/>
    <col min="17" max="17" width="67" style="1" customWidth="1"/>
    <col min="18" max="18" width="22.5703125" style="1" customWidth="1"/>
    <col min="19" max="30" width="9.140625" style="1"/>
    <col min="31" max="31" width="9.85546875" style="1" customWidth="1"/>
    <col min="32" max="36" width="9.140625" style="1"/>
    <col min="37" max="37" width="12.5703125" style="1" customWidth="1"/>
    <col min="38" max="38" width="20.5703125" style="1" customWidth="1"/>
    <col min="39" max="56" width="9.140625" style="1"/>
    <col min="57" max="57" width="31.140625" style="1" customWidth="1"/>
    <col min="58" max="58" width="18.5703125" style="1" customWidth="1"/>
    <col min="59" max="59" width="9.140625" style="1"/>
    <col min="60" max="60" width="9.140625" style="2"/>
    <col min="61" max="16384" width="9.140625" style="1"/>
  </cols>
  <sheetData>
    <row r="1" spans="1:66" ht="15" customHeight="1" x14ac:dyDescent="0.15">
      <c r="A1" s="315" t="s">
        <v>146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</row>
    <row r="2" spans="1:66" ht="18" customHeight="1" x14ac:dyDescent="0.15">
      <c r="A2" s="301" t="s">
        <v>43</v>
      </c>
      <c r="B2" s="301"/>
      <c r="C2" s="301"/>
      <c r="D2" s="301"/>
      <c r="E2" s="301"/>
      <c r="F2" s="301"/>
      <c r="G2" s="301"/>
      <c r="H2" s="301" t="s">
        <v>48</v>
      </c>
      <c r="I2" s="301"/>
      <c r="J2" s="301"/>
      <c r="K2" s="301"/>
      <c r="L2" s="301"/>
      <c r="M2" s="301"/>
      <c r="N2" s="301"/>
      <c r="O2" s="301"/>
      <c r="Q2" s="203" t="s">
        <v>316</v>
      </c>
      <c r="R2" s="203" t="s">
        <v>317</v>
      </c>
    </row>
    <row r="3" spans="1:66" ht="16.5" customHeight="1" x14ac:dyDescent="0.15">
      <c r="A3" s="299" t="s">
        <v>13</v>
      </c>
      <c r="B3" s="299"/>
      <c r="C3" s="299"/>
      <c r="D3" s="299"/>
      <c r="E3" s="299"/>
      <c r="F3" s="299"/>
      <c r="G3" s="299"/>
      <c r="H3" s="316"/>
      <c r="I3" s="317"/>
      <c r="J3" s="317"/>
      <c r="K3" s="317"/>
      <c r="L3" s="317"/>
      <c r="M3" s="317"/>
      <c r="N3" s="317"/>
      <c r="O3" s="318"/>
      <c r="Q3" s="42" t="s">
        <v>768</v>
      </c>
      <c r="R3" s="110"/>
      <c r="T3" s="1" t="s">
        <v>320</v>
      </c>
      <c r="V3" s="1" t="s">
        <v>638</v>
      </c>
      <c r="AE3" s="3" t="s">
        <v>13</v>
      </c>
      <c r="AF3" s="1" t="str">
        <f>A5</f>
        <v>Населенный пункт</v>
      </c>
      <c r="AG3" s="1" t="str">
        <f>A6</f>
        <v>Административный район</v>
      </c>
      <c r="AH3" s="1" t="str">
        <f>A10</f>
        <v>Преобладающая застройка</v>
      </c>
      <c r="AK3" s="1" t="str">
        <f>A25</f>
        <v>Фактический срок службы, лет</v>
      </c>
      <c r="AL3" s="1" t="str">
        <f>A30</f>
        <v>Серия</v>
      </c>
      <c r="AM3" s="1" t="s">
        <v>7</v>
      </c>
      <c r="AN3" s="1" t="str">
        <f>A32</f>
        <v>Парковка</v>
      </c>
      <c r="AO3" s="1" t="str">
        <f>A21</f>
        <v>Этажность</v>
      </c>
      <c r="AP3" s="1" t="str">
        <f>A35</f>
        <v>Состояние подъезда (субъективная оценка)</v>
      </c>
      <c r="AQ3" s="1" t="str">
        <f>A36</f>
        <v>Наличие детской площадки</v>
      </c>
      <c r="AR3" s="1" t="str">
        <f>A54</f>
        <v>Тип санузлов</v>
      </c>
      <c r="AS3" s="1" t="str">
        <f>A57</f>
        <v>Характеристики лоджий / балконов</v>
      </c>
      <c r="AU3" s="1" t="str">
        <f>A58</f>
        <v>Вид из окон</v>
      </c>
      <c r="AV3" s="1" t="s">
        <v>477</v>
      </c>
      <c r="BD3" s="1" t="str">
        <f>A41</f>
        <v>Тип помещения</v>
      </c>
      <c r="BE3" s="1" t="str">
        <f>A60</f>
        <v>Тип отделки</v>
      </c>
      <c r="BF3" s="1" t="str">
        <f>A61</f>
        <v>Наличие сантехники</v>
      </c>
      <c r="BG3" s="1" t="s">
        <v>323</v>
      </c>
      <c r="BH3" s="1" t="s">
        <v>250</v>
      </c>
      <c r="BK3" s="1" t="s">
        <v>472</v>
      </c>
    </row>
    <row r="4" spans="1:66" ht="15.75" hidden="1" customHeight="1" x14ac:dyDescent="0.15">
      <c r="A4" s="299" t="s">
        <v>206</v>
      </c>
      <c r="B4" s="299"/>
      <c r="C4" s="299"/>
      <c r="D4" s="299"/>
      <c r="E4" s="299"/>
      <c r="F4" s="299"/>
      <c r="G4" s="299"/>
      <c r="H4" s="322"/>
      <c r="I4" s="323"/>
      <c r="J4" s="323"/>
      <c r="K4" s="323"/>
      <c r="L4" s="323"/>
      <c r="M4" s="323"/>
      <c r="N4" s="323"/>
      <c r="O4" s="324"/>
      <c r="Q4" s="11" t="s">
        <v>318</v>
      </c>
      <c r="R4" s="110"/>
      <c r="T4" s="1" t="s">
        <v>725</v>
      </c>
      <c r="V4" s="1" t="s">
        <v>735</v>
      </c>
      <c r="AE4" s="3" t="s">
        <v>41</v>
      </c>
      <c r="AF4" s="1" t="s">
        <v>50</v>
      </c>
      <c r="AG4" s="1" t="s">
        <v>53</v>
      </c>
      <c r="AH4" s="1" t="s">
        <v>61</v>
      </c>
      <c r="AI4" s="1" t="str">
        <f>A20</f>
        <v>Тип дома / Материал стен</v>
      </c>
      <c r="AJ4" s="1" t="str">
        <f>A22</f>
        <v>Материал перекрытий</v>
      </c>
      <c r="AK4" s="1" t="s">
        <v>642</v>
      </c>
      <c r="AL4" s="1" t="s">
        <v>387</v>
      </c>
      <c r="AM4" s="1" t="s">
        <v>74</v>
      </c>
      <c r="AN4" s="1" t="s">
        <v>77</v>
      </c>
      <c r="AO4" s="1">
        <v>1</v>
      </c>
      <c r="AP4" s="1" t="s">
        <v>80</v>
      </c>
      <c r="AQ4" s="1" t="s">
        <v>74</v>
      </c>
      <c r="AR4" s="1" t="s">
        <v>91</v>
      </c>
      <c r="AS4" s="1" t="s">
        <v>93</v>
      </c>
      <c r="AT4" s="1" t="s">
        <v>96</v>
      </c>
      <c r="AU4" s="1" t="s">
        <v>98</v>
      </c>
      <c r="AV4" s="1" t="s">
        <v>105</v>
      </c>
      <c r="AW4" s="1" t="s">
        <v>113</v>
      </c>
      <c r="AX4" s="1" t="s">
        <v>118</v>
      </c>
      <c r="AY4" s="1" t="s">
        <v>122</v>
      </c>
      <c r="AZ4" s="1" t="s">
        <v>124</v>
      </c>
      <c r="BA4" s="1" t="s">
        <v>128</v>
      </c>
      <c r="BB4" s="1" t="s">
        <v>251</v>
      </c>
      <c r="BC4" s="1" t="s">
        <v>71</v>
      </c>
      <c r="BD4" s="1" t="s">
        <v>148</v>
      </c>
      <c r="BE4" s="1" t="s">
        <v>438</v>
      </c>
      <c r="BF4" s="1" t="s">
        <v>624</v>
      </c>
      <c r="BG4" s="1" t="s">
        <v>324</v>
      </c>
      <c r="BH4" s="1" t="s">
        <v>350</v>
      </c>
      <c r="BJ4" s="1" t="s">
        <v>7</v>
      </c>
      <c r="BK4" s="1" t="s">
        <v>474</v>
      </c>
    </row>
    <row r="5" spans="1:66" ht="18" customHeight="1" x14ac:dyDescent="0.15">
      <c r="A5" s="299" t="s">
        <v>49</v>
      </c>
      <c r="B5" s="299"/>
      <c r="C5" s="299"/>
      <c r="D5" s="299"/>
      <c r="E5" s="299"/>
      <c r="F5" s="299"/>
      <c r="G5" s="299"/>
      <c r="H5" s="319"/>
      <c r="I5" s="320"/>
      <c r="J5" s="320"/>
      <c r="K5" s="320"/>
      <c r="L5" s="320"/>
      <c r="M5" s="320"/>
      <c r="N5" s="320"/>
      <c r="O5" s="321"/>
      <c r="Q5" s="11" t="s">
        <v>639</v>
      </c>
      <c r="R5" s="110"/>
      <c r="V5" s="1" t="s">
        <v>634</v>
      </c>
      <c r="AE5" s="14"/>
      <c r="AF5" s="1" t="s">
        <v>370</v>
      </c>
      <c r="AG5" s="1" t="s">
        <v>54</v>
      </c>
      <c r="AH5" s="1" t="s">
        <v>62</v>
      </c>
      <c r="AI5" s="1" t="s">
        <v>69</v>
      </c>
      <c r="AJ5" s="1" t="s">
        <v>75</v>
      </c>
      <c r="AK5" s="1" t="s">
        <v>80</v>
      </c>
      <c r="AL5" s="1" t="s">
        <v>388</v>
      </c>
      <c r="AN5" s="1" t="s">
        <v>78</v>
      </c>
      <c r="AO5" s="1">
        <v>2</v>
      </c>
      <c r="AP5" s="1" t="s">
        <v>81</v>
      </c>
      <c r="AQ5" s="1" t="s">
        <v>7</v>
      </c>
      <c r="AR5" s="1" t="s">
        <v>92</v>
      </c>
      <c r="AS5" s="1" t="s">
        <v>94</v>
      </c>
      <c r="AT5" s="1" t="s">
        <v>97</v>
      </c>
      <c r="AU5" s="1" t="s">
        <v>99</v>
      </c>
      <c r="AV5" s="1" t="s">
        <v>106</v>
      </c>
      <c r="AW5" s="1" t="s">
        <v>114</v>
      </c>
      <c r="AX5" s="1" t="s">
        <v>119</v>
      </c>
      <c r="AY5" s="1" t="s">
        <v>668</v>
      </c>
      <c r="AZ5" s="1" t="s">
        <v>125</v>
      </c>
      <c r="BA5" s="1" t="s">
        <v>129</v>
      </c>
      <c r="BB5" s="1" t="s">
        <v>366</v>
      </c>
      <c r="BC5" s="1" t="s">
        <v>136</v>
      </c>
      <c r="BD5" s="1" t="s">
        <v>149</v>
      </c>
      <c r="BE5" s="1" t="s">
        <v>439</v>
      </c>
      <c r="BF5" s="1" t="s">
        <v>625</v>
      </c>
      <c r="BG5" s="1" t="s">
        <v>344</v>
      </c>
      <c r="BH5" s="1" t="s">
        <v>351</v>
      </c>
      <c r="BJ5" s="1" t="s">
        <v>178</v>
      </c>
      <c r="BK5" s="1" t="s">
        <v>475</v>
      </c>
      <c r="BL5" s="1" t="s">
        <v>346</v>
      </c>
      <c r="BN5" s="1" t="s">
        <v>250</v>
      </c>
    </row>
    <row r="6" spans="1:66" ht="16.5" customHeight="1" x14ac:dyDescent="0.15">
      <c r="A6" s="299" t="s">
        <v>425</v>
      </c>
      <c r="B6" s="299"/>
      <c r="C6" s="299"/>
      <c r="D6" s="299"/>
      <c r="E6" s="299"/>
      <c r="F6" s="299"/>
      <c r="G6" s="299"/>
      <c r="H6" s="319"/>
      <c r="I6" s="320"/>
      <c r="J6" s="320"/>
      <c r="K6" s="320"/>
      <c r="L6" s="320"/>
      <c r="M6" s="320"/>
      <c r="N6" s="320"/>
      <c r="O6" s="321"/>
      <c r="Q6" s="283" t="s">
        <v>319</v>
      </c>
      <c r="R6" s="110"/>
      <c r="V6" s="1" t="s">
        <v>651</v>
      </c>
      <c r="AE6" s="14"/>
      <c r="AF6" s="1" t="s">
        <v>51</v>
      </c>
      <c r="AG6" s="1" t="s">
        <v>55</v>
      </c>
      <c r="AH6" s="1" t="s">
        <v>63</v>
      </c>
      <c r="AI6" s="1" t="s">
        <v>70</v>
      </c>
      <c r="AJ6" s="1" t="s">
        <v>71</v>
      </c>
      <c r="AK6" s="1" t="s">
        <v>81</v>
      </c>
      <c r="AL6" s="1" t="s">
        <v>263</v>
      </c>
      <c r="AM6" s="1" t="s">
        <v>7</v>
      </c>
      <c r="AN6" s="1" t="s">
        <v>79</v>
      </c>
      <c r="AO6" s="1">
        <v>3</v>
      </c>
      <c r="AP6" s="1" t="s">
        <v>82</v>
      </c>
      <c r="AS6" s="1" t="s">
        <v>95</v>
      </c>
      <c r="AU6" s="1" t="s">
        <v>100</v>
      </c>
      <c r="AW6" s="1" t="s">
        <v>115</v>
      </c>
      <c r="AX6" s="1" t="s">
        <v>120</v>
      </c>
      <c r="AY6" s="1" t="s">
        <v>547</v>
      </c>
      <c r="AZ6" s="1" t="s">
        <v>126</v>
      </c>
      <c r="BA6" s="1" t="s">
        <v>71</v>
      </c>
      <c r="BB6" s="1" t="s">
        <v>132</v>
      </c>
      <c r="BD6" s="1" t="s">
        <v>368</v>
      </c>
      <c r="BE6" s="1" t="s">
        <v>386</v>
      </c>
      <c r="BF6" s="1" t="s">
        <v>626</v>
      </c>
      <c r="BJ6" s="1" t="s">
        <v>179</v>
      </c>
      <c r="BK6" s="1" t="s">
        <v>476</v>
      </c>
      <c r="BL6" s="1" t="s">
        <v>347</v>
      </c>
      <c r="BN6" s="1" t="s">
        <v>350</v>
      </c>
    </row>
    <row r="7" spans="1:66" ht="15.75" customHeight="1" x14ac:dyDescent="0.15">
      <c r="A7" s="299" t="s">
        <v>345</v>
      </c>
      <c r="B7" s="299"/>
      <c r="C7" s="299"/>
      <c r="D7" s="299"/>
      <c r="E7" s="299"/>
      <c r="F7" s="299"/>
      <c r="G7" s="299"/>
      <c r="H7" s="322"/>
      <c r="I7" s="323"/>
      <c r="J7" s="323"/>
      <c r="K7" s="323"/>
      <c r="L7" s="323"/>
      <c r="M7" s="323"/>
      <c r="N7" s="323"/>
      <c r="O7" s="324"/>
      <c r="R7" s="110"/>
      <c r="V7" s="1" t="s">
        <v>640</v>
      </c>
      <c r="AE7" s="3"/>
      <c r="AF7" s="1" t="s">
        <v>52</v>
      </c>
      <c r="AG7" s="1" t="s">
        <v>56</v>
      </c>
      <c r="AH7" s="1" t="s">
        <v>64</v>
      </c>
      <c r="AI7" s="1" t="s">
        <v>397</v>
      </c>
      <c r="AK7" s="1" t="s">
        <v>82</v>
      </c>
      <c r="AL7" s="1" t="s">
        <v>389</v>
      </c>
      <c r="AM7" s="1" t="s">
        <v>647</v>
      </c>
      <c r="AN7" s="1" t="s">
        <v>7</v>
      </c>
      <c r="AO7" s="1">
        <v>4</v>
      </c>
      <c r="AS7" s="1" t="s">
        <v>7</v>
      </c>
      <c r="AU7" s="1" t="s">
        <v>101</v>
      </c>
      <c r="AW7" s="1" t="s">
        <v>116</v>
      </c>
      <c r="AY7" s="1" t="s">
        <v>255</v>
      </c>
      <c r="AZ7" s="1" t="s">
        <v>467</v>
      </c>
      <c r="BA7" s="1" t="s">
        <v>126</v>
      </c>
      <c r="BB7" s="1" t="s">
        <v>133</v>
      </c>
      <c r="BD7" s="1" t="s">
        <v>150</v>
      </c>
      <c r="BE7" s="1" t="s">
        <v>441</v>
      </c>
      <c r="BF7" s="1" t="s">
        <v>627</v>
      </c>
      <c r="BJ7" s="1" t="s">
        <v>180</v>
      </c>
      <c r="BK7" s="1" t="s">
        <v>473</v>
      </c>
      <c r="BL7" s="1" t="s">
        <v>348</v>
      </c>
      <c r="BN7" s="1" t="s">
        <v>351</v>
      </c>
    </row>
    <row r="8" spans="1:66" ht="15.75" customHeight="1" x14ac:dyDescent="0.15">
      <c r="A8" s="299" t="s">
        <v>141</v>
      </c>
      <c r="B8" s="299"/>
      <c r="C8" s="299"/>
      <c r="D8" s="299"/>
      <c r="E8" s="299"/>
      <c r="F8" s="299"/>
      <c r="G8" s="299"/>
      <c r="H8" s="316"/>
      <c r="I8" s="317"/>
      <c r="J8" s="317"/>
      <c r="K8" s="317"/>
      <c r="L8" s="317"/>
      <c r="M8" s="317"/>
      <c r="N8" s="317"/>
      <c r="O8" s="318"/>
      <c r="V8" s="1" t="s">
        <v>639</v>
      </c>
      <c r="AE8" s="14"/>
      <c r="AF8" s="1" t="s">
        <v>736</v>
      </c>
      <c r="AG8" s="1" t="s">
        <v>57</v>
      </c>
      <c r="AI8" s="1" t="s">
        <v>396</v>
      </c>
      <c r="AK8" s="1" t="s">
        <v>612</v>
      </c>
      <c r="AL8" s="1" t="s">
        <v>264</v>
      </c>
      <c r="AM8" s="1" t="s">
        <v>648</v>
      </c>
      <c r="AO8" s="1">
        <v>5</v>
      </c>
      <c r="BA8" s="1" t="s">
        <v>130</v>
      </c>
      <c r="BB8" s="1" t="s">
        <v>134</v>
      </c>
      <c r="BE8" s="1" t="s">
        <v>440</v>
      </c>
      <c r="BF8" s="1" t="s">
        <v>630</v>
      </c>
      <c r="BJ8" s="1" t="s">
        <v>181</v>
      </c>
    </row>
    <row r="9" spans="1:66" ht="17.25" customHeight="1" x14ac:dyDescent="0.15">
      <c r="A9" s="299" t="s">
        <v>426</v>
      </c>
      <c r="B9" s="299"/>
      <c r="C9" s="299"/>
      <c r="D9" s="299"/>
      <c r="E9" s="299"/>
      <c r="F9" s="299"/>
      <c r="G9" s="299"/>
      <c r="H9" s="316"/>
      <c r="I9" s="317"/>
      <c r="J9" s="317"/>
      <c r="K9" s="317"/>
      <c r="L9" s="317"/>
      <c r="M9" s="317"/>
      <c r="N9" s="317"/>
      <c r="O9" s="318"/>
      <c r="V9" s="1" t="s">
        <v>652</v>
      </c>
      <c r="AE9" s="14"/>
      <c r="AG9" s="1" t="s">
        <v>58</v>
      </c>
      <c r="AI9" s="1" t="s">
        <v>395</v>
      </c>
      <c r="AK9" s="1" t="s">
        <v>614</v>
      </c>
      <c r="AL9" s="1" t="s">
        <v>390</v>
      </c>
      <c r="AM9" s="1" t="s">
        <v>649</v>
      </c>
      <c r="AO9" s="1">
        <v>6</v>
      </c>
      <c r="AV9" s="1" t="s">
        <v>171</v>
      </c>
      <c r="BE9" s="1" t="s">
        <v>151</v>
      </c>
      <c r="BJ9" s="1" t="s">
        <v>182</v>
      </c>
    </row>
    <row r="10" spans="1:66" ht="18" customHeight="1" x14ac:dyDescent="0.15">
      <c r="A10" s="299" t="s">
        <v>60</v>
      </c>
      <c r="B10" s="299"/>
      <c r="C10" s="299"/>
      <c r="D10" s="299"/>
      <c r="E10" s="299"/>
      <c r="F10" s="299"/>
      <c r="G10" s="299"/>
      <c r="H10" s="322"/>
      <c r="I10" s="323"/>
      <c r="J10" s="323"/>
      <c r="K10" s="323"/>
      <c r="L10" s="323"/>
      <c r="M10" s="323"/>
      <c r="N10" s="323"/>
      <c r="O10" s="324"/>
      <c r="V10" s="1" t="s">
        <v>653</v>
      </c>
      <c r="AE10" s="3"/>
      <c r="AG10" s="1" t="s">
        <v>59</v>
      </c>
      <c r="AI10" s="1" t="s">
        <v>361</v>
      </c>
      <c r="AL10" s="1" t="s">
        <v>391</v>
      </c>
      <c r="AM10" s="1" t="s">
        <v>650</v>
      </c>
      <c r="AO10" s="1">
        <v>7</v>
      </c>
      <c r="BJ10" s="1" t="s">
        <v>183</v>
      </c>
    </row>
    <row r="11" spans="1:66" ht="16.5" customHeight="1" x14ac:dyDescent="0.15">
      <c r="A11" s="299" t="s">
        <v>44</v>
      </c>
      <c r="B11" s="299"/>
      <c r="C11" s="299"/>
      <c r="D11" s="299"/>
      <c r="E11" s="299"/>
      <c r="F11" s="299"/>
      <c r="G11" s="299"/>
      <c r="H11" s="322"/>
      <c r="I11" s="323"/>
      <c r="J11" s="323"/>
      <c r="K11" s="323"/>
      <c r="L11" s="323"/>
      <c r="M11" s="323"/>
      <c r="N11" s="323"/>
      <c r="O11" s="324"/>
      <c r="P11" s="2"/>
      <c r="AE11" s="14"/>
      <c r="AL11" s="1" t="s">
        <v>160</v>
      </c>
      <c r="AO11" s="1">
        <v>8</v>
      </c>
      <c r="BJ11" s="1" t="s">
        <v>184</v>
      </c>
    </row>
    <row r="12" spans="1:66" ht="25.5" customHeight="1" x14ac:dyDescent="0.15">
      <c r="A12" s="299" t="s">
        <v>45</v>
      </c>
      <c r="B12" s="299"/>
      <c r="C12" s="299"/>
      <c r="D12" s="299"/>
      <c r="E12" s="299"/>
      <c r="F12" s="299"/>
      <c r="G12" s="299"/>
      <c r="H12" s="322"/>
      <c r="I12" s="323"/>
      <c r="J12" s="323"/>
      <c r="K12" s="323"/>
      <c r="L12" s="323"/>
      <c r="M12" s="323"/>
      <c r="N12" s="323"/>
      <c r="O12" s="324"/>
      <c r="V12" s="1" t="s">
        <v>638</v>
      </c>
      <c r="AE12" s="3"/>
      <c r="AL12" s="1" t="s">
        <v>393</v>
      </c>
      <c r="AO12" s="1">
        <v>9</v>
      </c>
      <c r="BJ12" s="1" t="s">
        <v>185</v>
      </c>
    </row>
    <row r="13" spans="1:66" ht="25.5" customHeight="1" x14ac:dyDescent="0.15">
      <c r="A13" s="299" t="s">
        <v>516</v>
      </c>
      <c r="B13" s="299"/>
      <c r="C13" s="299"/>
      <c r="D13" s="299"/>
      <c r="E13" s="299"/>
      <c r="F13" s="299"/>
      <c r="G13" s="299"/>
      <c r="H13" s="322"/>
      <c r="I13" s="323"/>
      <c r="J13" s="323"/>
      <c r="K13" s="323"/>
      <c r="L13" s="323"/>
      <c r="M13" s="323"/>
      <c r="N13" s="323"/>
      <c r="O13" s="324"/>
      <c r="AE13" s="14"/>
      <c r="AL13" s="1" t="s">
        <v>392</v>
      </c>
      <c r="AO13" s="1">
        <v>10</v>
      </c>
      <c r="BJ13" s="1" t="s">
        <v>186</v>
      </c>
    </row>
    <row r="14" spans="1:66" ht="27" customHeight="1" x14ac:dyDescent="0.15">
      <c r="A14" s="299" t="s">
        <v>46</v>
      </c>
      <c r="B14" s="299"/>
      <c r="C14" s="299"/>
      <c r="D14" s="299"/>
      <c r="E14" s="299"/>
      <c r="F14" s="299"/>
      <c r="G14" s="299"/>
      <c r="H14" s="322"/>
      <c r="I14" s="323"/>
      <c r="J14" s="323"/>
      <c r="K14" s="323"/>
      <c r="L14" s="323"/>
      <c r="M14" s="323"/>
      <c r="N14" s="323"/>
      <c r="O14" s="324"/>
      <c r="AE14" s="14"/>
      <c r="AL14" s="1" t="s">
        <v>394</v>
      </c>
      <c r="AO14" s="1">
        <v>11</v>
      </c>
      <c r="BJ14" s="1" t="s">
        <v>187</v>
      </c>
    </row>
    <row r="15" spans="1:66" ht="18" customHeight="1" x14ac:dyDescent="0.15">
      <c r="A15" s="299" t="s">
        <v>349</v>
      </c>
      <c r="B15" s="299"/>
      <c r="C15" s="299"/>
      <c r="D15" s="299"/>
      <c r="E15" s="299"/>
      <c r="F15" s="299"/>
      <c r="G15" s="299"/>
      <c r="H15" s="322"/>
      <c r="I15" s="323"/>
      <c r="J15" s="323"/>
      <c r="K15" s="323"/>
      <c r="L15" s="323"/>
      <c r="M15" s="323"/>
      <c r="N15" s="323"/>
      <c r="O15" s="324"/>
      <c r="AE15" s="3"/>
      <c r="AO15" s="1">
        <v>12</v>
      </c>
      <c r="BH15" s="1"/>
      <c r="BJ15" s="1" t="s">
        <v>188</v>
      </c>
    </row>
    <row r="16" spans="1:66" ht="18" customHeight="1" x14ac:dyDescent="0.15">
      <c r="A16" s="299" t="s">
        <v>47</v>
      </c>
      <c r="B16" s="299"/>
      <c r="C16" s="299"/>
      <c r="D16" s="299"/>
      <c r="E16" s="299"/>
      <c r="F16" s="299"/>
      <c r="G16" s="299"/>
      <c r="H16" s="325"/>
      <c r="I16" s="325"/>
      <c r="J16" s="325"/>
      <c r="K16" s="325"/>
      <c r="L16" s="325"/>
      <c r="M16" s="325"/>
      <c r="N16" s="325"/>
      <c r="O16" s="325"/>
      <c r="AO16" s="1">
        <v>13</v>
      </c>
      <c r="BH16" s="1"/>
      <c r="BJ16" s="1" t="s">
        <v>189</v>
      </c>
    </row>
    <row r="17" spans="1:62" ht="24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AO17" s="1">
        <v>14</v>
      </c>
      <c r="BH17" s="1"/>
      <c r="BJ17" s="1" t="s">
        <v>190</v>
      </c>
    </row>
    <row r="18" spans="1:62" ht="15" customHeight="1" x14ac:dyDescent="0.15">
      <c r="A18" s="315" t="s">
        <v>65</v>
      </c>
      <c r="B18" s="315"/>
      <c r="C18" s="315"/>
      <c r="D18" s="315"/>
      <c r="E18" s="315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AO18" s="1">
        <v>15</v>
      </c>
      <c r="BH18" s="1"/>
      <c r="BJ18" s="1" t="s">
        <v>191</v>
      </c>
    </row>
    <row r="19" spans="1:62" ht="18.75" customHeight="1" x14ac:dyDescent="0.15">
      <c r="A19" s="301" t="s">
        <v>43</v>
      </c>
      <c r="B19" s="301"/>
      <c r="C19" s="301"/>
      <c r="D19" s="301"/>
      <c r="E19" s="301"/>
      <c r="F19" s="301"/>
      <c r="G19" s="301"/>
      <c r="H19" s="301" t="s">
        <v>48</v>
      </c>
      <c r="I19" s="301"/>
      <c r="J19" s="301"/>
      <c r="K19" s="301"/>
      <c r="L19" s="301"/>
      <c r="M19" s="301"/>
      <c r="N19" s="301"/>
      <c r="O19" s="301"/>
      <c r="AE19" s="3"/>
      <c r="AO19" s="1">
        <v>16</v>
      </c>
      <c r="BH19" s="1"/>
      <c r="BJ19" s="1" t="s">
        <v>192</v>
      </c>
    </row>
    <row r="20" spans="1:62" ht="15" customHeight="1" x14ac:dyDescent="0.15">
      <c r="A20" s="299" t="s">
        <v>515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AO20" s="1">
        <v>17</v>
      </c>
      <c r="BH20" s="1"/>
      <c r="BJ20" s="1" t="s">
        <v>193</v>
      </c>
    </row>
    <row r="21" spans="1:62" ht="15" customHeight="1" x14ac:dyDescent="0.15">
      <c r="A21" s="299" t="s">
        <v>9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AE21" s="3"/>
      <c r="AO21" s="1">
        <v>18</v>
      </c>
      <c r="BH21" s="1"/>
      <c r="BJ21" s="1" t="s">
        <v>194</v>
      </c>
    </row>
    <row r="22" spans="1:62" ht="15" customHeight="1" x14ac:dyDescent="0.15">
      <c r="A22" s="299" t="s">
        <v>66</v>
      </c>
      <c r="B22" s="299"/>
      <c r="C22" s="299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299"/>
      <c r="AO22" s="1">
        <v>19</v>
      </c>
      <c r="BH22" s="1"/>
      <c r="BJ22" s="1" t="s">
        <v>195</v>
      </c>
    </row>
    <row r="23" spans="1:62" ht="15" customHeight="1" x14ac:dyDescent="0.15">
      <c r="A23" s="299" t="s">
        <v>631</v>
      </c>
      <c r="B23" s="299"/>
      <c r="C23" s="299"/>
      <c r="D23" s="299"/>
      <c r="E23" s="299"/>
      <c r="F23" s="299"/>
      <c r="G23" s="299"/>
      <c r="H23" s="326"/>
      <c r="I23" s="326"/>
      <c r="J23" s="326"/>
      <c r="K23" s="326"/>
      <c r="L23" s="326"/>
      <c r="M23" s="326"/>
      <c r="N23" s="326"/>
      <c r="O23" s="326"/>
      <c r="AE23" s="3"/>
      <c r="AO23" s="1">
        <v>20</v>
      </c>
      <c r="BH23" s="1"/>
      <c r="BJ23" s="1" t="s">
        <v>196</v>
      </c>
    </row>
    <row r="24" spans="1:62" ht="15" customHeight="1" x14ac:dyDescent="0.15">
      <c r="A24" s="299" t="s">
        <v>176</v>
      </c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AO24" s="1">
        <v>21</v>
      </c>
      <c r="BH24" s="1"/>
      <c r="BJ24" s="1" t="s">
        <v>197</v>
      </c>
    </row>
    <row r="25" spans="1:62" ht="15" customHeight="1" x14ac:dyDescent="0.15">
      <c r="A25" s="299" t="s">
        <v>338</v>
      </c>
      <c r="B25" s="299"/>
      <c r="C25" s="299"/>
      <c r="D25" s="299"/>
      <c r="E25" s="299"/>
      <c r="F25" s="299"/>
      <c r="G25" s="299"/>
      <c r="H25" s="326">
        <f ca="1">YEAR(TODAY())-H23</f>
        <v>2023</v>
      </c>
      <c r="I25" s="299"/>
      <c r="J25" s="299"/>
      <c r="K25" s="299"/>
      <c r="L25" s="299"/>
      <c r="M25" s="299"/>
      <c r="N25" s="299"/>
      <c r="O25" s="299"/>
      <c r="AO25" s="1">
        <v>22</v>
      </c>
      <c r="BH25" s="1"/>
      <c r="BJ25" s="1" t="s">
        <v>198</v>
      </c>
    </row>
    <row r="26" spans="1:62" ht="15" customHeight="1" x14ac:dyDescent="0.15">
      <c r="A26" s="299" t="s">
        <v>643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BH26" s="1"/>
    </row>
    <row r="27" spans="1:62" ht="15" customHeight="1" x14ac:dyDescent="0.15">
      <c r="A27" s="299" t="s">
        <v>321</v>
      </c>
      <c r="B27" s="299"/>
      <c r="C27" s="299"/>
      <c r="D27" s="299"/>
      <c r="E27" s="299"/>
      <c r="F27" s="299"/>
      <c r="G27" s="299"/>
      <c r="H27" s="327">
        <f>'Расчет износа'!B22</f>
        <v>0</v>
      </c>
      <c r="I27" s="327"/>
      <c r="J27" s="327"/>
      <c r="K27" s="327"/>
      <c r="L27" s="327"/>
      <c r="M27" s="327"/>
      <c r="N27" s="327"/>
      <c r="O27" s="327"/>
      <c r="AO27" s="1">
        <v>23</v>
      </c>
      <c r="BH27" s="1"/>
      <c r="BJ27" s="1" t="s">
        <v>199</v>
      </c>
    </row>
    <row r="28" spans="1:62" ht="15" customHeight="1" x14ac:dyDescent="0.15">
      <c r="A28" s="299" t="s">
        <v>322</v>
      </c>
      <c r="B28" s="299"/>
      <c r="C28" s="299"/>
      <c r="D28" s="299"/>
      <c r="E28" s="299"/>
      <c r="F28" s="299"/>
      <c r="G28" s="299"/>
      <c r="H28" s="299" t="str">
        <f>'Расчет износа'!B21</f>
        <v>Метод срока жизни</v>
      </c>
      <c r="I28" s="299"/>
      <c r="J28" s="299"/>
      <c r="K28" s="299"/>
      <c r="L28" s="299"/>
      <c r="M28" s="299"/>
      <c r="N28" s="299"/>
      <c r="O28" s="299"/>
      <c r="AE28" s="3"/>
      <c r="AO28" s="1">
        <v>24</v>
      </c>
      <c r="BH28" s="1"/>
      <c r="BJ28" s="1" t="s">
        <v>200</v>
      </c>
    </row>
    <row r="29" spans="1:62" ht="18" customHeight="1" x14ac:dyDescent="0.15">
      <c r="A29" s="299" t="s">
        <v>644</v>
      </c>
      <c r="B29" s="299"/>
      <c r="C29" s="299"/>
      <c r="D29" s="299"/>
      <c r="E29" s="299"/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AE29" s="14"/>
      <c r="BH29" s="1"/>
    </row>
    <row r="30" spans="1:62" ht="15" hidden="1" customHeight="1" x14ac:dyDescent="0.15">
      <c r="A30" s="299" t="s">
        <v>72</v>
      </c>
      <c r="B30" s="299"/>
      <c r="C30" s="299"/>
      <c r="D30" s="299"/>
      <c r="E30" s="299"/>
      <c r="F30" s="299"/>
      <c r="G30" s="299"/>
      <c r="H30" s="299" t="s">
        <v>387</v>
      </c>
      <c r="I30" s="299"/>
      <c r="J30" s="299"/>
      <c r="K30" s="299"/>
      <c r="L30" s="299"/>
      <c r="M30" s="299"/>
      <c r="N30" s="299"/>
      <c r="O30" s="299"/>
      <c r="BH30" s="1"/>
      <c r="BJ30" s="1" t="s">
        <v>201</v>
      </c>
    </row>
    <row r="31" spans="1:62" ht="15" customHeight="1" x14ac:dyDescent="0.15">
      <c r="A31" s="299" t="s">
        <v>73</v>
      </c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299"/>
      <c r="AE31" s="3"/>
      <c r="BH31" s="1"/>
      <c r="BJ31" s="1" t="s">
        <v>202</v>
      </c>
    </row>
    <row r="32" spans="1:62" ht="16.5" customHeight="1" x14ac:dyDescent="0.15">
      <c r="A32" s="299" t="s">
        <v>76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BH32" s="1"/>
      <c r="BJ32" s="1" t="s">
        <v>203</v>
      </c>
    </row>
    <row r="33" spans="1:62" ht="16.5" customHeight="1" x14ac:dyDescent="0.15">
      <c r="A33" s="299" t="s">
        <v>645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BH33" s="1"/>
    </row>
    <row r="34" spans="1:62" ht="24" customHeight="1" x14ac:dyDescent="0.15">
      <c r="A34" s="299" t="s">
        <v>646</v>
      </c>
      <c r="B34" s="299"/>
      <c r="C34" s="299"/>
      <c r="D34" s="299"/>
      <c r="E34" s="299"/>
      <c r="F34" s="299"/>
      <c r="G34" s="299"/>
      <c r="H34" s="299"/>
      <c r="I34" s="299"/>
      <c r="J34" s="299"/>
      <c r="K34" s="299"/>
      <c r="L34" s="299"/>
      <c r="M34" s="299"/>
      <c r="N34" s="299"/>
      <c r="O34" s="299"/>
      <c r="BH34" s="1"/>
    </row>
    <row r="35" spans="1:62" ht="15" customHeight="1" x14ac:dyDescent="0.15">
      <c r="A35" s="299" t="s">
        <v>67</v>
      </c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299"/>
      <c r="M35" s="299"/>
      <c r="N35" s="299"/>
      <c r="O35" s="299"/>
      <c r="AE35" s="3"/>
      <c r="BH35" s="1"/>
      <c r="BJ35" s="1" t="s">
        <v>204</v>
      </c>
    </row>
    <row r="36" spans="1:62" ht="15" customHeight="1" x14ac:dyDescent="0.15">
      <c r="A36" s="299" t="s">
        <v>83</v>
      </c>
      <c r="B36" s="299"/>
      <c r="C36" s="299"/>
      <c r="D36" s="299"/>
      <c r="E36" s="299"/>
      <c r="F36" s="299"/>
      <c r="G36" s="299"/>
      <c r="H36" s="299" t="s">
        <v>553</v>
      </c>
      <c r="I36" s="299"/>
      <c r="J36" s="299"/>
      <c r="K36" s="299"/>
      <c r="L36" s="299"/>
      <c r="M36" s="299"/>
      <c r="N36" s="299"/>
      <c r="O36" s="299"/>
      <c r="AO36" s="6"/>
      <c r="BH36" s="1"/>
    </row>
    <row r="37" spans="1:62" ht="26.25" customHeight="1" x14ac:dyDescent="0.15">
      <c r="A37" s="299" t="s">
        <v>68</v>
      </c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299"/>
      <c r="BH37" s="1"/>
    </row>
    <row r="38" spans="1:62" ht="15" customHeight="1" x14ac:dyDescent="0.15">
      <c r="A38" s="335"/>
      <c r="B38" s="335"/>
      <c r="C38" s="335"/>
      <c r="D38" s="335"/>
      <c r="E38" s="335"/>
      <c r="F38" s="335"/>
      <c r="G38" s="335"/>
      <c r="H38" s="5"/>
      <c r="I38" s="4"/>
      <c r="J38" s="4"/>
      <c r="K38" s="4"/>
      <c r="L38" s="4"/>
      <c r="M38" s="4"/>
      <c r="N38" s="4"/>
      <c r="O38" s="4"/>
      <c r="BH38" s="1"/>
    </row>
    <row r="39" spans="1:62" ht="15" customHeight="1" x14ac:dyDescent="0.15">
      <c r="A39" s="315" t="s">
        <v>86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BH39" s="1"/>
    </row>
    <row r="40" spans="1:62" ht="20.25" customHeight="1" x14ac:dyDescent="0.15">
      <c r="A40" s="301" t="s">
        <v>43</v>
      </c>
      <c r="B40" s="301"/>
      <c r="C40" s="301"/>
      <c r="D40" s="301"/>
      <c r="E40" s="301"/>
      <c r="F40" s="301"/>
      <c r="G40" s="301"/>
      <c r="H40" s="301" t="s">
        <v>48</v>
      </c>
      <c r="I40" s="301"/>
      <c r="J40" s="301"/>
      <c r="K40" s="301"/>
      <c r="L40" s="301"/>
      <c r="M40" s="301"/>
      <c r="N40" s="301"/>
      <c r="O40" s="301"/>
      <c r="AE40" s="3"/>
      <c r="AO40" s="6"/>
      <c r="BJ40" s="6"/>
    </row>
    <row r="41" spans="1:62" ht="15" customHeight="1" x14ac:dyDescent="0.15">
      <c r="A41" s="299" t="s">
        <v>147</v>
      </c>
      <c r="B41" s="299"/>
      <c r="C41" s="299"/>
      <c r="D41" s="299"/>
      <c r="E41" s="299"/>
      <c r="F41" s="299"/>
      <c r="G41" s="299"/>
      <c r="H41" s="287"/>
      <c r="I41" s="287"/>
      <c r="J41" s="287"/>
      <c r="K41" s="287"/>
      <c r="L41" s="287"/>
      <c r="M41" s="287"/>
      <c r="N41" s="287"/>
      <c r="O41" s="287"/>
      <c r="AL41" s="6"/>
      <c r="AM41" s="6"/>
      <c r="AN41" s="6"/>
    </row>
    <row r="42" spans="1:62" ht="15" customHeight="1" x14ac:dyDescent="0.15">
      <c r="A42" s="299" t="s">
        <v>488</v>
      </c>
      <c r="B42" s="299"/>
      <c r="C42" s="299"/>
      <c r="D42" s="299"/>
      <c r="E42" s="299"/>
      <c r="F42" s="299"/>
      <c r="G42" s="299"/>
      <c r="H42" s="325"/>
      <c r="I42" s="325"/>
      <c r="J42" s="325"/>
      <c r="K42" s="325"/>
      <c r="L42" s="325"/>
      <c r="M42" s="325"/>
      <c r="N42" s="325"/>
      <c r="O42" s="325"/>
      <c r="AL42" s="6"/>
      <c r="AM42" s="6"/>
      <c r="AN42" s="6"/>
    </row>
    <row r="43" spans="1:62" ht="15" customHeight="1" x14ac:dyDescent="0.15">
      <c r="A43" s="299" t="s">
        <v>489</v>
      </c>
      <c r="B43" s="299"/>
      <c r="C43" s="299"/>
      <c r="D43" s="299"/>
      <c r="E43" s="299"/>
      <c r="F43" s="299"/>
      <c r="G43" s="299"/>
      <c r="H43" s="325"/>
      <c r="I43" s="325"/>
      <c r="J43" s="325"/>
      <c r="K43" s="325"/>
      <c r="L43" s="325"/>
      <c r="M43" s="325"/>
      <c r="N43" s="325"/>
      <c r="O43" s="325"/>
      <c r="AL43" s="6"/>
      <c r="AM43" s="6"/>
      <c r="AN43" s="6"/>
    </row>
    <row r="44" spans="1:62" ht="15" customHeight="1" x14ac:dyDescent="0.15">
      <c r="A44" s="299" t="s">
        <v>84</v>
      </c>
      <c r="B44" s="299"/>
      <c r="C44" s="299"/>
      <c r="D44" s="299"/>
      <c r="E44" s="299"/>
      <c r="F44" s="299"/>
      <c r="G44" s="299"/>
      <c r="H44" s="325"/>
      <c r="I44" s="325"/>
      <c r="J44" s="325"/>
      <c r="K44" s="325"/>
      <c r="L44" s="325"/>
      <c r="M44" s="325"/>
      <c r="N44" s="325"/>
      <c r="O44" s="325"/>
      <c r="AE44" s="3"/>
      <c r="AG44" s="6"/>
      <c r="AH44" s="6"/>
      <c r="AJ44" s="6"/>
      <c r="AK44" s="6"/>
      <c r="AP44" s="6"/>
      <c r="AQ44" s="6"/>
      <c r="AR44" s="6"/>
      <c r="AS44" s="6"/>
      <c r="AT44" s="6"/>
      <c r="AU44" s="6"/>
      <c r="AV44" s="6"/>
      <c r="AW44" s="6"/>
      <c r="AX44" s="6"/>
      <c r="AZ44" s="6"/>
      <c r="BA44" s="6"/>
      <c r="BB44" s="6"/>
      <c r="BC44" s="6"/>
    </row>
    <row r="45" spans="1:62" ht="16.5" hidden="1" customHeight="1" x14ac:dyDescent="0.15">
      <c r="A45" s="299" t="s">
        <v>654</v>
      </c>
      <c r="B45" s="299"/>
      <c r="C45" s="299"/>
      <c r="D45" s="299"/>
      <c r="E45" s="299"/>
      <c r="F45" s="299"/>
      <c r="G45" s="299"/>
      <c r="H45" s="305"/>
      <c r="I45" s="305"/>
      <c r="J45" s="305"/>
      <c r="K45" s="305"/>
      <c r="L45" s="305"/>
      <c r="M45" s="305"/>
      <c r="N45" s="305"/>
      <c r="O45" s="305"/>
      <c r="AG45" s="6"/>
      <c r="AH45" s="6"/>
      <c r="AJ45" s="6"/>
      <c r="AK45" s="6"/>
      <c r="AP45" s="6"/>
      <c r="AQ45" s="6"/>
      <c r="AR45" s="6"/>
      <c r="AS45" s="6"/>
      <c r="AT45" s="6"/>
      <c r="AU45" s="6"/>
      <c r="AV45" s="6"/>
      <c r="AW45" s="6"/>
      <c r="AX45" s="6"/>
      <c r="AZ45" s="6"/>
      <c r="BA45" s="6"/>
      <c r="BB45" s="6"/>
      <c r="BC45" s="6"/>
      <c r="BE45" s="6"/>
      <c r="BF45" s="6"/>
      <c r="BG45" s="6"/>
      <c r="BH45" s="284"/>
      <c r="BI45" s="6"/>
    </row>
    <row r="46" spans="1:62" ht="16.5" customHeight="1" x14ac:dyDescent="0.15">
      <c r="A46" s="299" t="s">
        <v>757</v>
      </c>
      <c r="B46" s="299"/>
      <c r="C46" s="299"/>
      <c r="D46" s="299"/>
      <c r="E46" s="299"/>
      <c r="F46" s="299"/>
      <c r="G46" s="299"/>
      <c r="H46" s="333"/>
      <c r="I46" s="333"/>
      <c r="J46" s="333"/>
      <c r="K46" s="333"/>
      <c r="L46" s="333"/>
      <c r="M46" s="333"/>
      <c r="N46" s="333"/>
      <c r="O46" s="333"/>
      <c r="AG46" s="6"/>
      <c r="AH46" s="6"/>
      <c r="AJ46" s="6"/>
      <c r="AK46" s="6"/>
      <c r="AP46" s="6"/>
      <c r="AQ46" s="6"/>
      <c r="AR46" s="6"/>
      <c r="AS46" s="6"/>
      <c r="AT46" s="6"/>
      <c r="AU46" s="6"/>
      <c r="AV46" s="6"/>
      <c r="AW46" s="6"/>
      <c r="AX46" s="6"/>
      <c r="AZ46" s="6"/>
      <c r="BA46" s="6"/>
      <c r="BB46" s="6"/>
      <c r="BC46" s="6"/>
      <c r="BE46" s="6"/>
      <c r="BF46" s="6"/>
      <c r="BG46" s="6"/>
      <c r="BH46" s="284"/>
      <c r="BI46" s="6"/>
    </row>
    <row r="47" spans="1:62" ht="27" hidden="1" customHeight="1" x14ac:dyDescent="0.15">
      <c r="A47" s="299" t="s">
        <v>755</v>
      </c>
      <c r="B47" s="299"/>
      <c r="C47" s="299"/>
      <c r="D47" s="299"/>
      <c r="E47" s="299"/>
      <c r="F47" s="299"/>
      <c r="G47" s="299"/>
      <c r="H47" s="330">
        <v>40.6</v>
      </c>
      <c r="I47" s="331"/>
      <c r="J47" s="331"/>
      <c r="K47" s="331"/>
      <c r="L47" s="331"/>
      <c r="M47" s="331"/>
      <c r="N47" s="331"/>
      <c r="O47" s="332"/>
      <c r="AG47" s="6"/>
      <c r="AH47" s="6"/>
      <c r="AJ47" s="6"/>
      <c r="AK47" s="6"/>
      <c r="AP47" s="6"/>
      <c r="AQ47" s="6"/>
      <c r="AR47" s="6"/>
      <c r="AS47" s="6"/>
      <c r="AT47" s="6"/>
      <c r="AU47" s="6"/>
      <c r="AV47" s="6"/>
      <c r="AW47" s="6"/>
      <c r="AX47" s="6"/>
      <c r="AZ47" s="6"/>
      <c r="BA47" s="6"/>
      <c r="BB47" s="6"/>
      <c r="BC47" s="6"/>
      <c r="BE47" s="6"/>
      <c r="BF47" s="6"/>
      <c r="BG47" s="6"/>
      <c r="BH47" s="284"/>
      <c r="BI47" s="6"/>
    </row>
    <row r="48" spans="1:62" ht="18" customHeight="1" x14ac:dyDescent="0.25">
      <c r="A48" s="299" t="s">
        <v>622</v>
      </c>
      <c r="B48" s="299"/>
      <c r="C48" s="299"/>
      <c r="D48" s="299"/>
      <c r="E48" s="299"/>
      <c r="F48" s="299"/>
      <c r="G48" s="299"/>
      <c r="H48" s="334"/>
      <c r="I48" s="334"/>
      <c r="J48" s="334"/>
      <c r="K48" s="334"/>
      <c r="L48" s="334"/>
      <c r="M48" s="334"/>
      <c r="N48" s="334"/>
      <c r="O48" s="334"/>
      <c r="P48" s="126" t="s">
        <v>536</v>
      </c>
      <c r="AY48" s="6"/>
      <c r="BE48" s="6"/>
      <c r="BF48" s="6"/>
      <c r="BG48" s="6"/>
      <c r="BH48" s="284"/>
      <c r="BI48" s="6"/>
    </row>
    <row r="49" spans="1:62" ht="15" customHeight="1" x14ac:dyDescent="0.15">
      <c r="A49" s="299" t="s">
        <v>365</v>
      </c>
      <c r="B49" s="299"/>
      <c r="C49" s="299"/>
      <c r="D49" s="299"/>
      <c r="E49" s="299"/>
      <c r="F49" s="299"/>
      <c r="G49" s="299"/>
      <c r="H49" s="287"/>
      <c r="I49" s="287"/>
      <c r="J49" s="287"/>
      <c r="K49" s="287"/>
      <c r="L49" s="287"/>
      <c r="M49" s="287"/>
      <c r="N49" s="287"/>
      <c r="O49" s="287"/>
      <c r="R49" s="6"/>
      <c r="AE49" s="6"/>
      <c r="AF49" s="6"/>
      <c r="AI49" s="6"/>
      <c r="AO49" s="6"/>
      <c r="BD49" s="6"/>
    </row>
    <row r="50" spans="1:62" s="6" customFormat="1" ht="15" customHeight="1" x14ac:dyDescent="0.15">
      <c r="A50" s="299" t="s">
        <v>620</v>
      </c>
      <c r="B50" s="299"/>
      <c r="C50" s="299"/>
      <c r="D50" s="299"/>
      <c r="E50" s="299"/>
      <c r="F50" s="299"/>
      <c r="G50" s="299"/>
      <c r="H50" s="202" t="s">
        <v>88</v>
      </c>
      <c r="I50" s="187"/>
      <c r="J50" s="202" t="s">
        <v>533</v>
      </c>
      <c r="K50" s="187"/>
      <c r="L50" s="202" t="s">
        <v>89</v>
      </c>
      <c r="M50" s="187"/>
      <c r="N50" s="202" t="s">
        <v>90</v>
      </c>
      <c r="O50" s="187"/>
      <c r="P50" s="1" t="s">
        <v>737</v>
      </c>
      <c r="Q50" s="1"/>
      <c r="R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2"/>
      <c r="BI50" s="1"/>
    </row>
    <row r="51" spans="1:62" s="6" customFormat="1" ht="6.75" customHeight="1" outlineLevel="1" x14ac:dyDescent="0.15">
      <c r="A51" s="299"/>
      <c r="B51" s="299"/>
      <c r="C51" s="299"/>
      <c r="D51" s="299"/>
      <c r="E51" s="299"/>
      <c r="F51" s="299"/>
      <c r="G51" s="299"/>
      <c r="H51" s="188" t="s">
        <v>376</v>
      </c>
      <c r="I51" s="189"/>
      <c r="J51" s="188" t="s">
        <v>377</v>
      </c>
      <c r="K51" s="189"/>
      <c r="L51" s="188" t="s">
        <v>378</v>
      </c>
      <c r="M51" s="189"/>
      <c r="N51" s="188" t="s">
        <v>379</v>
      </c>
      <c r="O51" s="190"/>
      <c r="P51" s="1"/>
      <c r="Q51" s="1"/>
      <c r="R51" s="1"/>
      <c r="AE51" s="1"/>
      <c r="AF51" s="1"/>
      <c r="AG51" s="1"/>
      <c r="AH51" s="1"/>
      <c r="AI51" s="1"/>
      <c r="AJ51" s="1"/>
      <c r="AK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2"/>
      <c r="BI51" s="1"/>
      <c r="BJ51" s="1"/>
    </row>
    <row r="52" spans="1:62" ht="17.25" customHeight="1" x14ac:dyDescent="0.15">
      <c r="A52" s="299" t="s">
        <v>761</v>
      </c>
      <c r="B52" s="299"/>
      <c r="C52" s="299"/>
      <c r="D52" s="299"/>
      <c r="E52" s="299"/>
      <c r="F52" s="299"/>
      <c r="G52" s="299"/>
      <c r="H52" s="288"/>
      <c r="I52" s="288"/>
      <c r="J52" s="288"/>
      <c r="K52" s="288"/>
      <c r="L52" s="288"/>
      <c r="M52" s="288"/>
      <c r="N52" s="288"/>
      <c r="O52" s="288"/>
      <c r="AE52" s="3"/>
      <c r="AG52" s="6"/>
      <c r="AH52" s="6"/>
      <c r="AJ52" s="6"/>
      <c r="AK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Z52" s="6"/>
      <c r="BA52" s="6"/>
      <c r="BB52" s="6"/>
      <c r="BC52" s="6"/>
    </row>
    <row r="53" spans="1:62" ht="15" customHeight="1" x14ac:dyDescent="0.15">
      <c r="A53" s="299" t="s">
        <v>380</v>
      </c>
      <c r="B53" s="299"/>
      <c r="C53" s="299"/>
      <c r="D53" s="299"/>
      <c r="E53" s="299"/>
      <c r="F53" s="299"/>
      <c r="G53" s="299"/>
      <c r="H53" s="288"/>
      <c r="I53" s="288"/>
      <c r="J53" s="288"/>
      <c r="K53" s="288"/>
      <c r="L53" s="288"/>
      <c r="M53" s="288"/>
      <c r="N53" s="288"/>
      <c r="O53" s="288"/>
      <c r="AG53" s="6"/>
      <c r="AH53" s="6"/>
      <c r="AJ53" s="6"/>
      <c r="AK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Z53" s="6"/>
      <c r="BA53" s="6"/>
      <c r="BB53" s="6"/>
      <c r="BC53" s="6"/>
      <c r="BE53" s="6"/>
      <c r="BF53" s="6"/>
      <c r="BG53" s="6"/>
      <c r="BH53" s="284"/>
      <c r="BI53" s="6"/>
    </row>
    <row r="54" spans="1:62" ht="15" customHeight="1" x14ac:dyDescent="0.15">
      <c r="A54" s="299" t="s">
        <v>381</v>
      </c>
      <c r="B54" s="299"/>
      <c r="C54" s="299"/>
      <c r="D54" s="299"/>
      <c r="E54" s="299"/>
      <c r="F54" s="299"/>
      <c r="G54" s="299"/>
      <c r="H54" s="288"/>
      <c r="I54" s="288"/>
      <c r="J54" s="288"/>
      <c r="K54" s="288"/>
      <c r="L54" s="288"/>
      <c r="M54" s="288"/>
      <c r="N54" s="288"/>
      <c r="O54" s="288"/>
      <c r="AI54" s="6"/>
      <c r="AY54" s="6"/>
      <c r="BE54" s="6"/>
      <c r="BF54" s="6"/>
      <c r="BG54" s="6"/>
      <c r="BH54" s="284"/>
      <c r="BI54" s="6"/>
    </row>
    <row r="55" spans="1:62" ht="15" customHeight="1" x14ac:dyDescent="0.15">
      <c r="A55" s="299" t="s">
        <v>616</v>
      </c>
      <c r="B55" s="299"/>
      <c r="C55" s="299"/>
      <c r="D55" s="299"/>
      <c r="E55" s="299"/>
      <c r="F55" s="299"/>
      <c r="G55" s="299"/>
      <c r="H55" s="288"/>
      <c r="I55" s="288"/>
      <c r="J55" s="288"/>
      <c r="K55" s="288"/>
      <c r="L55" s="288"/>
      <c r="M55" s="288"/>
      <c r="N55" s="288"/>
      <c r="O55" s="288"/>
      <c r="R55" s="6"/>
      <c r="AE55" s="6"/>
      <c r="AF55" s="6"/>
      <c r="AG55" s="6"/>
      <c r="AH55" s="6"/>
      <c r="AI55" s="6"/>
      <c r="AJ55" s="6"/>
      <c r="AK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Z55" s="6"/>
      <c r="BA55" s="6"/>
      <c r="BB55" s="6"/>
      <c r="BC55" s="6"/>
      <c r="BD55" s="6"/>
    </row>
    <row r="56" spans="1:62" ht="15" customHeight="1" x14ac:dyDescent="0.15">
      <c r="A56" s="299" t="s">
        <v>382</v>
      </c>
      <c r="B56" s="299"/>
      <c r="C56" s="299"/>
      <c r="D56" s="299"/>
      <c r="E56" s="299"/>
      <c r="F56" s="299"/>
      <c r="G56" s="299"/>
      <c r="H56" s="288"/>
      <c r="I56" s="288"/>
      <c r="J56" s="288"/>
      <c r="K56" s="288"/>
      <c r="L56" s="288"/>
      <c r="M56" s="288"/>
      <c r="N56" s="288"/>
      <c r="O56" s="288"/>
      <c r="AO56" s="6"/>
      <c r="BE56" s="6"/>
      <c r="BF56" s="6"/>
      <c r="BG56" s="6"/>
      <c r="BH56" s="284"/>
      <c r="BI56" s="6"/>
      <c r="BJ56" s="6"/>
    </row>
    <row r="57" spans="1:62" s="6" customFormat="1" ht="15" customHeight="1" x14ac:dyDescent="0.15">
      <c r="A57" s="299" t="s">
        <v>383</v>
      </c>
      <c r="B57" s="299"/>
      <c r="C57" s="299"/>
      <c r="D57" s="299"/>
      <c r="E57" s="299"/>
      <c r="F57" s="299"/>
      <c r="G57" s="299"/>
      <c r="H57" s="299"/>
      <c r="I57" s="299"/>
      <c r="J57" s="299"/>
      <c r="K57" s="299"/>
      <c r="L57" s="302"/>
      <c r="M57" s="302"/>
      <c r="N57" s="302"/>
      <c r="O57" s="302"/>
      <c r="P57" s="1"/>
      <c r="Q57" s="1"/>
      <c r="R57" s="1"/>
      <c r="AE57" s="1"/>
      <c r="AF57" s="1"/>
      <c r="AG57" s="1"/>
      <c r="AH57" s="1"/>
      <c r="AJ57" s="1"/>
      <c r="AK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2"/>
      <c r="BI57" s="1"/>
      <c r="BJ57" s="1"/>
    </row>
    <row r="58" spans="1:62" ht="15" customHeight="1" x14ac:dyDescent="0.15">
      <c r="A58" s="299" t="s">
        <v>85</v>
      </c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299"/>
      <c r="AE58" s="3"/>
      <c r="AG58" s="6"/>
      <c r="AH58" s="6"/>
      <c r="AJ58" s="6"/>
      <c r="AK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Z58" s="6"/>
      <c r="BA58" s="6"/>
      <c r="BB58" s="6"/>
      <c r="BC58" s="6"/>
      <c r="BJ58" s="6"/>
    </row>
    <row r="59" spans="1:62" ht="15" customHeight="1" x14ac:dyDescent="0.15">
      <c r="A59" s="299" t="s">
        <v>526</v>
      </c>
      <c r="B59" s="299"/>
      <c r="C59" s="299"/>
      <c r="D59" s="299"/>
      <c r="E59" s="299"/>
      <c r="F59" s="299"/>
      <c r="G59" s="299"/>
      <c r="H59" s="288"/>
      <c r="I59" s="288"/>
      <c r="J59" s="288"/>
      <c r="K59" s="288"/>
      <c r="L59" s="288"/>
      <c r="M59" s="288"/>
      <c r="N59" s="288"/>
      <c r="O59" s="288"/>
      <c r="AL59" s="6"/>
      <c r="AM59" s="6"/>
      <c r="AN59" s="6"/>
      <c r="AY59" s="6"/>
      <c r="BE59" s="6"/>
      <c r="BF59" s="6"/>
      <c r="BG59" s="6"/>
      <c r="BH59" s="284"/>
      <c r="BI59" s="6"/>
      <c r="BJ59" s="6"/>
    </row>
    <row r="60" spans="1:62" ht="15" customHeight="1" x14ac:dyDescent="0.15">
      <c r="A60" s="299" t="s">
        <v>423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R60" s="6"/>
      <c r="AE60" s="6"/>
      <c r="AF60" s="6"/>
      <c r="AI60" s="6"/>
      <c r="AL60" s="6"/>
      <c r="AM60" s="6"/>
      <c r="AN60" s="6"/>
      <c r="AY60" s="6"/>
      <c r="BD60" s="6"/>
    </row>
    <row r="61" spans="1:62" ht="10.5" hidden="1" customHeight="1" x14ac:dyDescent="0.15">
      <c r="A61" s="299" t="s">
        <v>470</v>
      </c>
      <c r="B61" s="299"/>
      <c r="C61" s="299"/>
      <c r="D61" s="299"/>
      <c r="E61" s="299"/>
      <c r="F61" s="299"/>
      <c r="G61" s="299"/>
      <c r="H61" s="306" t="s">
        <v>7</v>
      </c>
      <c r="I61" s="306"/>
      <c r="J61" s="306"/>
      <c r="K61" s="306"/>
      <c r="L61" s="306"/>
      <c r="M61" s="306"/>
      <c r="N61" s="306"/>
      <c r="O61" s="306"/>
      <c r="R61" s="6"/>
      <c r="AE61" s="6"/>
      <c r="AF61" s="6"/>
      <c r="AG61" s="6"/>
      <c r="AH61" s="6"/>
      <c r="AJ61" s="6"/>
      <c r="AK61" s="6"/>
      <c r="AP61" s="6"/>
      <c r="AQ61" s="6"/>
      <c r="AR61" s="6"/>
      <c r="AS61" s="6"/>
      <c r="AT61" s="6"/>
      <c r="AU61" s="6"/>
      <c r="AV61" s="6"/>
      <c r="AW61" s="6"/>
      <c r="AX61" s="6"/>
      <c r="AZ61" s="6"/>
      <c r="BA61" s="6"/>
      <c r="BB61" s="6"/>
      <c r="BC61" s="6"/>
      <c r="BD61" s="6"/>
      <c r="BJ61" s="6"/>
    </row>
    <row r="62" spans="1:62" ht="36" hidden="1" customHeight="1" x14ac:dyDescent="0.15">
      <c r="A62" s="299" t="s">
        <v>724</v>
      </c>
      <c r="B62" s="299"/>
      <c r="C62" s="299"/>
      <c r="D62" s="299"/>
      <c r="E62" s="299"/>
      <c r="F62" s="299"/>
      <c r="G62" s="299"/>
      <c r="H62" s="299"/>
      <c r="I62" s="299"/>
      <c r="J62" s="299"/>
      <c r="K62" s="299"/>
      <c r="L62" s="299"/>
      <c r="M62" s="299"/>
      <c r="N62" s="299"/>
      <c r="O62" s="299"/>
      <c r="R62" s="6"/>
      <c r="AE62" s="6"/>
      <c r="AF62" s="6"/>
      <c r="AG62" s="6"/>
      <c r="AH62" s="6"/>
      <c r="AJ62" s="6"/>
      <c r="AK62" s="6"/>
      <c r="AP62" s="6"/>
      <c r="AQ62" s="6"/>
      <c r="AR62" s="6"/>
      <c r="AS62" s="6"/>
      <c r="AT62" s="6"/>
      <c r="AU62" s="6"/>
      <c r="AV62" s="6"/>
      <c r="AW62" s="6"/>
      <c r="AX62" s="6"/>
      <c r="AZ62" s="6"/>
      <c r="BA62" s="6"/>
      <c r="BB62" s="6"/>
      <c r="BC62" s="6"/>
      <c r="BD62" s="6"/>
      <c r="BJ62" s="6"/>
    </row>
    <row r="63" spans="1:62" s="6" customFormat="1" ht="15" customHeight="1" x14ac:dyDescent="0.15">
      <c r="A63" s="301" t="s">
        <v>102</v>
      </c>
      <c r="B63" s="301"/>
      <c r="C63" s="301"/>
      <c r="D63" s="301"/>
      <c r="E63" s="301" t="s">
        <v>103</v>
      </c>
      <c r="F63" s="301"/>
      <c r="G63" s="301"/>
      <c r="H63" s="301"/>
      <c r="I63" s="301"/>
      <c r="J63" s="301"/>
      <c r="K63" s="301"/>
      <c r="L63" s="301"/>
      <c r="M63" s="301"/>
      <c r="N63" s="301"/>
      <c r="O63" s="301"/>
      <c r="P63" s="1"/>
      <c r="Q63" s="1"/>
      <c r="R63" s="1"/>
      <c r="AE63" s="1"/>
      <c r="AF63" s="1"/>
      <c r="AG63" s="1"/>
      <c r="AH63" s="1"/>
      <c r="AI63" s="1"/>
      <c r="AJ63" s="1"/>
      <c r="AK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Z63" s="1"/>
      <c r="BA63" s="1"/>
      <c r="BB63" s="1"/>
      <c r="BC63" s="1"/>
      <c r="BD63" s="1"/>
      <c r="BH63" s="284"/>
      <c r="BJ63" s="1"/>
    </row>
    <row r="64" spans="1:62" ht="15" customHeight="1" x14ac:dyDescent="0.15">
      <c r="A64" s="300" t="s">
        <v>104</v>
      </c>
      <c r="B64" s="300"/>
      <c r="C64" s="300"/>
      <c r="D64" s="105"/>
      <c r="E64" s="300" t="s">
        <v>117</v>
      </c>
      <c r="F64" s="300"/>
      <c r="G64" s="300"/>
      <c r="H64" s="308"/>
      <c r="I64" s="308"/>
      <c r="J64" s="308"/>
      <c r="K64" s="308"/>
      <c r="L64" s="308"/>
      <c r="M64" s="308"/>
      <c r="N64" s="308"/>
      <c r="O64" s="308"/>
      <c r="R64" s="6"/>
      <c r="AE64" s="6"/>
      <c r="AF64" s="6"/>
      <c r="AG64" s="6"/>
      <c r="AH64" s="6"/>
      <c r="AI64" s="6"/>
      <c r="AJ64" s="6"/>
      <c r="AK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Z64" s="6"/>
      <c r="BA64" s="6"/>
      <c r="BB64" s="6"/>
      <c r="BC64" s="6"/>
      <c r="BD64" s="6"/>
      <c r="BF64" s="2"/>
      <c r="BH64" s="1"/>
      <c r="BJ64" s="6"/>
    </row>
    <row r="65" spans="1:62" s="6" customFormat="1" ht="15" customHeight="1" x14ac:dyDescent="0.15">
      <c r="A65" s="300" t="s">
        <v>107</v>
      </c>
      <c r="B65" s="300"/>
      <c r="C65" s="300"/>
      <c r="D65" s="105"/>
      <c r="E65" s="329" t="s">
        <v>121</v>
      </c>
      <c r="F65" s="329"/>
      <c r="G65" s="329"/>
      <c r="H65" s="328"/>
      <c r="I65" s="328"/>
      <c r="J65" s="328"/>
      <c r="K65" s="328"/>
      <c r="L65" s="328"/>
      <c r="M65" s="328"/>
      <c r="N65" s="328"/>
      <c r="O65" s="328"/>
      <c r="P65" s="1"/>
      <c r="Q65" s="1"/>
      <c r="R65" s="1"/>
      <c r="AE65" s="1"/>
      <c r="AF65" s="1"/>
      <c r="AG65" s="1"/>
      <c r="AH65" s="1"/>
      <c r="AI65" s="1"/>
      <c r="AJ65" s="1"/>
      <c r="AK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Z65" s="1"/>
      <c r="BA65" s="1"/>
      <c r="BB65" s="1"/>
      <c r="BC65" s="1"/>
      <c r="BD65" s="1"/>
      <c r="BF65" s="284"/>
      <c r="BJ65" s="1"/>
    </row>
    <row r="66" spans="1:62" ht="15" customHeight="1" x14ac:dyDescent="0.15">
      <c r="A66" s="300" t="s">
        <v>108</v>
      </c>
      <c r="B66" s="300"/>
      <c r="C66" s="300"/>
      <c r="D66" s="105"/>
      <c r="E66" s="337" t="s">
        <v>804</v>
      </c>
      <c r="F66" s="337"/>
      <c r="G66" s="337"/>
      <c r="H66" s="336" t="s">
        <v>803</v>
      </c>
      <c r="I66" s="336"/>
      <c r="J66" s="336" t="s">
        <v>766</v>
      </c>
      <c r="K66" s="336"/>
      <c r="L66" s="336" t="s">
        <v>767</v>
      </c>
      <c r="M66" s="336"/>
      <c r="N66" s="336" t="s">
        <v>802</v>
      </c>
      <c r="O66" s="336"/>
      <c r="P66" s="1" t="s">
        <v>499</v>
      </c>
      <c r="R66" s="6"/>
      <c r="AE66" s="6"/>
      <c r="AF66" s="6"/>
      <c r="AG66" s="6"/>
      <c r="AH66" s="6"/>
      <c r="AI66" s="6"/>
      <c r="AJ66" s="6"/>
      <c r="AK66" s="6"/>
      <c r="AP66" s="6"/>
      <c r="AQ66" s="6"/>
      <c r="AR66" s="6"/>
      <c r="AS66" s="6"/>
      <c r="AT66" s="6"/>
      <c r="AU66" s="6"/>
      <c r="AV66" s="6"/>
      <c r="AW66" s="6"/>
      <c r="AX66" s="6"/>
      <c r="AZ66" s="6"/>
      <c r="BA66" s="6"/>
      <c r="BB66" s="6"/>
      <c r="BC66" s="6"/>
      <c r="BD66" s="6"/>
      <c r="BF66" s="2"/>
      <c r="BH66" s="1"/>
    </row>
    <row r="67" spans="1:62" s="6" customFormat="1" ht="15" customHeight="1" x14ac:dyDescent="0.15">
      <c r="A67" s="300" t="s">
        <v>109</v>
      </c>
      <c r="B67" s="300"/>
      <c r="C67" s="300"/>
      <c r="D67" s="105"/>
      <c r="E67" s="289" t="s">
        <v>123</v>
      </c>
      <c r="F67" s="290"/>
      <c r="G67" s="291"/>
      <c r="H67" s="295"/>
      <c r="I67" s="296"/>
      <c r="J67" s="295"/>
      <c r="K67" s="296"/>
      <c r="L67" s="295"/>
      <c r="M67" s="296"/>
      <c r="N67" s="295"/>
      <c r="O67" s="296"/>
      <c r="P67" s="1"/>
      <c r="Q67" s="1"/>
      <c r="R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Z67" s="1"/>
      <c r="BA67" s="1"/>
      <c r="BB67" s="1"/>
      <c r="BC67" s="1"/>
      <c r="BD67" s="1"/>
      <c r="BF67" s="284"/>
      <c r="BJ67" s="1"/>
    </row>
    <row r="68" spans="1:62" ht="15" customHeight="1" x14ac:dyDescent="0.15">
      <c r="A68" s="300" t="s">
        <v>110</v>
      </c>
      <c r="B68" s="300"/>
      <c r="C68" s="300"/>
      <c r="D68" s="105"/>
      <c r="E68" s="292"/>
      <c r="F68" s="293"/>
      <c r="G68" s="294"/>
      <c r="H68" s="297"/>
      <c r="I68" s="298"/>
      <c r="J68" s="297"/>
      <c r="K68" s="298"/>
      <c r="L68" s="297"/>
      <c r="M68" s="298"/>
      <c r="N68" s="297"/>
      <c r="O68" s="298"/>
      <c r="R68" s="6"/>
      <c r="AE68" s="6"/>
      <c r="AF68" s="6"/>
      <c r="AI68" s="6"/>
      <c r="BD68" s="6"/>
      <c r="BF68" s="2"/>
      <c r="BH68" s="1"/>
      <c r="BJ68" s="6"/>
    </row>
    <row r="69" spans="1:62" s="6" customFormat="1" ht="15" customHeight="1" x14ac:dyDescent="0.15">
      <c r="A69" s="300" t="s">
        <v>111</v>
      </c>
      <c r="B69" s="300"/>
      <c r="C69" s="300"/>
      <c r="D69" s="105"/>
      <c r="E69" s="289" t="s">
        <v>127</v>
      </c>
      <c r="F69" s="290"/>
      <c r="G69" s="291"/>
      <c r="H69" s="295"/>
      <c r="I69" s="296"/>
      <c r="J69" s="295"/>
      <c r="K69" s="296"/>
      <c r="L69" s="295"/>
      <c r="M69" s="296"/>
      <c r="N69" s="295"/>
      <c r="O69" s="296"/>
      <c r="P69" s="1"/>
      <c r="Q69" s="1"/>
      <c r="R69" s="1"/>
      <c r="AE69" s="1"/>
      <c r="AF69" s="1"/>
      <c r="AG69" s="1"/>
      <c r="AH69" s="1"/>
      <c r="AI69" s="1"/>
      <c r="AJ69" s="1"/>
      <c r="AK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2"/>
      <c r="BG69" s="1"/>
      <c r="BH69" s="1"/>
      <c r="BI69" s="1"/>
      <c r="BJ69" s="1"/>
    </row>
    <row r="70" spans="1:62" ht="15" customHeight="1" x14ac:dyDescent="0.15">
      <c r="A70" s="300" t="s">
        <v>112</v>
      </c>
      <c r="B70" s="300"/>
      <c r="C70" s="300"/>
      <c r="D70" s="105"/>
      <c r="E70" s="292"/>
      <c r="F70" s="293"/>
      <c r="G70" s="294"/>
      <c r="H70" s="297"/>
      <c r="I70" s="298"/>
      <c r="J70" s="297"/>
      <c r="K70" s="298"/>
      <c r="L70" s="297"/>
      <c r="M70" s="298"/>
      <c r="N70" s="297"/>
      <c r="O70" s="298"/>
      <c r="AG70" s="6"/>
      <c r="AH70" s="6"/>
      <c r="AJ70" s="6"/>
      <c r="AK70" s="6"/>
      <c r="AP70" s="6"/>
      <c r="AQ70" s="6"/>
      <c r="AR70" s="6"/>
      <c r="AS70" s="6"/>
      <c r="AT70" s="6"/>
      <c r="AU70" s="6"/>
      <c r="AV70" s="6"/>
      <c r="AW70" s="6"/>
      <c r="AX70" s="6"/>
      <c r="AZ70" s="6"/>
      <c r="BA70" s="6"/>
      <c r="BB70" s="6"/>
      <c r="BC70" s="6"/>
      <c r="BF70" s="2"/>
      <c r="BH70" s="1"/>
    </row>
    <row r="71" spans="1:62" ht="15" customHeight="1" x14ac:dyDescent="0.15">
      <c r="A71" s="300" t="s">
        <v>628</v>
      </c>
      <c r="B71" s="300"/>
      <c r="C71" s="300"/>
      <c r="D71" s="105"/>
      <c r="E71" s="289" t="s">
        <v>131</v>
      </c>
      <c r="F71" s="290"/>
      <c r="G71" s="291"/>
      <c r="H71" s="295"/>
      <c r="I71" s="296"/>
      <c r="J71" s="295"/>
      <c r="K71" s="296"/>
      <c r="L71" s="295"/>
      <c r="M71" s="296"/>
      <c r="N71" s="295"/>
      <c r="O71" s="296"/>
      <c r="AY71" s="6"/>
      <c r="BE71" s="6"/>
      <c r="BF71" s="284"/>
      <c r="BG71" s="6"/>
      <c r="BH71" s="6"/>
      <c r="BI71" s="6"/>
    </row>
    <row r="72" spans="1:62" ht="15" customHeight="1" x14ac:dyDescent="0.15">
      <c r="A72" s="300" t="s">
        <v>629</v>
      </c>
      <c r="B72" s="300"/>
      <c r="C72" s="300"/>
      <c r="D72" s="105"/>
      <c r="E72" s="292"/>
      <c r="F72" s="293"/>
      <c r="G72" s="294"/>
      <c r="H72" s="297"/>
      <c r="I72" s="298"/>
      <c r="J72" s="297"/>
      <c r="K72" s="298"/>
      <c r="L72" s="297"/>
      <c r="M72" s="298"/>
      <c r="N72" s="297"/>
      <c r="O72" s="298"/>
      <c r="R72" s="6"/>
      <c r="AE72" s="6"/>
      <c r="AF72" s="6"/>
      <c r="AI72" s="6"/>
      <c r="BD72" s="6"/>
    </row>
    <row r="73" spans="1:62" s="6" customFormat="1" ht="15" customHeight="1" x14ac:dyDescent="0.15">
      <c r="A73" s="300" t="s">
        <v>754</v>
      </c>
      <c r="B73" s="300"/>
      <c r="C73" s="300"/>
      <c r="D73" s="105"/>
      <c r="E73" s="300" t="s">
        <v>135</v>
      </c>
      <c r="F73" s="300"/>
      <c r="G73" s="300"/>
      <c r="H73" s="299"/>
      <c r="I73" s="299"/>
      <c r="J73" s="299"/>
      <c r="K73" s="299"/>
      <c r="L73" s="299"/>
      <c r="M73" s="299"/>
      <c r="N73" s="299"/>
      <c r="O73" s="299"/>
      <c r="P73" s="1"/>
      <c r="Q73" s="1"/>
      <c r="R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2"/>
      <c r="BI73" s="1"/>
      <c r="BJ73" s="1"/>
    </row>
    <row r="74" spans="1:62" ht="10.5" customHeight="1" x14ac:dyDescent="0.15">
      <c r="A74" s="1"/>
      <c r="B74" s="1"/>
    </row>
    <row r="77" spans="1:62" x14ac:dyDescent="0.15">
      <c r="C77" s="313" t="s">
        <v>554</v>
      </c>
      <c r="D77" s="313"/>
      <c r="E77" s="314" t="s">
        <v>555</v>
      </c>
      <c r="F77" s="314"/>
      <c r="G77" s="314"/>
      <c r="H77" s="314" t="s">
        <v>556</v>
      </c>
      <c r="I77" s="314"/>
      <c r="J77" s="314"/>
      <c r="K77" s="314"/>
      <c r="L77" s="314" t="s">
        <v>557</v>
      </c>
      <c r="M77" s="314"/>
      <c r="N77" s="314"/>
      <c r="O77" s="314"/>
      <c r="P77" s="314"/>
    </row>
    <row r="78" spans="1:62" ht="15.75" customHeight="1" x14ac:dyDescent="0.15">
      <c r="C78" s="313"/>
      <c r="D78" s="313"/>
      <c r="E78" s="314"/>
      <c r="F78" s="314"/>
      <c r="G78" s="314"/>
      <c r="H78" s="314"/>
      <c r="I78" s="314"/>
      <c r="J78" s="314"/>
      <c r="K78" s="314"/>
      <c r="L78" s="314"/>
      <c r="M78" s="314"/>
      <c r="N78" s="314"/>
      <c r="O78" s="314"/>
      <c r="P78" s="314"/>
    </row>
    <row r="79" spans="1:62" ht="45" customHeight="1" x14ac:dyDescent="0.15">
      <c r="C79" s="303" t="s">
        <v>558</v>
      </c>
      <c r="D79" s="303"/>
      <c r="E79" s="299" t="s">
        <v>559</v>
      </c>
      <c r="F79" s="299"/>
      <c r="G79" s="299"/>
      <c r="H79" s="299" t="s">
        <v>81</v>
      </c>
      <c r="I79" s="299"/>
      <c r="J79" s="299"/>
      <c r="K79" s="299"/>
      <c r="L79" s="299" t="s">
        <v>560</v>
      </c>
      <c r="M79" s="299"/>
      <c r="N79" s="299"/>
      <c r="O79" s="299"/>
      <c r="P79" s="299"/>
    </row>
    <row r="80" spans="1:62" ht="42.75" customHeight="1" x14ac:dyDescent="0.15">
      <c r="C80" s="303" t="s">
        <v>561</v>
      </c>
      <c r="D80" s="303"/>
      <c r="E80" s="299" t="s">
        <v>123</v>
      </c>
      <c r="F80" s="299"/>
      <c r="G80" s="299"/>
      <c r="H80" s="299" t="s">
        <v>81</v>
      </c>
      <c r="I80" s="299"/>
      <c r="J80" s="299"/>
      <c r="K80" s="299"/>
      <c r="L80" s="299" t="s">
        <v>562</v>
      </c>
      <c r="M80" s="299"/>
      <c r="N80" s="299"/>
      <c r="O80" s="299"/>
      <c r="P80" s="299"/>
    </row>
    <row r="81" spans="3:16" ht="29.25" customHeight="1" x14ac:dyDescent="0.15">
      <c r="C81" s="303" t="s">
        <v>563</v>
      </c>
      <c r="D81" s="303"/>
      <c r="E81" s="299" t="s">
        <v>564</v>
      </c>
      <c r="F81" s="299"/>
      <c r="G81" s="299"/>
      <c r="H81" s="299" t="s">
        <v>81</v>
      </c>
      <c r="I81" s="299"/>
      <c r="J81" s="299"/>
      <c r="K81" s="299"/>
      <c r="L81" s="299" t="s">
        <v>565</v>
      </c>
      <c r="M81" s="299"/>
      <c r="N81" s="299"/>
      <c r="O81" s="299"/>
      <c r="P81" s="299"/>
    </row>
    <row r="82" spans="3:16" ht="36" customHeight="1" x14ac:dyDescent="0.15">
      <c r="C82" s="303" t="s">
        <v>566</v>
      </c>
      <c r="D82" s="303"/>
      <c r="E82" s="299" t="s">
        <v>567</v>
      </c>
      <c r="F82" s="299"/>
      <c r="G82" s="299"/>
      <c r="H82" s="299" t="s">
        <v>81</v>
      </c>
      <c r="I82" s="299"/>
      <c r="J82" s="299"/>
      <c r="K82" s="299"/>
      <c r="L82" s="299" t="s">
        <v>568</v>
      </c>
      <c r="M82" s="299"/>
      <c r="N82" s="299"/>
      <c r="O82" s="299"/>
      <c r="P82" s="299"/>
    </row>
    <row r="83" spans="3:16" ht="34.5" customHeight="1" x14ac:dyDescent="0.15">
      <c r="C83" s="303" t="s">
        <v>569</v>
      </c>
      <c r="D83" s="303"/>
      <c r="E83" s="299" t="s">
        <v>570</v>
      </c>
      <c r="F83" s="299"/>
      <c r="G83" s="299"/>
      <c r="H83" s="299" t="s">
        <v>81</v>
      </c>
      <c r="I83" s="299"/>
      <c r="J83" s="299"/>
      <c r="K83" s="299"/>
      <c r="L83" s="299" t="s">
        <v>571</v>
      </c>
      <c r="M83" s="299"/>
      <c r="N83" s="299"/>
      <c r="O83" s="299"/>
      <c r="P83" s="299"/>
    </row>
    <row r="84" spans="3:16" ht="30" customHeight="1" x14ac:dyDescent="0.15">
      <c r="C84" s="303" t="s">
        <v>572</v>
      </c>
      <c r="D84" s="303"/>
      <c r="E84" s="299" t="s">
        <v>127</v>
      </c>
      <c r="F84" s="299"/>
      <c r="G84" s="299"/>
      <c r="H84" s="299" t="s">
        <v>81</v>
      </c>
      <c r="I84" s="299"/>
      <c r="J84" s="299"/>
      <c r="K84" s="299"/>
      <c r="L84" s="299" t="s">
        <v>573</v>
      </c>
      <c r="M84" s="299"/>
      <c r="N84" s="299"/>
      <c r="O84" s="299"/>
      <c r="P84" s="299"/>
    </row>
    <row r="85" spans="3:16" ht="33.75" customHeight="1" x14ac:dyDescent="0.15">
      <c r="C85" s="303" t="s">
        <v>574</v>
      </c>
      <c r="D85" s="303"/>
      <c r="E85" s="299" t="s">
        <v>575</v>
      </c>
      <c r="F85" s="299"/>
      <c r="G85" s="299"/>
      <c r="H85" s="299" t="s">
        <v>81</v>
      </c>
      <c r="I85" s="299"/>
      <c r="J85" s="299"/>
      <c r="K85" s="299"/>
      <c r="L85" s="299" t="s">
        <v>576</v>
      </c>
      <c r="M85" s="299"/>
      <c r="N85" s="299"/>
      <c r="O85" s="299"/>
      <c r="P85" s="299"/>
    </row>
    <row r="86" spans="3:16" ht="30" customHeight="1" x14ac:dyDescent="0.15">
      <c r="C86" s="303" t="s">
        <v>577</v>
      </c>
      <c r="D86" s="303"/>
      <c r="E86" s="299" t="s">
        <v>578</v>
      </c>
      <c r="F86" s="299"/>
      <c r="G86" s="299"/>
      <c r="H86" s="299" t="s">
        <v>81</v>
      </c>
      <c r="I86" s="299"/>
      <c r="J86" s="299"/>
      <c r="K86" s="299"/>
      <c r="L86" s="299" t="s">
        <v>579</v>
      </c>
      <c r="M86" s="299"/>
      <c r="N86" s="299"/>
      <c r="O86" s="299"/>
      <c r="P86" s="299"/>
    </row>
    <row r="87" spans="3:16" ht="24" customHeight="1" x14ac:dyDescent="0.15">
      <c r="C87" s="303" t="s">
        <v>580</v>
      </c>
      <c r="D87" s="303"/>
      <c r="E87" s="299" t="s">
        <v>581</v>
      </c>
      <c r="F87" s="299"/>
      <c r="G87" s="299"/>
      <c r="H87" s="299" t="s">
        <v>81</v>
      </c>
      <c r="I87" s="299"/>
      <c r="J87" s="299"/>
      <c r="K87" s="299"/>
      <c r="L87" s="299" t="s">
        <v>582</v>
      </c>
      <c r="M87" s="299"/>
      <c r="N87" s="299"/>
      <c r="O87" s="299"/>
      <c r="P87" s="299"/>
    </row>
    <row r="88" spans="3:16" ht="36" customHeight="1" x14ac:dyDescent="0.15">
      <c r="C88" s="303" t="s">
        <v>583</v>
      </c>
      <c r="D88" s="303"/>
      <c r="E88" s="299" t="s">
        <v>584</v>
      </c>
      <c r="F88" s="299"/>
      <c r="G88" s="299"/>
      <c r="H88" s="299" t="s">
        <v>81</v>
      </c>
      <c r="I88" s="299"/>
      <c r="J88" s="299"/>
      <c r="K88" s="299"/>
      <c r="L88" s="299" t="s">
        <v>585</v>
      </c>
      <c r="M88" s="299"/>
      <c r="N88" s="299"/>
      <c r="O88" s="299"/>
      <c r="P88" s="299"/>
    </row>
    <row r="89" spans="3:16" ht="60" customHeight="1" x14ac:dyDescent="0.15">
      <c r="C89" s="311" t="s">
        <v>586</v>
      </c>
      <c r="D89" s="311"/>
      <c r="E89" s="299" t="s">
        <v>587</v>
      </c>
      <c r="F89" s="299"/>
      <c r="G89" s="299"/>
      <c r="H89" s="299" t="s">
        <v>81</v>
      </c>
      <c r="I89" s="299"/>
      <c r="J89" s="299"/>
      <c r="K89" s="299"/>
      <c r="L89" s="299" t="s">
        <v>588</v>
      </c>
      <c r="M89" s="299"/>
      <c r="N89" s="299"/>
      <c r="O89" s="299"/>
      <c r="P89" s="299"/>
    </row>
    <row r="90" spans="3:16" ht="34.5" customHeight="1" x14ac:dyDescent="0.15">
      <c r="C90" s="311" t="s">
        <v>589</v>
      </c>
      <c r="D90" s="311"/>
      <c r="E90" s="299" t="s">
        <v>590</v>
      </c>
      <c r="F90" s="299"/>
      <c r="G90" s="299"/>
      <c r="H90" s="299" t="s">
        <v>81</v>
      </c>
      <c r="I90" s="299"/>
      <c r="J90" s="299"/>
      <c r="K90" s="299"/>
      <c r="L90" s="299" t="s">
        <v>591</v>
      </c>
      <c r="M90" s="299"/>
      <c r="N90" s="299"/>
      <c r="O90" s="299"/>
      <c r="P90" s="299"/>
    </row>
    <row r="91" spans="3:16" ht="34.5" customHeight="1" x14ac:dyDescent="0.15">
      <c r="C91" s="311" t="s">
        <v>592</v>
      </c>
      <c r="D91" s="311"/>
      <c r="E91" s="299" t="s">
        <v>593</v>
      </c>
      <c r="F91" s="299"/>
      <c r="G91" s="299"/>
      <c r="H91" s="299" t="s">
        <v>81</v>
      </c>
      <c r="I91" s="299"/>
      <c r="J91" s="299"/>
      <c r="K91" s="299"/>
      <c r="L91" s="299" t="s">
        <v>591</v>
      </c>
      <c r="M91" s="299"/>
      <c r="N91" s="299"/>
      <c r="O91" s="299"/>
      <c r="P91" s="299"/>
    </row>
    <row r="92" spans="3:16" ht="24" customHeight="1" x14ac:dyDescent="0.15">
      <c r="C92" s="311" t="s">
        <v>594</v>
      </c>
      <c r="D92" s="311"/>
      <c r="E92" s="299" t="s">
        <v>595</v>
      </c>
      <c r="F92" s="299"/>
      <c r="G92" s="299"/>
      <c r="H92" s="299" t="s">
        <v>81</v>
      </c>
      <c r="I92" s="299"/>
      <c r="J92" s="299"/>
      <c r="K92" s="299"/>
      <c r="L92" s="299" t="s">
        <v>596</v>
      </c>
      <c r="M92" s="299"/>
      <c r="N92" s="299"/>
      <c r="O92" s="299"/>
      <c r="P92" s="299"/>
    </row>
    <row r="93" spans="3:16" ht="32.25" customHeight="1" x14ac:dyDescent="0.15">
      <c r="C93" s="311" t="s">
        <v>597</v>
      </c>
      <c r="D93" s="311"/>
      <c r="E93" s="299" t="s">
        <v>598</v>
      </c>
      <c r="F93" s="299"/>
      <c r="G93" s="299"/>
      <c r="H93" s="299" t="s">
        <v>81</v>
      </c>
      <c r="I93" s="299"/>
      <c r="J93" s="299"/>
      <c r="K93" s="299"/>
      <c r="L93" s="299" t="s">
        <v>599</v>
      </c>
      <c r="M93" s="299"/>
      <c r="N93" s="299"/>
      <c r="O93" s="299"/>
      <c r="P93" s="299"/>
    </row>
    <row r="94" spans="3:16" ht="28.5" hidden="1" customHeight="1" x14ac:dyDescent="0.15">
      <c r="C94" s="311" t="s">
        <v>600</v>
      </c>
      <c r="D94" s="311"/>
      <c r="E94" s="299" t="s">
        <v>601</v>
      </c>
      <c r="F94" s="299"/>
      <c r="G94" s="299"/>
      <c r="H94" s="299" t="s">
        <v>81</v>
      </c>
      <c r="I94" s="299"/>
      <c r="J94" s="299"/>
      <c r="K94" s="299"/>
      <c r="L94" s="299" t="s">
        <v>602</v>
      </c>
      <c r="M94" s="299"/>
      <c r="N94" s="299"/>
      <c r="O94" s="299"/>
      <c r="P94" s="299"/>
    </row>
    <row r="95" spans="3:16" ht="29.25" customHeight="1" x14ac:dyDescent="0.15">
      <c r="C95" s="311" t="s">
        <v>600</v>
      </c>
      <c r="D95" s="311"/>
      <c r="E95" s="312" t="s">
        <v>603</v>
      </c>
      <c r="F95" s="312"/>
      <c r="G95" s="312"/>
      <c r="H95" s="299" t="s">
        <v>81</v>
      </c>
      <c r="I95" s="299"/>
      <c r="J95" s="299"/>
      <c r="K95" s="299"/>
      <c r="L95" s="299" t="s">
        <v>604</v>
      </c>
      <c r="M95" s="299"/>
      <c r="N95" s="299"/>
      <c r="O95" s="299"/>
      <c r="P95" s="299"/>
    </row>
    <row r="96" spans="3:16" ht="27.75" customHeight="1" x14ac:dyDescent="0.15">
      <c r="C96" s="307" t="s">
        <v>605</v>
      </c>
      <c r="D96" s="308"/>
      <c r="E96" s="308"/>
      <c r="F96" s="308"/>
      <c r="G96" s="308"/>
      <c r="H96" s="299" t="s">
        <v>606</v>
      </c>
      <c r="I96" s="299"/>
      <c r="J96" s="299"/>
      <c r="K96" s="299"/>
      <c r="L96" s="299"/>
      <c r="M96" s="299"/>
      <c r="N96" s="299"/>
      <c r="O96" s="299"/>
      <c r="P96" s="299"/>
    </row>
    <row r="99" spans="8:16" x14ac:dyDescent="0.15">
      <c r="H99" s="309" t="s">
        <v>607</v>
      </c>
      <c r="I99" s="309"/>
      <c r="J99" s="309"/>
      <c r="K99" s="309"/>
      <c r="L99" s="310" t="s">
        <v>608</v>
      </c>
      <c r="M99" s="310"/>
      <c r="N99" s="310"/>
      <c r="O99" s="310"/>
      <c r="P99" s="310"/>
    </row>
    <row r="100" spans="8:16" x14ac:dyDescent="0.15">
      <c r="H100" s="309"/>
      <c r="I100" s="309"/>
      <c r="J100" s="309"/>
      <c r="K100" s="309"/>
      <c r="L100" s="310"/>
      <c r="M100" s="310"/>
      <c r="N100" s="310"/>
      <c r="O100" s="310"/>
      <c r="P100" s="310"/>
    </row>
    <row r="101" spans="8:16" ht="48" customHeight="1" x14ac:dyDescent="0.15">
      <c r="H101" s="303" t="s">
        <v>80</v>
      </c>
      <c r="I101" s="303"/>
      <c r="J101" s="303"/>
      <c r="K101" s="303"/>
      <c r="L101" s="304" t="s">
        <v>609</v>
      </c>
      <c r="M101" s="304"/>
      <c r="N101" s="304"/>
      <c r="O101" s="304"/>
      <c r="P101" s="304"/>
    </row>
    <row r="102" spans="8:16" ht="36" customHeight="1" x14ac:dyDescent="0.15">
      <c r="H102" s="303" t="s">
        <v>81</v>
      </c>
      <c r="I102" s="303"/>
      <c r="J102" s="303"/>
      <c r="K102" s="303"/>
      <c r="L102" s="304" t="s">
        <v>610</v>
      </c>
      <c r="M102" s="304"/>
      <c r="N102" s="304"/>
      <c r="O102" s="304"/>
      <c r="P102" s="304"/>
    </row>
    <row r="103" spans="8:16" ht="22.5" customHeight="1" x14ac:dyDescent="0.15">
      <c r="H103" s="303" t="s">
        <v>82</v>
      </c>
      <c r="I103" s="303"/>
      <c r="J103" s="303"/>
      <c r="K103" s="303"/>
      <c r="L103" s="304" t="s">
        <v>611</v>
      </c>
      <c r="M103" s="304"/>
      <c r="N103" s="304"/>
      <c r="O103" s="304"/>
      <c r="P103" s="304"/>
    </row>
    <row r="104" spans="8:16" ht="42.75" customHeight="1" x14ac:dyDescent="0.15">
      <c r="H104" s="303" t="s">
        <v>612</v>
      </c>
      <c r="I104" s="303"/>
      <c r="J104" s="303"/>
      <c r="K104" s="303"/>
      <c r="L104" s="304" t="s">
        <v>613</v>
      </c>
      <c r="M104" s="304"/>
      <c r="N104" s="304"/>
      <c r="O104" s="304"/>
      <c r="P104" s="304"/>
    </row>
    <row r="105" spans="8:16" ht="24" customHeight="1" x14ac:dyDescent="0.15">
      <c r="H105" s="303" t="s">
        <v>614</v>
      </c>
      <c r="I105" s="303"/>
      <c r="J105" s="303"/>
      <c r="K105" s="303"/>
      <c r="L105" s="304" t="s">
        <v>615</v>
      </c>
      <c r="M105" s="304"/>
      <c r="N105" s="304"/>
      <c r="O105" s="304"/>
      <c r="P105" s="304"/>
    </row>
  </sheetData>
  <customSheetViews>
    <customSheetView guid="{BF874629-29E4-4E42-B267-D30BB270BE2E}" scale="110" showPageBreaks="1" fitToPage="1" printArea="1" hiddenRows="1" topLeftCell="A40">
      <selection activeCell="Q58" sqref="Q58"/>
      <colBreaks count="2" manualBreakCount="2">
        <brk id="42" max="47" man="1"/>
        <brk id="53" max="1048575" man="1"/>
      </colBreaks>
      <pageMargins left="1.1100000000000001" right="0.59055118110236227" top="0.82677165354330717" bottom="0.51181102362204722" header="0.51181102362204722" footer="0.51181102362204722"/>
      <pageSetup paperSize="9" scale="70" orientation="portrait" horizontalDpi="300" verticalDpi="300" r:id="rId1"/>
      <headerFooter alignWithMargins="0"/>
    </customSheetView>
  </customSheetViews>
  <mergeCells count="246">
    <mergeCell ref="A71:C71"/>
    <mergeCell ref="A70:C70"/>
    <mergeCell ref="H60:O60"/>
    <mergeCell ref="A60:G60"/>
    <mergeCell ref="A65:C65"/>
    <mergeCell ref="E63:O63"/>
    <mergeCell ref="A64:C64"/>
    <mergeCell ref="A69:C69"/>
    <mergeCell ref="N66:O66"/>
    <mergeCell ref="A61:G61"/>
    <mergeCell ref="A62:G62"/>
    <mergeCell ref="L71:M72"/>
    <mergeCell ref="N71:O72"/>
    <mergeCell ref="H64:O64"/>
    <mergeCell ref="E66:G66"/>
    <mergeCell ref="H42:O42"/>
    <mergeCell ref="H43:O43"/>
    <mergeCell ref="H48:O48"/>
    <mergeCell ref="A45:G45"/>
    <mergeCell ref="A38:G38"/>
    <mergeCell ref="A52:G52"/>
    <mergeCell ref="A66:C66"/>
    <mergeCell ref="H66:I66"/>
    <mergeCell ref="J66:K66"/>
    <mergeCell ref="L66:M66"/>
    <mergeCell ref="H57:K57"/>
    <mergeCell ref="H56:O56"/>
    <mergeCell ref="A56:G56"/>
    <mergeCell ref="H55:O55"/>
    <mergeCell ref="A43:G43"/>
    <mergeCell ref="E36:G36"/>
    <mergeCell ref="A33:G33"/>
    <mergeCell ref="M36:O36"/>
    <mergeCell ref="H36:L36"/>
    <mergeCell ref="A36:D36"/>
    <mergeCell ref="H65:O65"/>
    <mergeCell ref="E65:G65"/>
    <mergeCell ref="A68:C68"/>
    <mergeCell ref="A67:C67"/>
    <mergeCell ref="A47:G47"/>
    <mergeCell ref="H47:O47"/>
    <mergeCell ref="A39:O39"/>
    <mergeCell ref="H37:O37"/>
    <mergeCell ref="A49:G49"/>
    <mergeCell ref="H41:O41"/>
    <mergeCell ref="A46:G46"/>
    <mergeCell ref="A42:G42"/>
    <mergeCell ref="H46:O46"/>
    <mergeCell ref="A40:G40"/>
    <mergeCell ref="A37:G37"/>
    <mergeCell ref="H44:O44"/>
    <mergeCell ref="A44:G44"/>
    <mergeCell ref="A48:G48"/>
    <mergeCell ref="H28:O28"/>
    <mergeCell ref="H27:O27"/>
    <mergeCell ref="H25:O25"/>
    <mergeCell ref="A27:G27"/>
    <mergeCell ref="A28:G28"/>
    <mergeCell ref="H31:O31"/>
    <mergeCell ref="A32:G32"/>
    <mergeCell ref="A30:G30"/>
    <mergeCell ref="A41:G41"/>
    <mergeCell ref="H40:O40"/>
    <mergeCell ref="A34:G34"/>
    <mergeCell ref="H34:O34"/>
    <mergeCell ref="H29:O29"/>
    <mergeCell ref="A29:G29"/>
    <mergeCell ref="H30:O30"/>
    <mergeCell ref="H32:O32"/>
    <mergeCell ref="A31:G31"/>
    <mergeCell ref="A35:G35"/>
    <mergeCell ref="H35:O35"/>
    <mergeCell ref="A23:G23"/>
    <mergeCell ref="H23:O23"/>
    <mergeCell ref="A26:G26"/>
    <mergeCell ref="H26:O26"/>
    <mergeCell ref="A25:G25"/>
    <mergeCell ref="A24:G24"/>
    <mergeCell ref="A22:G22"/>
    <mergeCell ref="H22:O22"/>
    <mergeCell ref="H21:O21"/>
    <mergeCell ref="H24:O24"/>
    <mergeCell ref="A14:G14"/>
    <mergeCell ref="H8:O8"/>
    <mergeCell ref="A15:G15"/>
    <mergeCell ref="A13:G13"/>
    <mergeCell ref="A18:O18"/>
    <mergeCell ref="A21:G21"/>
    <mergeCell ref="H19:O19"/>
    <mergeCell ref="A16:G16"/>
    <mergeCell ref="H2:O2"/>
    <mergeCell ref="A6:G6"/>
    <mergeCell ref="A2:G2"/>
    <mergeCell ref="A3:G3"/>
    <mergeCell ref="A4:G4"/>
    <mergeCell ref="A5:G5"/>
    <mergeCell ref="H15:O15"/>
    <mergeCell ref="H20:O20"/>
    <mergeCell ref="A19:G19"/>
    <mergeCell ref="A8:G8"/>
    <mergeCell ref="A12:G12"/>
    <mergeCell ref="H12:O12"/>
    <mergeCell ref="A20:G20"/>
    <mergeCell ref="E69:G70"/>
    <mergeCell ref="H69:I70"/>
    <mergeCell ref="J69:K70"/>
    <mergeCell ref="L69:M70"/>
    <mergeCell ref="N69:O70"/>
    <mergeCell ref="E71:G72"/>
    <mergeCell ref="H71:I72"/>
    <mergeCell ref="J71:K72"/>
    <mergeCell ref="A1:O1"/>
    <mergeCell ref="H3:O3"/>
    <mergeCell ref="H5:O5"/>
    <mergeCell ref="H6:O6"/>
    <mergeCell ref="H4:O4"/>
    <mergeCell ref="H16:O16"/>
    <mergeCell ref="H11:O11"/>
    <mergeCell ref="A7:G7"/>
    <mergeCell ref="H7:O7"/>
    <mergeCell ref="H13:O13"/>
    <mergeCell ref="A11:G11"/>
    <mergeCell ref="A9:G9"/>
    <mergeCell ref="H9:O9"/>
    <mergeCell ref="H10:O10"/>
    <mergeCell ref="A10:G10"/>
    <mergeCell ref="H14:O14"/>
    <mergeCell ref="C77:D78"/>
    <mergeCell ref="C81:D81"/>
    <mergeCell ref="E81:G81"/>
    <mergeCell ref="H81:K81"/>
    <mergeCell ref="L81:P81"/>
    <mergeCell ref="E77:G78"/>
    <mergeCell ref="H77:K78"/>
    <mergeCell ref="L77:P78"/>
    <mergeCell ref="A72:C72"/>
    <mergeCell ref="E73:G73"/>
    <mergeCell ref="H73:I73"/>
    <mergeCell ref="J73:K73"/>
    <mergeCell ref="L73:M73"/>
    <mergeCell ref="N73:O73"/>
    <mergeCell ref="A73:C73"/>
    <mergeCell ref="C82:D82"/>
    <mergeCell ref="E82:G82"/>
    <mergeCell ref="H82:K82"/>
    <mergeCell ref="L82:P82"/>
    <mergeCell ref="C79:D79"/>
    <mergeCell ref="C83:D83"/>
    <mergeCell ref="E83:G83"/>
    <mergeCell ref="H83:K83"/>
    <mergeCell ref="L83:P83"/>
    <mergeCell ref="E79:G79"/>
    <mergeCell ref="H79:K79"/>
    <mergeCell ref="L79:P79"/>
    <mergeCell ref="C80:D80"/>
    <mergeCell ref="E80:G80"/>
    <mergeCell ref="H80:K80"/>
    <mergeCell ref="L80:P80"/>
    <mergeCell ref="C84:D84"/>
    <mergeCell ref="E84:G84"/>
    <mergeCell ref="H84:K84"/>
    <mergeCell ref="L84:P84"/>
    <mergeCell ref="C90:D90"/>
    <mergeCell ref="E90:G90"/>
    <mergeCell ref="E89:G89"/>
    <mergeCell ref="C85:D85"/>
    <mergeCell ref="E85:G85"/>
    <mergeCell ref="H85:K85"/>
    <mergeCell ref="H88:K88"/>
    <mergeCell ref="C87:D87"/>
    <mergeCell ref="C86:D86"/>
    <mergeCell ref="E86:G86"/>
    <mergeCell ref="L88:P88"/>
    <mergeCell ref="E87:G87"/>
    <mergeCell ref="C88:D88"/>
    <mergeCell ref="E88:G88"/>
    <mergeCell ref="C89:D89"/>
    <mergeCell ref="C96:G96"/>
    <mergeCell ref="H99:K100"/>
    <mergeCell ref="H95:K95"/>
    <mergeCell ref="H94:K94"/>
    <mergeCell ref="E93:G93"/>
    <mergeCell ref="H96:P96"/>
    <mergeCell ref="L99:P100"/>
    <mergeCell ref="H91:K91"/>
    <mergeCell ref="L94:P94"/>
    <mergeCell ref="C91:D91"/>
    <mergeCell ref="E91:G91"/>
    <mergeCell ref="L95:P95"/>
    <mergeCell ref="C95:D95"/>
    <mergeCell ref="E95:G95"/>
    <mergeCell ref="E92:G92"/>
    <mergeCell ref="H92:K92"/>
    <mergeCell ref="C92:D92"/>
    <mergeCell ref="E94:G94"/>
    <mergeCell ref="C93:D93"/>
    <mergeCell ref="C94:D94"/>
    <mergeCell ref="L93:P93"/>
    <mergeCell ref="L92:P92"/>
    <mergeCell ref="H105:K105"/>
    <mergeCell ref="H104:K104"/>
    <mergeCell ref="H33:O33"/>
    <mergeCell ref="L105:P105"/>
    <mergeCell ref="H102:K102"/>
    <mergeCell ref="L102:P102"/>
    <mergeCell ref="H103:K103"/>
    <mergeCell ref="L103:P103"/>
    <mergeCell ref="L85:P85"/>
    <mergeCell ref="H86:K86"/>
    <mergeCell ref="L86:P86"/>
    <mergeCell ref="L90:P90"/>
    <mergeCell ref="H90:K90"/>
    <mergeCell ref="L104:P104"/>
    <mergeCell ref="H93:K93"/>
    <mergeCell ref="L101:P101"/>
    <mergeCell ref="H101:K101"/>
    <mergeCell ref="L91:P91"/>
    <mergeCell ref="H87:K87"/>
    <mergeCell ref="H89:K89"/>
    <mergeCell ref="L89:P89"/>
    <mergeCell ref="L87:P87"/>
    <mergeCell ref="H45:O45"/>
    <mergeCell ref="H61:O61"/>
    <mergeCell ref="H49:O49"/>
    <mergeCell ref="H52:O52"/>
    <mergeCell ref="H54:O54"/>
    <mergeCell ref="E67:G68"/>
    <mergeCell ref="H67:I68"/>
    <mergeCell ref="J67:K68"/>
    <mergeCell ref="L67:M68"/>
    <mergeCell ref="N67:O68"/>
    <mergeCell ref="A57:G57"/>
    <mergeCell ref="E64:G64"/>
    <mergeCell ref="H58:O58"/>
    <mergeCell ref="H59:O59"/>
    <mergeCell ref="A59:G59"/>
    <mergeCell ref="A63:D63"/>
    <mergeCell ref="H62:O62"/>
    <mergeCell ref="A54:G54"/>
    <mergeCell ref="A51:G51"/>
    <mergeCell ref="A50:G50"/>
    <mergeCell ref="A53:G53"/>
    <mergeCell ref="H53:O53"/>
    <mergeCell ref="L57:O57"/>
    <mergeCell ref="A58:G58"/>
    <mergeCell ref="A55:G55"/>
  </mergeCells>
  <phoneticPr fontId="3" type="noConversion"/>
  <dataValidations count="38">
    <dataValidation type="list" errorStyle="warning" allowBlank="1" showInputMessage="1" showErrorMessage="1" sqref="H73 N73:O73 J73 L73" xr:uid="{00000000-0002-0000-0000-000000000000}">
      <formula1>$BC$4:$BC$5</formula1>
    </dataValidation>
    <dataValidation type="list" errorStyle="warning" allowBlank="1" showInputMessage="1" showErrorMessage="1" sqref="H22" xr:uid="{00000000-0002-0000-0000-000001000000}">
      <formula1>$AJ$5:$AJ$6</formula1>
    </dataValidation>
    <dataValidation type="list" allowBlank="1" showInputMessage="1" showErrorMessage="1" sqref="H26 H29" xr:uid="{00000000-0002-0000-0000-000002000000}">
      <formula1>$AK$4:$AK$8</formula1>
    </dataValidation>
    <dataValidation type="list" errorStyle="warning" allowBlank="1" showInputMessage="1" showErrorMessage="1" sqref="H10" xr:uid="{00000000-0002-0000-0000-000003000000}">
      <formula1>$AH$4:$AH$7</formula1>
    </dataValidation>
    <dataValidation type="list" errorStyle="warning" allowBlank="1" showInputMessage="1" showErrorMessage="1" sqref="H32" xr:uid="{00000000-0002-0000-0000-000004000000}">
      <formula1>$AN$4:$AN$7</formula1>
    </dataValidation>
    <dataValidation type="list" errorStyle="warning" allowBlank="1" showInputMessage="1" showErrorMessage="1" sqref="H21" xr:uid="{00000000-0002-0000-0000-000005000000}">
      <formula1>$AO$4:$AO$28</formula1>
    </dataValidation>
    <dataValidation type="list" errorStyle="warning" allowBlank="1" showInputMessage="1" showErrorMessage="1" sqref="H35" xr:uid="{00000000-0002-0000-0000-000006000000}">
      <formula1>$AP$4:$AP$6</formula1>
    </dataValidation>
    <dataValidation type="list" errorStyle="warning" allowBlank="1" showInputMessage="1" showErrorMessage="1" sqref="H36" xr:uid="{00000000-0002-0000-0000-000007000000}">
      <formula1>$AQ$4:$AQ$5</formula1>
    </dataValidation>
    <dataValidation type="list" errorStyle="warning" allowBlank="1" showInputMessage="1" showErrorMessage="1" sqref="H57:K57" xr:uid="{00000000-0002-0000-0000-000008000000}">
      <formula1>$AS$4:$AS$7</formula1>
    </dataValidation>
    <dataValidation type="list" errorStyle="warning" allowBlank="1" showInputMessage="1" showErrorMessage="1" sqref="L57:O57" xr:uid="{00000000-0002-0000-0000-000009000000}">
      <formula1>$AT$4:$AT$5</formula1>
    </dataValidation>
    <dataValidation type="list" errorStyle="warning" allowBlank="1" showInputMessage="1" showErrorMessage="1" sqref="H58:O58" xr:uid="{00000000-0002-0000-0000-00000A000000}">
      <formula1>$AU$4:$AU$7</formula1>
    </dataValidation>
    <dataValidation type="list" errorStyle="warning" allowBlank="1" showInputMessage="1" showErrorMessage="1" sqref="H59:O59 H52:O56" xr:uid="{00000000-0002-0000-0000-00000B000000}">
      <formula1>$AW$4:$AW$7</formula1>
    </dataValidation>
    <dataValidation type="list" errorStyle="warning" allowBlank="1" showInputMessage="1" showErrorMessage="1" sqref="H64:O64" xr:uid="{00000000-0002-0000-0000-00000C000000}">
      <formula1>$AX$4:$AX$6</formula1>
    </dataValidation>
    <dataValidation type="list" errorStyle="warning" allowBlank="1" showInputMessage="1" showErrorMessage="1" sqref="N67 H67 J67 L67" xr:uid="{00000000-0002-0000-0000-00000D000000}">
      <formula1>$AZ$4:$AZ$6</formula1>
    </dataValidation>
    <dataValidation errorStyle="warning" allowBlank="1" showInputMessage="1" showErrorMessage="1" sqref="H23:O25" xr:uid="{00000000-0002-0000-0000-00000E000000}"/>
    <dataValidation type="list" errorStyle="warning" allowBlank="1" showInputMessage="1" showErrorMessage="1" sqref="H28:O28" xr:uid="{00000000-0002-0000-0000-00000F000000}">
      <formula1>$BG$4:$BG$5</formula1>
    </dataValidation>
    <dataValidation type="list" errorStyle="warning" allowBlank="1" showInputMessage="1" showErrorMessage="1" sqref="H7:O7" xr:uid="{00000000-0002-0000-0000-000010000000}">
      <formula1>$BL$5:$BL$7</formula1>
    </dataValidation>
    <dataValidation type="list" errorStyle="warning" allowBlank="1" showInputMessage="1" showErrorMessage="1" sqref="H65:O65" xr:uid="{00000000-0002-0000-0000-000011000000}">
      <formula1>$AY$4:$AY$7</formula1>
    </dataValidation>
    <dataValidation type="list" errorStyle="warning" allowBlank="1" showInputMessage="1" showErrorMessage="1" sqref="H30:O30" xr:uid="{00000000-0002-0000-0000-000012000000}">
      <formula1>$AL$4:$AL$14</formula1>
    </dataValidation>
    <dataValidation type="list" errorStyle="warning" allowBlank="1" showInputMessage="1" showErrorMessage="1" sqref="H41:H43 I41:O41" xr:uid="{00000000-0002-0000-0000-000013000000}">
      <formula1>$BD$4:$BD$7</formula1>
    </dataValidation>
    <dataValidation type="list" errorStyle="warning" allowBlank="1" showInputMessage="1" showErrorMessage="1" sqref="H60:O60" xr:uid="{00000000-0002-0000-0000-000014000000}">
      <formula1>$BE$4:$BE$9</formula1>
    </dataValidation>
    <dataValidation type="list" errorStyle="warning" allowBlank="1" showInputMessage="1" showErrorMessage="1" sqref="H20:O20" xr:uid="{00000000-0002-0000-0000-000015000000}">
      <formula1>$AI$5:$AI$10</formula1>
    </dataValidation>
    <dataValidation type="list" errorStyle="warning" allowBlank="1" showInputMessage="1" showErrorMessage="1" sqref="H61:O61" xr:uid="{00000000-0002-0000-0000-000016000000}">
      <formula1>$BF$4:$BF$7</formula1>
    </dataValidation>
    <dataValidation type="list" errorStyle="warning" allowBlank="1" showInputMessage="1" showErrorMessage="1" sqref="H6:O6" xr:uid="{00000000-0002-0000-0000-000017000000}">
      <formula1>$AG$4:$AG$10</formula1>
    </dataValidation>
    <dataValidation type="list" errorStyle="information" allowBlank="1" showInputMessage="1" showErrorMessage="1" sqref="H11:O11" xr:uid="{00000000-0002-0000-0000-000018000000}">
      <formula1>$BK$3:$BK$7</formula1>
    </dataValidation>
    <dataValidation type="list" errorStyle="information" allowBlank="1" showInputMessage="1" showErrorMessage="1" sqref="H8:O9 H3:O3" xr:uid="{00000000-0002-0000-0000-000019000000}">
      <formula1>$AV$3</formula1>
    </dataValidation>
    <dataValidation type="list" allowBlank="1" showInputMessage="1" showErrorMessage="1" sqref="H15:O15" xr:uid="{00000000-0002-0000-0000-00001A000000}">
      <formula1>$BH$3:$BH$5</formula1>
    </dataValidation>
    <dataValidation type="list" errorStyle="warning" allowBlank="1" showInputMessage="1" showErrorMessage="1" sqref="H14 H12" xr:uid="{00000000-0002-0000-0000-00001B000000}">
      <formula1>$BH$3:$BH$5</formula1>
    </dataValidation>
    <dataValidation type="list" allowBlank="1" showInputMessage="1" showErrorMessage="1" sqref="R3:R7" xr:uid="{00000000-0002-0000-0000-00001C000000}">
      <formula1>$T$3:$T$4</formula1>
    </dataValidation>
    <dataValidation type="list" allowBlank="1" showInputMessage="1" showErrorMessage="1" sqref="H79:K95" xr:uid="{00000000-0002-0000-0000-00001D000000}">
      <formula1>$R$79:$R$83</formula1>
    </dataValidation>
    <dataValidation type="list" errorStyle="warning" allowBlank="1" showInputMessage="1" showErrorMessage="1" sqref="H4:O4" xr:uid="{00000000-0002-0000-0000-00001E000000}">
      <formula1>$BJ$4:$BJ$32</formula1>
    </dataValidation>
    <dataValidation type="list" errorStyle="warning" allowBlank="1" showInputMessage="1" showErrorMessage="1" sqref="H62:O62" xr:uid="{00000000-0002-0000-0000-00001F000000}">
      <formula1>$BF$4:$BF$8</formula1>
    </dataValidation>
    <dataValidation type="list" allowBlank="1" showInputMessage="1" showErrorMessage="1" sqref="Q7 Q3" xr:uid="{00000000-0002-0000-0000-000020000000}">
      <formula1>$V$3:$V$5</formula1>
    </dataValidation>
    <dataValidation type="list" errorStyle="warning" allowBlank="1" showInputMessage="1" showErrorMessage="1" sqref="H34:O34" xr:uid="{00000000-0002-0000-0000-000021000000}">
      <formula1>$AM$6:$AM$10</formula1>
    </dataValidation>
    <dataValidation type="list" allowBlank="1" showInputMessage="1" showErrorMessage="1" sqref="H33:O33 H31:O31 E36:G36 M36:O36" xr:uid="{00000000-0002-0000-0000-000022000000}">
      <formula1>$AM$3:$AM$4</formula1>
    </dataValidation>
    <dataValidation type="list" errorStyle="warning" allowBlank="1" showInputMessage="1" showErrorMessage="1" sqref="Q5" xr:uid="{00000000-0002-0000-0000-000023000000}">
      <formula1>$V$7:$V$10</formula1>
    </dataValidation>
    <dataValidation type="list" errorStyle="warning" allowBlank="1" showInputMessage="1" showErrorMessage="1" sqref="N69 H69 J69 L69" xr:uid="{00000000-0002-0000-0000-000024000000}">
      <formula1>$BA$4:$BA$8</formula1>
    </dataValidation>
    <dataValidation type="list" errorStyle="warning" allowBlank="1" showInputMessage="1" showErrorMessage="1" sqref="N71 H71 J71 L71" xr:uid="{00000000-0002-0000-0000-000025000000}">
      <formula1>$BB$4:$BB$8</formula1>
    </dataValidation>
  </dataValidations>
  <pageMargins left="1.1100000000000001" right="0.59055118110236227" top="0.82677165354330717" bottom="0.51181102362204722" header="0.51181102362204722" footer="0.51181102362204722"/>
  <pageSetup paperSize="9" scale="63" orientation="portrait" horizontalDpi="300" verticalDpi="300" r:id="rId2"/>
  <headerFooter alignWithMargins="0"/>
  <colBreaks count="2" manualBreakCount="2">
    <brk id="42" max="47" man="1"/>
    <brk id="5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E8"/>
  <sheetViews>
    <sheetView zoomScale="80" zoomScaleNormal="80" workbookViewId="0"/>
  </sheetViews>
  <sheetFormatPr defaultRowHeight="12.75" x14ac:dyDescent="0.2"/>
  <cols>
    <col min="1" max="1" width="39.140625" customWidth="1"/>
    <col min="2" max="2" width="21.5703125" style="25" customWidth="1"/>
    <col min="3" max="3" width="29.42578125" customWidth="1"/>
    <col min="4" max="4" width="19.5703125" customWidth="1"/>
    <col min="5" max="5" width="17.5703125" customWidth="1"/>
    <col min="7" max="8" width="12.28515625" customWidth="1"/>
    <col min="9" max="9" width="14.85546875" customWidth="1"/>
    <col min="10" max="10" width="10.5703125" customWidth="1"/>
    <col min="11" max="11" width="14.7109375" customWidth="1"/>
    <col min="12" max="12" width="35.28515625" customWidth="1"/>
    <col min="13" max="13" width="13.140625" customWidth="1"/>
  </cols>
  <sheetData>
    <row r="1" spans="1:5" ht="15" customHeight="1" x14ac:dyDescent="0.2">
      <c r="A1" s="203" t="s">
        <v>43</v>
      </c>
      <c r="B1" s="203" t="s">
        <v>289</v>
      </c>
      <c r="C1" s="203" t="s">
        <v>290</v>
      </c>
    </row>
    <row r="2" spans="1:5" ht="15" customHeight="1" x14ac:dyDescent="0.25">
      <c r="A2" s="114" t="s">
        <v>291</v>
      </c>
      <c r="B2" s="180" t="s">
        <v>298</v>
      </c>
      <c r="C2" s="16" t="e">
        <f>ФормаАИЖК!B30</f>
        <v>#DIV/0!</v>
      </c>
      <c r="E2" s="79" t="s">
        <v>734</v>
      </c>
    </row>
    <row r="3" spans="1:5" ht="15" customHeight="1" x14ac:dyDescent="0.25">
      <c r="A3" s="114" t="s">
        <v>293</v>
      </c>
      <c r="B3" s="29" t="s">
        <v>299</v>
      </c>
      <c r="C3" s="105">
        <f>ROUND(1/12,4)</f>
        <v>8.3299999999999999E-2</v>
      </c>
      <c r="E3" s="79" t="s">
        <v>733</v>
      </c>
    </row>
    <row r="4" spans="1:5" ht="15" customHeight="1" x14ac:dyDescent="0.2">
      <c r="A4" s="114" t="s">
        <v>292</v>
      </c>
      <c r="B4" s="29" t="s">
        <v>253</v>
      </c>
      <c r="C4" s="105">
        <v>12</v>
      </c>
      <c r="E4" s="91">
        <v>44287</v>
      </c>
    </row>
    <row r="5" spans="1:5" ht="15" customHeight="1" x14ac:dyDescent="0.2">
      <c r="A5" s="114" t="s">
        <v>294</v>
      </c>
      <c r="B5" s="29" t="s">
        <v>254</v>
      </c>
      <c r="C5" s="181">
        <v>0.13420000000000001</v>
      </c>
      <c r="E5" s="264">
        <v>0.13439999999999999</v>
      </c>
    </row>
    <row r="6" spans="1:5" ht="15" customHeight="1" x14ac:dyDescent="0.25">
      <c r="A6" s="114" t="s">
        <v>295</v>
      </c>
      <c r="B6" s="29" t="s">
        <v>300</v>
      </c>
      <c r="C6" s="105">
        <v>0.85</v>
      </c>
      <c r="E6" s="79"/>
    </row>
    <row r="7" spans="1:5" ht="15" customHeight="1" x14ac:dyDescent="0.25">
      <c r="A7" s="114" t="s">
        <v>296</v>
      </c>
      <c r="B7" s="29" t="s">
        <v>301</v>
      </c>
      <c r="C7" s="182">
        <f>ROUND(C6/(1+C5/C4)^(C3*C4),4)</f>
        <v>0.84060000000000001</v>
      </c>
      <c r="E7" s="79"/>
    </row>
    <row r="8" spans="1:5" ht="15" customHeight="1" x14ac:dyDescent="0.25">
      <c r="A8" s="183" t="s">
        <v>297</v>
      </c>
      <c r="B8" s="29" t="s">
        <v>302</v>
      </c>
      <c r="C8" s="184" t="e">
        <f>ROUND(C7*C2,-3)</f>
        <v>#DIV/0!</v>
      </c>
    </row>
  </sheetData>
  <customSheetViews>
    <customSheetView guid="{BF874629-29E4-4E42-B267-D30BB270BE2E}" scale="145" topLeftCell="B1">
      <selection activeCell="C5" sqref="C5"/>
      <pageMargins left="0.75" right="0.75" top="1" bottom="1" header="0.5" footer="0.5"/>
      <pageSetup paperSize="9" orientation="portrait" r:id="rId1"/>
      <headerFooter alignWithMargins="0"/>
    </customSheetView>
  </customSheetViews>
  <phoneticPr fontId="3" type="noConversion"/>
  <hyperlinks>
    <hyperlink ref="E3" r:id="rId2" location="a_70482" xr:uid="{00000000-0004-0000-0900-000000000000}"/>
    <hyperlink ref="E2" r:id="rId3" xr:uid="{00000000-0004-0000-0900-000001000000}"/>
  </hyperlinks>
  <pageMargins left="0.75" right="0.75" top="1" bottom="1" header="0.5" footer="0.5"/>
  <pageSetup paperSize="9" orientation="portrait" r:id="rId4"/>
  <headerFooter alignWithMargins="0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G22"/>
  <sheetViews>
    <sheetView showGridLines="0" zoomScale="80" zoomScaleNormal="80" workbookViewId="0"/>
  </sheetViews>
  <sheetFormatPr defaultRowHeight="12.75" outlineLevelRow="1" x14ac:dyDescent="0.2"/>
  <cols>
    <col min="1" max="1" width="28.7109375" style="41" customWidth="1"/>
    <col min="2" max="2" width="56.42578125" style="30" customWidth="1"/>
    <col min="3" max="4" width="9.140625" style="26"/>
    <col min="5" max="5" width="25.5703125" style="26" customWidth="1"/>
    <col min="6" max="6" width="27.140625" style="26" customWidth="1"/>
    <col min="7" max="7" width="50.85546875" style="26" customWidth="1"/>
    <col min="8" max="16384" width="9.140625" style="26"/>
  </cols>
  <sheetData>
    <row r="1" spans="1:6" ht="31.5" customHeight="1" x14ac:dyDescent="0.2">
      <c r="A1" s="111" t="s">
        <v>364</v>
      </c>
      <c r="B1" s="112" t="str">
        <f>IF('Задание на оценку'!C15='Задание на оценку'!D15,CONCATENATE('Задание на оценку'!G38, "комнатная ",'Задание на оценку'!G39, " общей площадью ",Описание_формуляр!H46," кв.м."),'Задание на оценку'!C15)</f>
        <v xml:space="preserve">Квартира, назначение: жилое. Площадь: общая  кв.м. Этаж: </v>
      </c>
      <c r="E1" s="26" t="str">
        <f>IF('Задание на оценку'!C15='Задание на оценку'!D15,CONCATENATE('Задание на оценку'!G38, "комнатная ",'Задание на оценку'!G39, " общей площадью ",Описание_формуляр!H46," кв.м."),'Задание на оценку'!C15)</f>
        <v xml:space="preserve">Квартира, назначение: жилое. Площадь: общая  кв.м. Этаж: </v>
      </c>
    </row>
    <row r="2" spans="1:6" ht="31.5" hidden="1" customHeight="1" outlineLevel="1" x14ac:dyDescent="0.2">
      <c r="A2" s="111" t="str">
        <f>IF('Задание на оценку'!C40=1,"Собственник:","Собственники:")</f>
        <v>Собственники:</v>
      </c>
      <c r="B2" s="112" t="str">
        <f>CONCATENATE('Задание на оценку'!C53)</f>
        <v/>
      </c>
    </row>
    <row r="3" spans="1:6" ht="18.75" hidden="1" customHeight="1" outlineLevel="1" x14ac:dyDescent="0.2">
      <c r="A3" s="111"/>
      <c r="B3" s="112" t="str">
        <f>CONCATENATE('Задание на оценку'!C57)</f>
        <v/>
      </c>
    </row>
    <row r="4" spans="1:6" ht="18" hidden="1" customHeight="1" outlineLevel="1" x14ac:dyDescent="0.2">
      <c r="A4" s="111"/>
      <c r="B4" s="112" t="str">
        <f>CONCATENATE("1/3 доли - ",'Задание на оценку'!C57)</f>
        <v xml:space="preserve">1/3 доли - </v>
      </c>
    </row>
    <row r="5" spans="1:6" ht="18" hidden="1" customHeight="1" outlineLevel="1" x14ac:dyDescent="0.2">
      <c r="A5" s="111"/>
      <c r="B5" s="112" t="str">
        <f>CONCATENATE("1/10 доли - ",'Задание на оценку'!C61)</f>
        <v xml:space="preserve">1/10 доли - </v>
      </c>
    </row>
    <row r="6" spans="1:6" ht="18" hidden="1" customHeight="1" outlineLevel="1" x14ac:dyDescent="0.2">
      <c r="A6" s="111"/>
      <c r="B6" s="112" t="str">
        <f>CONCATENATE("1/5 доли - ",'Задание на оценку'!C65)</f>
        <v xml:space="preserve">1/5 доли - </v>
      </c>
    </row>
    <row r="7" spans="1:6" ht="18" hidden="1" customHeight="1" outlineLevel="1" x14ac:dyDescent="0.2">
      <c r="A7" s="111"/>
      <c r="B7" s="112"/>
    </row>
    <row r="8" spans="1:6" ht="18" customHeight="1" collapsed="1" x14ac:dyDescent="0.2">
      <c r="A8" s="111" t="s">
        <v>805</v>
      </c>
      <c r="B8" s="262">
        <f>'Задание на оценку'!C13</f>
        <v>0</v>
      </c>
    </row>
    <row r="9" spans="1:6" ht="29.25" customHeight="1" x14ac:dyDescent="0.2">
      <c r="A9" s="111" t="s">
        <v>363</v>
      </c>
      <c r="B9" s="113" t="str">
        <f>CONCATENATE(Описание_формуляр!H3,", ",Описание_формуляр!H5,", ",Описание_формуляр!H8)</f>
        <v xml:space="preserve">, , </v>
      </c>
    </row>
    <row r="10" spans="1:6" ht="18" customHeight="1" x14ac:dyDescent="0.2">
      <c r="A10" s="111" t="s">
        <v>247</v>
      </c>
      <c r="B10" s="113">
        <f>'Задание на оценку'!C91</f>
        <v>0</v>
      </c>
    </row>
    <row r="11" spans="1:6" ht="18" customHeight="1" x14ac:dyDescent="0.2">
      <c r="A11" s="111" t="s">
        <v>248</v>
      </c>
      <c r="B11" s="113">
        <f>'Задание на оценку'!C93</f>
        <v>0</v>
      </c>
      <c r="C11" s="38">
        <f>B15</f>
        <v>0</v>
      </c>
    </row>
    <row r="12" spans="1:6" ht="18" customHeight="1" x14ac:dyDescent="0.2">
      <c r="A12" s="111" t="s">
        <v>371</v>
      </c>
      <c r="B12" s="112">
        <f>'Задание на оценку'!C77</f>
        <v>0</v>
      </c>
    </row>
    <row r="13" spans="1:6" ht="30" x14ac:dyDescent="0.4">
      <c r="A13" s="46"/>
      <c r="E13" s="31" t="s">
        <v>249</v>
      </c>
      <c r="F13" s="31">
        <f>B15</f>
        <v>0</v>
      </c>
    </row>
    <row r="14" spans="1:6" x14ac:dyDescent="0.2">
      <c r="A14" s="46"/>
    </row>
    <row r="15" spans="1:6" ht="15" x14ac:dyDescent="0.2">
      <c r="A15" s="47">
        <f>'Задание на оценку'!C1</f>
        <v>0</v>
      </c>
      <c r="B15" s="32">
        <f>A15</f>
        <v>0</v>
      </c>
      <c r="E15" s="34" t="str">
        <f>CONCATENATE("Отчет об оценке № ",F13)</f>
        <v>Отчет об оценке № 0</v>
      </c>
    </row>
    <row r="16" spans="1:6" ht="15" x14ac:dyDescent="0.2">
      <c r="A16" s="48">
        <f>A17</f>
        <v>0</v>
      </c>
    </row>
    <row r="17" spans="1:7" ht="15" x14ac:dyDescent="0.2">
      <c r="A17" s="49">
        <f>'Задание на оценку'!C2</f>
        <v>0</v>
      </c>
      <c r="B17" s="33">
        <f>B11</f>
        <v>0</v>
      </c>
    </row>
    <row r="18" spans="1:7" ht="15" x14ac:dyDescent="0.2">
      <c r="A18" s="50"/>
    </row>
    <row r="19" spans="1:7" ht="30" x14ac:dyDescent="0.4">
      <c r="A19" s="50">
        <f>'Задание на оценку'!C78</f>
        <v>0</v>
      </c>
      <c r="G19" s="31" t="str">
        <f>CONCATENATE("к отчету № ",F13)</f>
        <v>к отчету № 0</v>
      </c>
    </row>
    <row r="20" spans="1:7" ht="30" x14ac:dyDescent="0.4">
      <c r="A20" s="50">
        <f>'Задание на оценку'!C79</f>
        <v>0</v>
      </c>
      <c r="G20" s="31"/>
    </row>
    <row r="22" spans="1:7" ht="15" x14ac:dyDescent="0.2">
      <c r="A22" s="50">
        <f>B12</f>
        <v>0</v>
      </c>
    </row>
  </sheetData>
  <customSheetViews>
    <customSheetView guid="{BF874629-29E4-4E42-B267-D30BB270BE2E}" hiddenRows="1">
      <selection activeCell="B1" sqref="B1"/>
      <pageMargins left="0.75" right="0.75" top="1" bottom="1" header="0.5" footer="0.5"/>
      <pageSetup paperSize="9" orientation="portrait" r:id="rId1"/>
      <headerFooter alignWithMargins="0"/>
    </customSheetView>
  </customSheetViews>
  <phoneticPr fontId="3" type="noConversion"/>
  <pageMargins left="0.75" right="0.75" top="1" bottom="1" header="0.5" footer="0.5"/>
  <pageSetup paperSize="9"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1"/>
  <dimension ref="A1:C15"/>
  <sheetViews>
    <sheetView zoomScale="80" zoomScaleNormal="80" workbookViewId="0"/>
  </sheetViews>
  <sheetFormatPr defaultRowHeight="12.75" x14ac:dyDescent="0.2"/>
  <cols>
    <col min="1" max="1" width="36.7109375" style="26" customWidth="1"/>
    <col min="2" max="2" width="18.5703125" style="26" customWidth="1"/>
    <col min="3" max="16384" width="9.140625" style="26"/>
  </cols>
  <sheetData>
    <row r="1" spans="1:3" x14ac:dyDescent="0.2">
      <c r="A1" s="26" t="s">
        <v>445</v>
      </c>
      <c r="B1" s="57">
        <f>'Задание на оценку'!C1</f>
        <v>0</v>
      </c>
    </row>
    <row r="2" spans="1:3" x14ac:dyDescent="0.2">
      <c r="A2" s="26" t="s">
        <v>446</v>
      </c>
      <c r="B2" s="62">
        <f>'Задание на оценку'!C2</f>
        <v>0</v>
      </c>
    </row>
    <row r="3" spans="1:3" x14ac:dyDescent="0.2">
      <c r="A3" s="26" t="s">
        <v>447</v>
      </c>
      <c r="B3" s="62">
        <f>'Задание на оценку'!C90</f>
        <v>0</v>
      </c>
    </row>
    <row r="4" spans="1:3" x14ac:dyDescent="0.2">
      <c r="A4" s="26" t="s">
        <v>158</v>
      </c>
      <c r="B4" s="62">
        <f>'Задание на оценку'!C91</f>
        <v>0</v>
      </c>
    </row>
    <row r="5" spans="1:3" x14ac:dyDescent="0.2">
      <c r="A5" s="26" t="s">
        <v>448</v>
      </c>
      <c r="B5" s="62">
        <f>'Задание на оценку'!C93</f>
        <v>0</v>
      </c>
    </row>
    <row r="6" spans="1:3" x14ac:dyDescent="0.2">
      <c r="A6" s="26" t="s">
        <v>449</v>
      </c>
      <c r="B6" s="26">
        <f>'Задание на оценку'!C77</f>
        <v>0</v>
      </c>
    </row>
    <row r="7" spans="1:3" x14ac:dyDescent="0.2">
      <c r="B7" s="26">
        <f>'Задание на оценку'!C78</f>
        <v>0</v>
      </c>
    </row>
    <row r="8" spans="1:3" x14ac:dyDescent="0.2">
      <c r="B8" s="26">
        <f>'Задание на оценку'!C79</f>
        <v>0</v>
      </c>
    </row>
    <row r="11" spans="1:3" x14ac:dyDescent="0.2">
      <c r="A11" s="26" t="s">
        <v>460</v>
      </c>
      <c r="B11" s="61">
        <f>'Задание на оценку'!E3</f>
        <v>0</v>
      </c>
      <c r="C11" s="26" t="str">
        <f>IF((B11)&lt;=0,"Сумма прописью:_______________________________________",FirstLetter(CurText(B11)))</f>
        <v>Сумма прописью:_______________________________________</v>
      </c>
    </row>
    <row r="12" spans="1:3" x14ac:dyDescent="0.2">
      <c r="A12" s="26" t="s">
        <v>450</v>
      </c>
      <c r="B12" s="58" t="e">
        <f>Сравнительный!B96</f>
        <v>#DIV/0!</v>
      </c>
      <c r="C12" s="26" t="e">
        <f>IF((B12)&lt;=0,"Сумма прописью:_______________________________________",FirstLetter(CurText(B12)))</f>
        <v>#DIV/0!</v>
      </c>
    </row>
    <row r="13" spans="1:3" x14ac:dyDescent="0.2">
      <c r="A13" s="26" t="s">
        <v>451</v>
      </c>
      <c r="B13" s="58" t="e">
        <f>РасчетЛиквидационнойСтоимости!C8</f>
        <v>#DIV/0!</v>
      </c>
      <c r="C13" s="26" t="e">
        <f>IF((B13)&lt;=0,"Сумма прописью:_______________________________________",FirstLetter(CurText(B13)))</f>
        <v>#DIV/0!</v>
      </c>
    </row>
    <row r="14" spans="1:3" x14ac:dyDescent="0.2">
      <c r="A14" s="26" t="s">
        <v>468</v>
      </c>
      <c r="B14" s="73" t="e">
        <f>ROUND(B12/Описание_формуляр!$H$46,-2)</f>
        <v>#DIV/0!</v>
      </c>
      <c r="C14" s="26" t="e">
        <f>IF((B14)&lt;=0,"Сумма прописью:_______________________________________",FirstLetter(CurText(B14)))</f>
        <v>#DIV/0!</v>
      </c>
    </row>
    <row r="15" spans="1:3" x14ac:dyDescent="0.2">
      <c r="A15" s="26" t="s">
        <v>469</v>
      </c>
      <c r="B15" s="73" t="e">
        <f>ROUND(B13/Описание_формуляр!$H$46,-2)</f>
        <v>#DIV/0!</v>
      </c>
      <c r="C15" s="26" t="e">
        <f>IF((B15)&lt;=0,"Сумма прописью:_______________________________________",FirstLetter(CurText(B15)))</f>
        <v>#DIV/0!</v>
      </c>
    </row>
  </sheetData>
  <customSheetViews>
    <customSheetView guid="{BF874629-29E4-4E42-B267-D30BB270BE2E}">
      <selection activeCell="A15" sqref="A15"/>
      <pageMargins left="0.75" right="0.75" top="1" bottom="1" header="0.5" footer="0.5"/>
      <pageSetup paperSize="9" orientation="portrait" r:id="rId1"/>
      <headerFooter alignWithMargins="0"/>
    </customSheetView>
  </customSheetViews>
  <phoneticPr fontId="3" type="noConversion"/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22"/>
  <sheetViews>
    <sheetView zoomScale="80" zoomScaleNormal="80" workbookViewId="0"/>
  </sheetViews>
  <sheetFormatPr defaultRowHeight="12.75" x14ac:dyDescent="0.2"/>
  <cols>
    <col min="1" max="1" width="63.5703125" style="285" customWidth="1"/>
    <col min="2" max="2" width="26.140625" style="285" customWidth="1"/>
    <col min="3" max="6" width="9.140625" style="285"/>
    <col min="7" max="7" width="24.140625" style="285" customWidth="1"/>
    <col min="8" max="16384" width="9.140625" style="285"/>
  </cols>
  <sheetData>
    <row r="1" spans="1:7" x14ac:dyDescent="0.2">
      <c r="A1" s="37" t="s">
        <v>332</v>
      </c>
    </row>
    <row r="2" spans="1:7" ht="14.25" customHeight="1" x14ac:dyDescent="0.2">
      <c r="A2" s="203" t="s">
        <v>333</v>
      </c>
      <c r="B2" s="203" t="s">
        <v>334</v>
      </c>
    </row>
    <row r="3" spans="1:7" ht="22.5" customHeight="1" x14ac:dyDescent="0.2">
      <c r="A3" s="114" t="s">
        <v>325</v>
      </c>
      <c r="B3" s="18">
        <v>140</v>
      </c>
      <c r="G3" s="285" t="s">
        <v>340</v>
      </c>
    </row>
    <row r="4" spans="1:7" ht="25.5" customHeight="1" x14ac:dyDescent="0.2">
      <c r="A4" s="114" t="s">
        <v>326</v>
      </c>
      <c r="B4" s="18">
        <v>125</v>
      </c>
      <c r="G4" s="285" t="s">
        <v>341</v>
      </c>
    </row>
    <row r="5" spans="1:7" ht="36" customHeight="1" x14ac:dyDescent="0.2">
      <c r="A5" s="114" t="s">
        <v>327</v>
      </c>
      <c r="B5" s="18">
        <v>100</v>
      </c>
      <c r="G5" s="285" t="s">
        <v>342</v>
      </c>
    </row>
    <row r="6" spans="1:7" ht="36" customHeight="1" x14ac:dyDescent="0.2">
      <c r="A6" s="114" t="s">
        <v>328</v>
      </c>
      <c r="B6" s="18">
        <v>60</v>
      </c>
      <c r="G6" s="285" t="s">
        <v>548</v>
      </c>
    </row>
    <row r="7" spans="1:7" ht="27" customHeight="1" x14ac:dyDescent="0.2">
      <c r="A7" s="114" t="s">
        <v>329</v>
      </c>
      <c r="B7" s="18">
        <v>30</v>
      </c>
      <c r="G7" s="19" t="s">
        <v>617</v>
      </c>
    </row>
    <row r="8" spans="1:7" ht="27" customHeight="1" x14ac:dyDescent="0.2">
      <c r="A8" s="114" t="s">
        <v>330</v>
      </c>
      <c r="B8" s="18">
        <v>20</v>
      </c>
    </row>
    <row r="9" spans="1:7" ht="15.75" customHeight="1" x14ac:dyDescent="0.2">
      <c r="A9" s="114" t="s">
        <v>331</v>
      </c>
      <c r="B9" s="18">
        <v>15</v>
      </c>
    </row>
    <row r="11" spans="1:7" x14ac:dyDescent="0.2">
      <c r="A11" s="37" t="s">
        <v>335</v>
      </c>
    </row>
    <row r="12" spans="1:7" ht="16.5" customHeight="1" x14ac:dyDescent="0.2">
      <c r="A12" s="203" t="s">
        <v>337</v>
      </c>
      <c r="B12" s="203" t="s">
        <v>290</v>
      </c>
    </row>
    <row r="13" spans="1:7" ht="16.5" customHeight="1" x14ac:dyDescent="0.2">
      <c r="A13" s="114" t="s">
        <v>336</v>
      </c>
      <c r="B13" s="18"/>
    </row>
    <row r="14" spans="1:7" ht="16.5" customHeight="1" x14ac:dyDescent="0.2">
      <c r="A14" s="114" t="s">
        <v>339</v>
      </c>
      <c r="B14" s="18"/>
    </row>
    <row r="15" spans="1:7" ht="16.5" customHeight="1" x14ac:dyDescent="0.2">
      <c r="A15" s="114" t="s">
        <v>338</v>
      </c>
      <c r="B15" s="115">
        <f ca="1">Описание_формуляр!H25</f>
        <v>2023</v>
      </c>
      <c r="E15" s="285">
        <f>4/12</f>
        <v>0.33333333333333331</v>
      </c>
    </row>
    <row r="16" spans="1:7" ht="16.5" customHeight="1" x14ac:dyDescent="0.2">
      <c r="A16" s="114" t="s">
        <v>343</v>
      </c>
      <c r="B16" s="116" t="e">
        <f ca="1">B15/B13</f>
        <v>#DIV/0!</v>
      </c>
    </row>
    <row r="17" spans="1:7" ht="16.5" customHeight="1" x14ac:dyDescent="0.2"/>
    <row r="18" spans="1:7" ht="16.5" customHeight="1" x14ac:dyDescent="0.2">
      <c r="A18" s="203" t="s">
        <v>490</v>
      </c>
      <c r="B18" s="203" t="s">
        <v>290</v>
      </c>
    </row>
    <row r="19" spans="1:7" ht="16.5" customHeight="1" x14ac:dyDescent="0.2">
      <c r="A19" s="114" t="s">
        <v>491</v>
      </c>
      <c r="B19" s="17" t="e">
        <f ca="1">B16</f>
        <v>#DIV/0!</v>
      </c>
      <c r="G19" s="285" t="s">
        <v>492</v>
      </c>
    </row>
    <row r="20" spans="1:7" ht="16.5" customHeight="1" x14ac:dyDescent="0.2">
      <c r="A20" s="114" t="s">
        <v>765</v>
      </c>
      <c r="B20" s="17"/>
    </row>
    <row r="21" spans="1:7" ht="16.5" customHeight="1" x14ac:dyDescent="0.2">
      <c r="A21" s="114" t="s">
        <v>493</v>
      </c>
      <c r="B21" s="105" t="s">
        <v>492</v>
      </c>
      <c r="G21" s="285" t="s">
        <v>494</v>
      </c>
    </row>
    <row r="22" spans="1:7" ht="16.5" customHeight="1" x14ac:dyDescent="0.2">
      <c r="A22" s="114" t="s">
        <v>495</v>
      </c>
      <c r="B22" s="117"/>
    </row>
  </sheetData>
  <customSheetViews>
    <customSheetView guid="{BF874629-29E4-4E42-B267-D30BB270BE2E}" scale="110">
      <selection activeCell="B11" sqref="B11"/>
      <pageMargins left="0.75" right="0.75" top="1" bottom="1" header="0.5" footer="0.5"/>
      <pageSetup paperSize="9" orientation="portrait" r:id="rId1"/>
      <headerFooter alignWithMargins="0"/>
    </customSheetView>
  </customSheetViews>
  <phoneticPr fontId="3" type="noConversion"/>
  <dataValidations count="4">
    <dataValidation type="list" errorStyle="warning" allowBlank="1" showInputMessage="1" showErrorMessage="1" sqref="B13" xr:uid="{00000000-0002-0000-0100-000000000000}">
      <formula1>$B$3:$B$9</formula1>
    </dataValidation>
    <dataValidation type="list" errorStyle="warning" allowBlank="1" showInputMessage="1" showErrorMessage="1" sqref="G7" xr:uid="{00000000-0002-0000-0100-000001000000}">
      <formula1>$G$3:$G$6</formula1>
    </dataValidation>
    <dataValidation type="list" errorStyle="warning" allowBlank="1" showInputMessage="1" showErrorMessage="1" sqref="B21" xr:uid="{00000000-0002-0000-0100-000002000000}">
      <formula1>$G$19:$G$21</formula1>
    </dataValidation>
    <dataValidation type="list" errorStyle="warning" allowBlank="1" showInputMessage="1" showErrorMessage="1" sqref="B14" xr:uid="{00000000-0002-0000-0100-000003000000}">
      <formula1>$G$3:$G$7</formula1>
    </dataValidation>
  </dataValidations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K108"/>
  <sheetViews>
    <sheetView showGridLines="0" topLeftCell="A5" zoomScale="80" zoomScaleNormal="80" zoomScaleSheetLayoutView="100" workbookViewId="0">
      <selection activeCell="C80" sqref="C80"/>
    </sheetView>
  </sheetViews>
  <sheetFormatPr defaultRowHeight="10.5" outlineLevelRow="1" x14ac:dyDescent="0.2"/>
  <cols>
    <col min="1" max="1" width="14.7109375" style="4" customWidth="1"/>
    <col min="2" max="2" width="23.85546875" style="4" customWidth="1"/>
    <col min="3" max="3" width="51.28515625" style="4" customWidth="1"/>
    <col min="4" max="4" width="29" style="4" customWidth="1"/>
    <col min="5" max="5" width="28.140625" style="4" customWidth="1"/>
    <col min="6" max="6" width="27" style="4" customWidth="1"/>
    <col min="7" max="14" width="9.140625" style="4"/>
    <col min="15" max="15" width="15" style="4" customWidth="1"/>
    <col min="16" max="16" width="23.85546875" style="4" customWidth="1"/>
    <col min="17" max="17" width="51.7109375" style="4" customWidth="1"/>
    <col min="18" max="16384" width="9.140625" style="4"/>
  </cols>
  <sheetData>
    <row r="1" spans="1:33" ht="12.75" x14ac:dyDescent="0.2">
      <c r="B1" s="39" t="s">
        <v>239</v>
      </c>
      <c r="C1" s="60"/>
      <c r="D1" s="40" t="s">
        <v>362</v>
      </c>
      <c r="E1" s="90"/>
      <c r="W1" s="4" t="s">
        <v>359</v>
      </c>
      <c r="Y1" s="41" t="str">
        <f>IF(E2="Томилов С.М.","Директора Томилова Сергея Михайловича, действующего на основании Устава","Заместителя Директора Пахомова Евгения Владимировича, действующего на основании Доверенности от 03.06.2019г.")</f>
        <v>Заместителя Директора Пахомова Евгения Владимировича, действующего на основании Доверенности от 03.06.2019г.</v>
      </c>
      <c r="AD1" s="41"/>
      <c r="AE1" s="41"/>
      <c r="AF1" s="41"/>
      <c r="AG1" s="41" t="s">
        <v>656</v>
      </c>
    </row>
    <row r="2" spans="1:33" ht="12.75" x14ac:dyDescent="0.2">
      <c r="B2" s="39" t="s">
        <v>240</v>
      </c>
      <c r="C2" s="266"/>
      <c r="D2" s="40" t="s">
        <v>355</v>
      </c>
      <c r="E2" s="90"/>
      <c r="W2" s="4" t="s">
        <v>360</v>
      </c>
      <c r="Y2" s="41" t="str">
        <f>IF(E2="Томилов С.М.","Директор","Заместитель директора")</f>
        <v>Заместитель директора</v>
      </c>
      <c r="AD2" s="41"/>
      <c r="AE2" s="41"/>
      <c r="AF2" s="41"/>
      <c r="AG2" s="41" t="s">
        <v>504</v>
      </c>
    </row>
    <row r="3" spans="1:33" ht="15.75" customHeight="1" x14ac:dyDescent="0.2">
      <c r="A3" s="341"/>
      <c r="B3" s="342"/>
      <c r="C3" s="343"/>
      <c r="D3" s="59" t="s">
        <v>460</v>
      </c>
      <c r="E3" s="60"/>
      <c r="W3" s="4" t="s">
        <v>359</v>
      </c>
      <c r="Y3" s="41" t="str">
        <f>IF(E2="Томилов С.М.","Томилов Сергей Михайлович","Пахомов Евгений Владимирович")</f>
        <v>Пахомов Евгений Владимирович</v>
      </c>
      <c r="AE3" s="41"/>
      <c r="AG3" s="41" t="s">
        <v>507</v>
      </c>
    </row>
    <row r="4" spans="1:33" ht="15.75" customHeight="1" x14ac:dyDescent="0.2">
      <c r="A4" s="301" t="s">
        <v>524</v>
      </c>
      <c r="B4" s="301"/>
      <c r="C4" s="301"/>
      <c r="D4" s="7"/>
      <c r="E4" s="7"/>
      <c r="F4" s="7"/>
      <c r="G4" s="4" t="s">
        <v>170</v>
      </c>
      <c r="H4" s="4" t="s">
        <v>212</v>
      </c>
      <c r="I4" s="4" t="s">
        <v>164</v>
      </c>
      <c r="J4" s="4" t="s">
        <v>400</v>
      </c>
      <c r="K4" s="4" t="s">
        <v>405</v>
      </c>
      <c r="L4" s="4" t="s">
        <v>142</v>
      </c>
      <c r="N4" s="4" t="s">
        <v>546</v>
      </c>
      <c r="W4" s="4" t="s">
        <v>360</v>
      </c>
      <c r="Y4" s="41" t="str">
        <f>IF(E1="Щеголева Д.А.","Щеголева Дарья Александровна",IF(E1="Подрезов Н.В.","Подрезов Николай Викторович",IF(E1="Галашов А.В.","Галашов Андрей Викторович",IF(E1="Пахомов Е.В.","Пахомов Евгений Владимирович","Томилов Сергей Михайлович"))))</f>
        <v>Томилов Сергей Михайлович</v>
      </c>
      <c r="AD4" s="41"/>
      <c r="AG4" s="41" t="s">
        <v>452</v>
      </c>
    </row>
    <row r="5" spans="1:33" ht="15" customHeight="1" x14ac:dyDescent="0.2">
      <c r="A5" s="287" t="s">
        <v>137</v>
      </c>
      <c r="B5" s="42" t="str">
        <f>Описание_формуляр!A3</f>
        <v>Субъект РФ</v>
      </c>
      <c r="C5" s="42">
        <f>Описание_формуляр!H3</f>
        <v>0</v>
      </c>
      <c r="D5" s="4" t="s">
        <v>209</v>
      </c>
      <c r="G5" s="4" t="s">
        <v>398</v>
      </c>
      <c r="H5" s="4" t="s">
        <v>214</v>
      </c>
      <c r="I5" s="4" t="s">
        <v>215</v>
      </c>
      <c r="J5" s="4" t="s">
        <v>403</v>
      </c>
      <c r="K5" s="4" t="s">
        <v>74</v>
      </c>
      <c r="L5" s="4" t="s">
        <v>406</v>
      </c>
      <c r="AF5" s="41" t="s">
        <v>358</v>
      </c>
      <c r="AG5" s="41" t="s">
        <v>356</v>
      </c>
    </row>
    <row r="6" spans="1:33" ht="15" customHeight="1" x14ac:dyDescent="0.2">
      <c r="A6" s="287"/>
      <c r="B6" s="11" t="str">
        <f>Описание_формуляр!A5</f>
        <v>Населенный пункт</v>
      </c>
      <c r="C6" s="11">
        <f>Описание_формуляр!H5</f>
        <v>0</v>
      </c>
      <c r="D6" s="4" t="s">
        <v>209</v>
      </c>
      <c r="G6" s="4" t="s">
        <v>207</v>
      </c>
      <c r="H6" s="4" t="s">
        <v>213</v>
      </c>
      <c r="I6" s="4" t="s">
        <v>216</v>
      </c>
      <c r="J6" s="4" t="s">
        <v>401</v>
      </c>
      <c r="L6" s="4" t="s">
        <v>410</v>
      </c>
      <c r="AF6" s="41" t="s">
        <v>357</v>
      </c>
      <c r="AG6" s="41" t="s">
        <v>356</v>
      </c>
    </row>
    <row r="7" spans="1:33" ht="15" customHeight="1" x14ac:dyDescent="0.2">
      <c r="A7" s="287"/>
      <c r="B7" s="11" t="str">
        <f>Описание_формуляр!A6</f>
        <v>Административный район</v>
      </c>
      <c r="C7" s="286">
        <f>Описание_формуляр!H6</f>
        <v>0</v>
      </c>
      <c r="D7" s="4" t="s">
        <v>209</v>
      </c>
      <c r="G7" s="4" t="s">
        <v>471</v>
      </c>
      <c r="I7" s="4" t="s">
        <v>217</v>
      </c>
      <c r="J7" s="4" t="s">
        <v>404</v>
      </c>
      <c r="L7" s="4" t="s">
        <v>407</v>
      </c>
    </row>
    <row r="8" spans="1:33" ht="23.25" customHeight="1" x14ac:dyDescent="0.2">
      <c r="A8" s="287"/>
      <c r="B8" s="11" t="str">
        <f>ФормаАИЖК!J8</f>
        <v>Улица , № дома, № корпуса (строения), № кв</v>
      </c>
      <c r="C8" s="11">
        <f>Описание_формуляр!H8</f>
        <v>0</v>
      </c>
      <c r="D8" s="4" t="s">
        <v>209</v>
      </c>
      <c r="G8" s="4" t="s">
        <v>518</v>
      </c>
      <c r="I8" s="4" t="s">
        <v>218</v>
      </c>
      <c r="J8" s="4" t="s">
        <v>402</v>
      </c>
      <c r="L8" s="4" t="s">
        <v>408</v>
      </c>
    </row>
    <row r="9" spans="1:33" ht="15" customHeight="1" x14ac:dyDescent="0.2">
      <c r="A9" s="287"/>
      <c r="B9" s="11" t="str">
        <f>ФормаАИЖК!B2</f>
        <v>Тип помещения:</v>
      </c>
      <c r="C9" s="11">
        <f>Описание_формуляр!H41</f>
        <v>0</v>
      </c>
      <c r="D9" s="4" t="s">
        <v>209</v>
      </c>
      <c r="G9" s="4" t="s">
        <v>550</v>
      </c>
      <c r="I9" s="4" t="s">
        <v>219</v>
      </c>
      <c r="L9" s="4" t="s">
        <v>409</v>
      </c>
    </row>
    <row r="10" spans="1:33" ht="15" customHeight="1" x14ac:dyDescent="0.2">
      <c r="A10" s="287"/>
      <c r="B10" s="11" t="s">
        <v>365</v>
      </c>
      <c r="C10" s="11">
        <f>Описание_формуляр!H49</f>
        <v>0</v>
      </c>
      <c r="D10" s="4" t="s">
        <v>209</v>
      </c>
      <c r="E10" s="4">
        <f>C8</f>
        <v>0</v>
      </c>
    </row>
    <row r="11" spans="1:33" ht="16.5" customHeight="1" x14ac:dyDescent="0.2">
      <c r="A11" s="287"/>
      <c r="B11" s="11" t="str">
        <f>Описание_формуляр!A46</f>
        <v>Общая площадь, кв.м.</v>
      </c>
      <c r="C11" s="101">
        <f>Описание_формуляр!H46</f>
        <v>0</v>
      </c>
      <c r="D11" s="4" t="s">
        <v>209</v>
      </c>
    </row>
    <row r="12" spans="1:33" ht="40.5" hidden="1" customHeight="1" x14ac:dyDescent="0.2">
      <c r="A12" s="287"/>
      <c r="B12" s="11" t="str">
        <f>Описание_формуляр!A47</f>
        <v>Общая площадь (согласно выписки из техпаспорта без учета балкона), кв.м.</v>
      </c>
      <c r="C12" s="101">
        <f>Описание_формуляр!H47</f>
        <v>40.6</v>
      </c>
    </row>
    <row r="13" spans="1:33" ht="15" customHeight="1" x14ac:dyDescent="0.2">
      <c r="A13" s="287"/>
      <c r="B13" s="11" t="s">
        <v>426</v>
      </c>
      <c r="C13" s="102">
        <f>Описание_формуляр!H9</f>
        <v>0</v>
      </c>
      <c r="D13" s="4" t="s">
        <v>209</v>
      </c>
    </row>
    <row r="14" spans="1:33" ht="15" customHeight="1" x14ac:dyDescent="0.2">
      <c r="A14" s="287"/>
      <c r="B14" s="11" t="s">
        <v>399</v>
      </c>
      <c r="C14" s="11"/>
    </row>
    <row r="15" spans="1:33" ht="15" customHeight="1" outlineLevel="1" x14ac:dyDescent="0.2">
      <c r="A15" s="287"/>
      <c r="B15" s="11" t="s">
        <v>621</v>
      </c>
      <c r="C15" s="104" t="str">
        <f>CONCATENATE("Квартира, назначение: жилое. Площадь: общая ",Описание_формуляр!H46," кв.м. Этаж: ",Описание_формуляр!H44)</f>
        <v xml:space="preserve">Квартира, назначение: жилое. Площадь: общая  кв.м. Этаж: </v>
      </c>
    </row>
    <row r="16" spans="1:33" ht="16.5" customHeight="1" x14ac:dyDescent="0.2">
      <c r="A16" s="295" t="s">
        <v>637</v>
      </c>
      <c r="B16" s="296"/>
      <c r="C16" s="99"/>
    </row>
    <row r="17" spans="1:3" ht="16.5" customHeight="1" x14ac:dyDescent="0.2">
      <c r="A17" s="338"/>
      <c r="B17" s="339"/>
      <c r="C17" s="99"/>
    </row>
    <row r="18" spans="1:3" ht="16.5" customHeight="1" x14ac:dyDescent="0.2">
      <c r="A18" s="338"/>
      <c r="B18" s="339"/>
      <c r="C18" s="99"/>
    </row>
    <row r="19" spans="1:3" ht="18" hidden="1" customHeight="1" x14ac:dyDescent="0.2">
      <c r="A19" s="338"/>
      <c r="B19" s="339"/>
      <c r="C19" s="99"/>
    </row>
    <row r="20" spans="1:3" ht="18" hidden="1" customHeight="1" x14ac:dyDescent="0.2">
      <c r="A20" s="338"/>
      <c r="B20" s="339"/>
      <c r="C20" s="99" t="s">
        <v>763</v>
      </c>
    </row>
    <row r="21" spans="1:3" ht="18" hidden="1" customHeight="1" x14ac:dyDescent="0.2">
      <c r="A21" s="338"/>
      <c r="B21" s="339"/>
      <c r="C21" s="99" t="s">
        <v>764</v>
      </c>
    </row>
    <row r="22" spans="1:3" ht="46.5" hidden="1" customHeight="1" x14ac:dyDescent="0.2">
      <c r="A22" s="338"/>
      <c r="B22" s="339"/>
      <c r="C22" s="99" t="s">
        <v>762</v>
      </c>
    </row>
    <row r="23" spans="1:3" ht="30.75" hidden="1" customHeight="1" x14ac:dyDescent="0.2">
      <c r="A23" s="338"/>
      <c r="B23" s="339"/>
      <c r="C23" s="99" t="s">
        <v>758</v>
      </c>
    </row>
    <row r="24" spans="1:3" ht="15.75" hidden="1" customHeight="1" x14ac:dyDescent="0.2">
      <c r="A24" s="338"/>
      <c r="B24" s="339"/>
      <c r="C24" s="99" t="s">
        <v>744</v>
      </c>
    </row>
    <row r="25" spans="1:3" ht="22.5" hidden="1" customHeight="1" x14ac:dyDescent="0.2">
      <c r="A25" s="338"/>
      <c r="B25" s="339"/>
      <c r="C25" s="99" t="s">
        <v>760</v>
      </c>
    </row>
    <row r="26" spans="1:3" ht="15.75" hidden="1" customHeight="1" x14ac:dyDescent="0.2">
      <c r="A26" s="338"/>
      <c r="B26" s="339"/>
      <c r="C26" s="99"/>
    </row>
    <row r="27" spans="1:3" ht="18" hidden="1" customHeight="1" x14ac:dyDescent="0.2">
      <c r="A27" s="338"/>
      <c r="B27" s="339"/>
      <c r="C27" s="99"/>
    </row>
    <row r="28" spans="1:3" ht="18" hidden="1" customHeight="1" x14ac:dyDescent="0.2">
      <c r="A28" s="297"/>
      <c r="B28" s="298"/>
      <c r="C28" s="99" t="s">
        <v>741</v>
      </c>
    </row>
    <row r="29" spans="1:3" hidden="1" x14ac:dyDescent="0.2">
      <c r="A29" s="99"/>
      <c r="B29" s="299" t="s">
        <v>640</v>
      </c>
      <c r="C29" s="299"/>
    </row>
    <row r="30" spans="1:3" hidden="1" x14ac:dyDescent="0.2">
      <c r="A30" s="99"/>
      <c r="B30" s="299" t="s">
        <v>318</v>
      </c>
      <c r="C30" s="299" t="s">
        <v>635</v>
      </c>
    </row>
    <row r="31" spans="1:3" outlineLevel="1" x14ac:dyDescent="0.2">
      <c r="A31" s="99"/>
      <c r="B31" s="11"/>
      <c r="C31" s="99"/>
    </row>
    <row r="32" spans="1:3" outlineLevel="1" x14ac:dyDescent="0.2">
      <c r="A32" s="99"/>
      <c r="B32" s="11"/>
      <c r="C32" s="42"/>
    </row>
    <row r="33" spans="1:17" outlineLevel="1" x14ac:dyDescent="0.2">
      <c r="A33" s="99"/>
      <c r="B33" s="11"/>
      <c r="C33" s="101"/>
    </row>
    <row r="34" spans="1:17" ht="21" hidden="1" x14ac:dyDescent="0.2">
      <c r="A34" s="99"/>
      <c r="B34" s="11"/>
      <c r="C34" s="101" t="s">
        <v>632</v>
      </c>
    </row>
    <row r="35" spans="1:17" ht="0.75" customHeight="1" outlineLevel="1" x14ac:dyDescent="0.2">
      <c r="A35" s="99"/>
      <c r="B35" s="299" t="s">
        <v>640</v>
      </c>
      <c r="C35" s="299" t="s">
        <v>636</v>
      </c>
    </row>
    <row r="36" spans="1:17" ht="24" customHeight="1" outlineLevel="1" x14ac:dyDescent="0.2">
      <c r="A36" s="299" t="s">
        <v>633</v>
      </c>
      <c r="B36" s="299"/>
      <c r="C36" s="99" t="s">
        <v>749</v>
      </c>
      <c r="D36" s="4" t="s">
        <v>537</v>
      </c>
      <c r="E36" s="127" t="s">
        <v>667</v>
      </c>
    </row>
    <row r="37" spans="1:17" ht="18" customHeight="1" x14ac:dyDescent="0.2">
      <c r="A37" s="299" t="s">
        <v>461</v>
      </c>
      <c r="B37" s="299"/>
      <c r="C37" s="11"/>
      <c r="D37" s="43" t="s">
        <v>208</v>
      </c>
      <c r="E37" s="82"/>
      <c r="F37" s="82"/>
      <c r="O37" s="344" t="s">
        <v>461</v>
      </c>
      <c r="P37" s="345"/>
      <c r="Q37" s="87">
        <f>C37</f>
        <v>0</v>
      </c>
    </row>
    <row r="38" spans="1:17" ht="15" customHeight="1" x14ac:dyDescent="0.2">
      <c r="A38" s="299" t="s">
        <v>5</v>
      </c>
      <c r="B38" s="299"/>
      <c r="C38" s="11"/>
      <c r="D38" s="44"/>
      <c r="E38" s="82"/>
      <c r="F38" s="82"/>
      <c r="G38" s="4" t="str">
        <f>IF(C10=1,"Одно",IF(C10=2,"Двух",IF(C10=3,"Трех",IF(C10=4,"Четырех",IF(C10=5,"Пяти","Шести")))))</f>
        <v>Шести</v>
      </c>
      <c r="O38" s="340" t="s">
        <v>5</v>
      </c>
      <c r="P38" s="299"/>
      <c r="Q38" s="12">
        <f t="shared" ref="Q38:Q68" si="0">C38</f>
        <v>0</v>
      </c>
    </row>
    <row r="39" spans="1:17" ht="15" customHeight="1" x14ac:dyDescent="0.2">
      <c r="A39" s="299" t="s">
        <v>6</v>
      </c>
      <c r="B39" s="299"/>
      <c r="C39" s="11"/>
      <c r="D39" s="44"/>
      <c r="E39" s="82"/>
      <c r="F39" s="82"/>
      <c r="G39" s="4" t="str">
        <f>IF(C9="Квартира","квартира","комната")</f>
        <v>комната</v>
      </c>
      <c r="O39" s="340" t="s">
        <v>6</v>
      </c>
      <c r="P39" s="299"/>
      <c r="Q39" s="12">
        <f t="shared" si="0"/>
        <v>0</v>
      </c>
    </row>
    <row r="40" spans="1:17" ht="15" customHeight="1" x14ac:dyDescent="0.2">
      <c r="A40" s="299" t="s">
        <v>210</v>
      </c>
      <c r="B40" s="299"/>
      <c r="C40" s="11"/>
      <c r="D40" s="44"/>
      <c r="E40" s="82"/>
      <c r="F40" s="82"/>
      <c r="G40" s="4" t="str">
        <f>CONCATENATE("Комната общей площадью ",C11," кв.м.")</f>
        <v>Комната общей площадью 0 кв.м.</v>
      </c>
      <c r="O40" s="340" t="s">
        <v>210</v>
      </c>
      <c r="P40" s="299"/>
      <c r="Q40" s="12">
        <f t="shared" si="0"/>
        <v>0</v>
      </c>
    </row>
    <row r="41" spans="1:17" ht="15" customHeight="1" x14ac:dyDescent="0.2">
      <c r="A41" s="299" t="s">
        <v>211</v>
      </c>
      <c r="B41" s="299"/>
      <c r="C41" s="11"/>
      <c r="D41" s="44"/>
      <c r="E41" s="82"/>
      <c r="F41" s="82"/>
      <c r="O41" s="340" t="s">
        <v>211</v>
      </c>
      <c r="P41" s="299"/>
      <c r="Q41" s="12">
        <f t="shared" si="0"/>
        <v>0</v>
      </c>
    </row>
    <row r="42" spans="1:17" ht="27.75" hidden="1" customHeight="1" x14ac:dyDescent="0.2">
      <c r="A42" s="299" t="s">
        <v>369</v>
      </c>
      <c r="B42" s="11" t="s">
        <v>304</v>
      </c>
      <c r="C42" s="99" t="s">
        <v>750</v>
      </c>
      <c r="D42" s="346" t="s">
        <v>233</v>
      </c>
      <c r="E42" s="82"/>
      <c r="F42" s="82"/>
      <c r="O42" s="340" t="s">
        <v>369</v>
      </c>
      <c r="P42" s="11" t="s">
        <v>304</v>
      </c>
      <c r="Q42" s="12" t="str">
        <f t="shared" si="0"/>
        <v>Публичное акционерное общество "Сбербанк России", ИНН: 7707083893</v>
      </c>
    </row>
    <row r="43" spans="1:17" ht="19.5" hidden="1" customHeight="1" x14ac:dyDescent="0.2">
      <c r="A43" s="299"/>
      <c r="B43" s="11" t="s">
        <v>487</v>
      </c>
      <c r="C43" s="99" t="s">
        <v>751</v>
      </c>
      <c r="D43" s="347"/>
      <c r="E43" s="82"/>
      <c r="F43" s="82"/>
      <c r="O43" s="340"/>
      <c r="P43" s="11" t="s">
        <v>487</v>
      </c>
      <c r="Q43" s="12" t="str">
        <f t="shared" si="0"/>
        <v>7707083893/773601001</v>
      </c>
    </row>
    <row r="44" spans="1:17" ht="19.5" hidden="1" customHeight="1" x14ac:dyDescent="0.2">
      <c r="A44" s="299"/>
      <c r="B44" s="11" t="s">
        <v>221</v>
      </c>
      <c r="C44" s="102" t="s">
        <v>752</v>
      </c>
      <c r="D44" s="347"/>
      <c r="E44" s="82"/>
      <c r="F44" s="82"/>
      <c r="O44" s="340"/>
      <c r="P44" s="11" t="s">
        <v>221</v>
      </c>
      <c r="Q44" s="12" t="str">
        <f t="shared" si="0"/>
        <v>1027700132195</v>
      </c>
    </row>
    <row r="45" spans="1:17" ht="19.5" hidden="1" customHeight="1" x14ac:dyDescent="0.2">
      <c r="A45" s="299"/>
      <c r="B45" s="11" t="s">
        <v>222</v>
      </c>
      <c r="C45" s="103">
        <v>37484</v>
      </c>
      <c r="D45" s="347"/>
      <c r="E45" s="82"/>
      <c r="F45" s="82"/>
      <c r="O45" s="340"/>
      <c r="P45" s="11" t="s">
        <v>222</v>
      </c>
      <c r="Q45" s="15">
        <f t="shared" si="0"/>
        <v>37484</v>
      </c>
    </row>
    <row r="46" spans="1:17" ht="25.5" hidden="1" customHeight="1" x14ac:dyDescent="0.2">
      <c r="A46" s="299"/>
      <c r="B46" s="11" t="s">
        <v>223</v>
      </c>
      <c r="C46" s="11" t="s">
        <v>753</v>
      </c>
      <c r="D46" s="347"/>
      <c r="E46" s="82"/>
      <c r="F46" s="82"/>
      <c r="O46" s="340"/>
      <c r="P46" s="11" t="s">
        <v>223</v>
      </c>
      <c r="Q46" s="12" t="str">
        <f t="shared" si="0"/>
        <v>117997, г.Москва, ул.Вавилова, д. 19</v>
      </c>
    </row>
    <row r="47" spans="1:17" ht="19.5" hidden="1" customHeight="1" x14ac:dyDescent="0.2">
      <c r="A47" s="299"/>
      <c r="B47" s="11" t="s">
        <v>224</v>
      </c>
      <c r="C47" s="11"/>
      <c r="D47" s="347"/>
      <c r="E47" s="82"/>
      <c r="F47" s="82"/>
      <c r="O47" s="340"/>
      <c r="P47" s="11" t="s">
        <v>224</v>
      </c>
      <c r="Q47" s="12"/>
    </row>
    <row r="48" spans="1:17" ht="19.5" hidden="1" customHeight="1" x14ac:dyDescent="0.2">
      <c r="A48" s="299" t="s">
        <v>225</v>
      </c>
      <c r="B48" s="299"/>
      <c r="C48" s="101" t="s">
        <v>478</v>
      </c>
      <c r="D48" s="348"/>
      <c r="E48" s="82"/>
      <c r="F48" s="82"/>
      <c r="O48" s="353" t="s">
        <v>225</v>
      </c>
      <c r="P48" s="354"/>
      <c r="Q48" s="13" t="str">
        <f t="shared" si="0"/>
        <v>Данные заказчиком не предоставлены</v>
      </c>
    </row>
    <row r="49" spans="1:17" ht="24" hidden="1" customHeight="1" x14ac:dyDescent="0.2">
      <c r="A49" s="295" t="s">
        <v>655</v>
      </c>
      <c r="B49" s="296"/>
      <c r="C49" s="128"/>
      <c r="D49" s="346" t="s">
        <v>234</v>
      </c>
      <c r="E49" s="82"/>
      <c r="F49" s="82"/>
      <c r="O49" s="349" t="s">
        <v>485</v>
      </c>
      <c r="P49" s="80" t="s">
        <v>226</v>
      </c>
      <c r="Q49" s="87">
        <f t="shared" si="0"/>
        <v>0</v>
      </c>
    </row>
    <row r="50" spans="1:17" ht="19.5" hidden="1" customHeight="1" x14ac:dyDescent="0.2">
      <c r="A50" s="297"/>
      <c r="B50" s="298"/>
      <c r="C50" s="128"/>
      <c r="D50" s="347"/>
      <c r="E50" s="4" t="s">
        <v>552</v>
      </c>
      <c r="O50" s="350"/>
      <c r="P50" s="11" t="s">
        <v>227</v>
      </c>
      <c r="Q50" s="12">
        <f t="shared" si="0"/>
        <v>0</v>
      </c>
    </row>
    <row r="51" spans="1:17" ht="19.5" hidden="1" customHeight="1" x14ac:dyDescent="0.2">
      <c r="A51" s="99"/>
      <c r="B51" s="99"/>
      <c r="C51" s="128"/>
      <c r="D51" s="347"/>
      <c r="E51" s="4" t="s">
        <v>535</v>
      </c>
      <c r="F51" s="4" t="str">
        <f>IF(E51=0,"н.д.",CONCATENATE("Челябинская область, г. Челябинск ",E51))</f>
        <v>Челябинская область, г. Челябинск пер. Мамина, д. 6, кв. 172</v>
      </c>
      <c r="O51" s="350"/>
      <c r="P51" s="11" t="s">
        <v>542</v>
      </c>
      <c r="Q51" s="12">
        <f t="shared" si="0"/>
        <v>0</v>
      </c>
    </row>
    <row r="52" spans="1:17" ht="19.5" hidden="1" customHeight="1" x14ac:dyDescent="0.2">
      <c r="A52" s="99"/>
      <c r="B52" s="99"/>
      <c r="C52" s="128"/>
      <c r="D52" s="348"/>
      <c r="O52" s="351"/>
      <c r="P52" s="75" t="s">
        <v>229</v>
      </c>
      <c r="Q52" s="98">
        <f>C52</f>
        <v>0</v>
      </c>
    </row>
    <row r="53" spans="1:17" ht="15" customHeight="1" x14ac:dyDescent="0.2">
      <c r="A53" s="299" t="s">
        <v>543</v>
      </c>
      <c r="B53" s="11" t="s">
        <v>226</v>
      </c>
      <c r="C53" s="128"/>
      <c r="D53" s="346" t="s">
        <v>235</v>
      </c>
      <c r="O53" s="349" t="s">
        <v>484</v>
      </c>
      <c r="P53" s="80" t="s">
        <v>226</v>
      </c>
      <c r="Q53" s="87">
        <f t="shared" si="0"/>
        <v>0</v>
      </c>
    </row>
    <row r="54" spans="1:17" ht="24.75" customHeight="1" x14ac:dyDescent="0.2">
      <c r="A54" s="299"/>
      <c r="B54" s="11" t="s">
        <v>769</v>
      </c>
      <c r="C54" s="283"/>
      <c r="D54" s="347"/>
      <c r="O54" s="350"/>
      <c r="P54" s="11" t="str">
        <f>B54</f>
        <v>Паспортные данные, адрес, контактная информация</v>
      </c>
      <c r="Q54" s="12">
        <f t="shared" si="0"/>
        <v>0</v>
      </c>
    </row>
    <row r="55" spans="1:17" ht="24.75" hidden="1" customHeight="1" x14ac:dyDescent="0.2">
      <c r="A55" s="299"/>
      <c r="B55" s="11" t="s">
        <v>228</v>
      </c>
      <c r="C55" s="128" t="s">
        <v>552</v>
      </c>
      <c r="D55" s="347"/>
      <c r="E55" s="4" t="s">
        <v>534</v>
      </c>
      <c r="F55" s="4" t="str">
        <f>IF(E55=0,"н.д.",CONCATENATE("Челябинская обл., гор. Челябинск, ",E55))</f>
        <v>Челябинская обл., гор. Челябинск, ул. Курчатова, д. 34, кв. 171</v>
      </c>
      <c r="O55" s="350"/>
      <c r="P55" s="11" t="s">
        <v>228</v>
      </c>
      <c r="Q55" s="12" t="str">
        <f t="shared" si="0"/>
        <v>данные скрыты в соответствии с Федеральным законом от 27.07.2006 №152-ФЗ "О персональных данных"</v>
      </c>
    </row>
    <row r="56" spans="1:17" ht="15" customHeight="1" x14ac:dyDescent="0.2">
      <c r="A56" s="299"/>
      <c r="B56" s="11" t="s">
        <v>229</v>
      </c>
      <c r="C56" s="265"/>
      <c r="D56" s="347"/>
      <c r="O56" s="351"/>
      <c r="P56" s="75" t="s">
        <v>229</v>
      </c>
      <c r="Q56" s="88">
        <f>C56</f>
        <v>0</v>
      </c>
    </row>
    <row r="57" spans="1:17" ht="15" hidden="1" customHeight="1" x14ac:dyDescent="0.2">
      <c r="A57" s="299" t="s">
        <v>730</v>
      </c>
      <c r="B57" s="11" t="s">
        <v>226</v>
      </c>
      <c r="C57" s="130"/>
      <c r="D57" s="347"/>
      <c r="O57" s="352" t="s">
        <v>484</v>
      </c>
      <c r="P57" s="77" t="s">
        <v>226</v>
      </c>
      <c r="Q57" s="78">
        <f t="shared" si="0"/>
        <v>0</v>
      </c>
    </row>
    <row r="58" spans="1:17" ht="24.75" hidden="1" customHeight="1" x14ac:dyDescent="0.2">
      <c r="A58" s="299"/>
      <c r="B58" s="11" t="s">
        <v>769</v>
      </c>
      <c r="C58" s="283" t="s">
        <v>770</v>
      </c>
      <c r="D58" s="347"/>
      <c r="O58" s="340"/>
      <c r="P58" s="11" t="str">
        <f>B58</f>
        <v>Паспортные данные, адрес, контактная информация</v>
      </c>
      <c r="Q58" s="51" t="str">
        <f t="shared" si="0"/>
        <v>Данные не раскрываются в соответствии с Федеральным законом от 27.07.2006 №152-ФЗ "О персональных данных"</v>
      </c>
    </row>
    <row r="59" spans="1:17" ht="22.5" hidden="1" customHeight="1" x14ac:dyDescent="0.2">
      <c r="A59" s="299"/>
      <c r="B59" s="11" t="s">
        <v>228</v>
      </c>
      <c r="C59" s="128" t="s">
        <v>552</v>
      </c>
      <c r="D59" s="347"/>
      <c r="O59" s="340"/>
      <c r="P59" s="11" t="s">
        <v>228</v>
      </c>
      <c r="Q59" s="51" t="str">
        <f t="shared" si="0"/>
        <v>данные скрыты в соответствии с Федеральным законом от 27.07.2006 №152-ФЗ "О персональных данных"</v>
      </c>
    </row>
    <row r="60" spans="1:17" ht="15" hidden="1" customHeight="1" x14ac:dyDescent="0.2">
      <c r="A60" s="299"/>
      <c r="B60" s="11" t="s">
        <v>229</v>
      </c>
      <c r="C60" s="131"/>
      <c r="D60" s="347"/>
      <c r="O60" s="353"/>
      <c r="P60" s="75" t="s">
        <v>229</v>
      </c>
      <c r="Q60" s="88">
        <f t="shared" si="0"/>
        <v>0</v>
      </c>
    </row>
    <row r="61" spans="1:17" ht="19.5" customHeight="1" outlineLevel="1" x14ac:dyDescent="0.2">
      <c r="A61" s="299" t="s">
        <v>230</v>
      </c>
      <c r="B61" s="11" t="s">
        <v>226</v>
      </c>
      <c r="C61" s="130"/>
      <c r="D61" s="347"/>
      <c r="O61" s="355" t="s">
        <v>484</v>
      </c>
      <c r="P61" s="77" t="s">
        <v>226</v>
      </c>
      <c r="Q61" s="83">
        <f t="shared" si="0"/>
        <v>0</v>
      </c>
    </row>
    <row r="62" spans="1:17" ht="26.25" customHeight="1" outlineLevel="1" x14ac:dyDescent="0.2">
      <c r="A62" s="299"/>
      <c r="B62" s="11" t="s">
        <v>486</v>
      </c>
      <c r="C62" s="283"/>
      <c r="D62" s="347"/>
      <c r="O62" s="356"/>
      <c r="P62" s="11" t="s">
        <v>486</v>
      </c>
      <c r="Q62" s="84">
        <f t="shared" si="0"/>
        <v>0</v>
      </c>
    </row>
    <row r="63" spans="1:17" ht="24.75" customHeight="1" outlineLevel="1" x14ac:dyDescent="0.2">
      <c r="A63" s="299"/>
      <c r="B63" s="11" t="s">
        <v>228</v>
      </c>
      <c r="C63" s="128"/>
      <c r="D63" s="347"/>
      <c r="E63" s="4" t="s">
        <v>544</v>
      </c>
      <c r="O63" s="356"/>
      <c r="P63" s="11" t="s">
        <v>228</v>
      </c>
      <c r="Q63" s="84">
        <f t="shared" si="0"/>
        <v>0</v>
      </c>
    </row>
    <row r="64" spans="1:17" ht="19.5" customHeight="1" outlineLevel="1" thickBot="1" x14ac:dyDescent="0.25">
      <c r="A64" s="299"/>
      <c r="B64" s="11" t="s">
        <v>229</v>
      </c>
      <c r="C64" s="129"/>
      <c r="D64" s="348"/>
      <c r="O64" s="357"/>
      <c r="P64" s="85" t="s">
        <v>229</v>
      </c>
      <c r="Q64" s="86">
        <f>C64</f>
        <v>0</v>
      </c>
    </row>
    <row r="65" spans="1:17" ht="19.5" customHeight="1" outlineLevel="1" x14ac:dyDescent="0.2">
      <c r="A65" s="299" t="s">
        <v>230</v>
      </c>
      <c r="B65" s="11" t="s">
        <v>226</v>
      </c>
      <c r="C65" s="283"/>
      <c r="D65" s="52"/>
      <c r="O65" s="352" t="s">
        <v>484</v>
      </c>
      <c r="P65" s="77" t="s">
        <v>226</v>
      </c>
      <c r="Q65" s="78">
        <f t="shared" si="0"/>
        <v>0</v>
      </c>
    </row>
    <row r="66" spans="1:17" ht="19.5" customHeight="1" outlineLevel="1" x14ac:dyDescent="0.2">
      <c r="A66" s="299"/>
      <c r="B66" s="11" t="s">
        <v>227</v>
      </c>
      <c r="C66" s="283"/>
      <c r="D66" s="52"/>
      <c r="O66" s="340"/>
      <c r="P66" s="11" t="s">
        <v>486</v>
      </c>
      <c r="Q66" s="51">
        <f t="shared" si="0"/>
        <v>0</v>
      </c>
    </row>
    <row r="67" spans="1:17" ht="19.5" customHeight="1" outlineLevel="1" x14ac:dyDescent="0.2">
      <c r="A67" s="299"/>
      <c r="B67" s="11" t="s">
        <v>228</v>
      </c>
      <c r="C67" s="283"/>
      <c r="D67" s="52"/>
      <c r="O67" s="340"/>
      <c r="P67" s="11" t="s">
        <v>228</v>
      </c>
      <c r="Q67" s="51">
        <f t="shared" si="0"/>
        <v>0</v>
      </c>
    </row>
    <row r="68" spans="1:17" ht="19.5" customHeight="1" outlineLevel="1" x14ac:dyDescent="0.2">
      <c r="A68" s="299"/>
      <c r="B68" s="11" t="s">
        <v>229</v>
      </c>
      <c r="C68" s="131"/>
      <c r="D68" s="52"/>
      <c r="O68" s="353"/>
      <c r="P68" s="75" t="s">
        <v>229</v>
      </c>
      <c r="Q68" s="76">
        <f t="shared" si="0"/>
        <v>0</v>
      </c>
    </row>
    <row r="69" spans="1:17" ht="19.5" customHeight="1" outlineLevel="1" x14ac:dyDescent="0.2">
      <c r="A69" s="299" t="s">
        <v>230</v>
      </c>
      <c r="B69" s="11" t="s">
        <v>226</v>
      </c>
      <c r="C69" s="283"/>
      <c r="D69" s="52"/>
    </row>
    <row r="70" spans="1:17" ht="19.5" customHeight="1" outlineLevel="1" x14ac:dyDescent="0.2">
      <c r="A70" s="299"/>
      <c r="B70" s="11" t="s">
        <v>227</v>
      </c>
      <c r="C70" s="283"/>
      <c r="D70" s="52"/>
    </row>
    <row r="71" spans="1:17" ht="19.5" customHeight="1" outlineLevel="1" x14ac:dyDescent="0.2">
      <c r="A71" s="299"/>
      <c r="B71" s="11" t="s">
        <v>228</v>
      </c>
      <c r="C71" s="283"/>
      <c r="D71" s="52"/>
    </row>
    <row r="72" spans="1:17" ht="19.5" customHeight="1" outlineLevel="1" x14ac:dyDescent="0.2">
      <c r="A72" s="299"/>
      <c r="B72" s="11" t="s">
        <v>229</v>
      </c>
      <c r="C72" s="131"/>
      <c r="D72" s="52"/>
    </row>
    <row r="73" spans="1:17" ht="19.5" customHeight="1" outlineLevel="1" x14ac:dyDescent="0.2">
      <c r="A73" s="299" t="s">
        <v>230</v>
      </c>
      <c r="B73" s="11" t="s">
        <v>226</v>
      </c>
      <c r="C73" s="283"/>
      <c r="D73" s="52"/>
    </row>
    <row r="74" spans="1:17" ht="19.5" customHeight="1" outlineLevel="1" x14ac:dyDescent="0.2">
      <c r="A74" s="299"/>
      <c r="B74" s="11" t="s">
        <v>227</v>
      </c>
      <c r="C74" s="178"/>
      <c r="D74" s="52"/>
    </row>
    <row r="75" spans="1:17" ht="19.5" customHeight="1" outlineLevel="1" x14ac:dyDescent="0.2">
      <c r="A75" s="299"/>
      <c r="B75" s="11" t="s">
        <v>228</v>
      </c>
      <c r="C75" s="179"/>
      <c r="D75" s="52"/>
    </row>
    <row r="76" spans="1:17" ht="19.5" customHeight="1" outlineLevel="1" x14ac:dyDescent="0.2">
      <c r="A76" s="299"/>
      <c r="B76" s="11" t="s">
        <v>229</v>
      </c>
      <c r="C76" s="179"/>
      <c r="D76" s="52"/>
      <c r="O76" s="94"/>
      <c r="P76" s="94"/>
      <c r="Q76" s="94"/>
    </row>
    <row r="77" spans="1:17" ht="16.5" customHeight="1" x14ac:dyDescent="0.2">
      <c r="A77" s="299" t="s">
        <v>551</v>
      </c>
      <c r="B77" s="11" t="s">
        <v>226</v>
      </c>
      <c r="C77" s="128"/>
      <c r="D77" s="346" t="s">
        <v>236</v>
      </c>
      <c r="Q77" s="89"/>
    </row>
    <row r="78" spans="1:17" ht="28.5" customHeight="1" x14ac:dyDescent="0.2">
      <c r="A78" s="299"/>
      <c r="B78" s="11" t="s">
        <v>769</v>
      </c>
      <c r="C78" s="99"/>
      <c r="D78" s="347"/>
    </row>
    <row r="79" spans="1:17" ht="24.75" customHeight="1" outlineLevel="1" x14ac:dyDescent="0.2">
      <c r="A79" s="299"/>
      <c r="B79" s="11" t="s">
        <v>542</v>
      </c>
      <c r="C79" s="99"/>
      <c r="D79" s="347"/>
      <c r="E79" s="4" t="s">
        <v>531</v>
      </c>
    </row>
    <row r="80" spans="1:17" ht="15" customHeight="1" outlineLevel="1" x14ac:dyDescent="0.2">
      <c r="A80" s="99"/>
      <c r="B80" s="11" t="s">
        <v>224</v>
      </c>
      <c r="C80" s="11"/>
      <c r="D80" s="348"/>
    </row>
    <row r="81" spans="1:4" ht="21.75" customHeight="1" outlineLevel="1" x14ac:dyDescent="0.2">
      <c r="A81" s="299" t="s">
        <v>232</v>
      </c>
      <c r="B81" s="11" t="s">
        <v>220</v>
      </c>
      <c r="C81" s="99"/>
      <c r="D81" s="346" t="s">
        <v>237</v>
      </c>
    </row>
    <row r="82" spans="1:4" ht="18" customHeight="1" outlineLevel="1" x14ac:dyDescent="0.2">
      <c r="A82" s="299"/>
      <c r="B82" s="11" t="s">
        <v>221</v>
      </c>
      <c r="C82" s="102"/>
      <c r="D82" s="347"/>
    </row>
    <row r="83" spans="1:4" ht="18" customHeight="1" outlineLevel="1" x14ac:dyDescent="0.2">
      <c r="A83" s="299"/>
      <c r="B83" s="11" t="s">
        <v>222</v>
      </c>
      <c r="C83" s="103"/>
      <c r="D83" s="347"/>
    </row>
    <row r="84" spans="1:4" ht="18" customHeight="1" outlineLevel="1" x14ac:dyDescent="0.2">
      <c r="A84" s="299"/>
      <c r="B84" s="11" t="s">
        <v>223</v>
      </c>
      <c r="C84" s="11"/>
      <c r="D84" s="347"/>
    </row>
    <row r="85" spans="1:4" ht="15" customHeight="1" x14ac:dyDescent="0.2">
      <c r="A85" s="358" t="s">
        <v>457</v>
      </c>
      <c r="B85" s="359"/>
      <c r="C85" s="103">
        <f>C1</f>
        <v>0</v>
      </c>
      <c r="D85" s="53"/>
    </row>
    <row r="86" spans="1:4" ht="15" customHeight="1" x14ac:dyDescent="0.2">
      <c r="A86" s="358" t="s">
        <v>458</v>
      </c>
      <c r="B86" s="359"/>
      <c r="C86" s="103">
        <f>C2</f>
        <v>0</v>
      </c>
      <c r="D86" s="53"/>
    </row>
    <row r="87" spans="1:4" ht="16.5" customHeight="1" x14ac:dyDescent="0.2">
      <c r="A87" s="299" t="s">
        <v>15</v>
      </c>
      <c r="B87" s="299"/>
      <c r="C87" s="11"/>
    </row>
    <row r="88" spans="1:4" ht="36" customHeight="1" x14ac:dyDescent="0.2">
      <c r="A88" s="299" t="s">
        <v>156</v>
      </c>
      <c r="B88" s="299"/>
      <c r="C88" s="11"/>
    </row>
    <row r="89" spans="1:4" ht="15" customHeight="1" x14ac:dyDescent="0.2">
      <c r="A89" s="299" t="s">
        <v>157</v>
      </c>
      <c r="B89" s="299"/>
      <c r="C89" s="11"/>
    </row>
    <row r="90" spans="1:4" ht="16.5" customHeight="1" x14ac:dyDescent="0.2">
      <c r="A90" s="299" t="s">
        <v>447</v>
      </c>
      <c r="B90" s="299"/>
      <c r="C90" s="103"/>
    </row>
    <row r="91" spans="1:4" ht="15" customHeight="1" x14ac:dyDescent="0.2">
      <c r="A91" s="299" t="s">
        <v>158</v>
      </c>
      <c r="B91" s="299"/>
      <c r="C91" s="103"/>
    </row>
    <row r="92" spans="1:4" ht="15" customHeight="1" outlineLevel="1" x14ac:dyDescent="0.2">
      <c r="A92" s="299" t="s">
        <v>159</v>
      </c>
      <c r="B92" s="299"/>
      <c r="C92" s="103">
        <f>C91</f>
        <v>0</v>
      </c>
    </row>
    <row r="93" spans="1:4" ht="15" customHeight="1" x14ac:dyDescent="0.2">
      <c r="A93" s="299" t="s">
        <v>231</v>
      </c>
      <c r="B93" s="299"/>
      <c r="C93" s="103">
        <f>C92</f>
        <v>0</v>
      </c>
    </row>
    <row r="94" spans="1:4" ht="113.25" customHeight="1" x14ac:dyDescent="0.2">
      <c r="A94" s="358" t="s">
        <v>810</v>
      </c>
      <c r="B94" s="360"/>
      <c r="C94" s="359"/>
      <c r="D94" s="97" t="s">
        <v>549</v>
      </c>
    </row>
    <row r="95" spans="1:4" ht="14.25" customHeight="1" x14ac:dyDescent="0.2"/>
    <row r="97" spans="1:37" ht="15.75" customHeight="1" x14ac:dyDescent="0.2">
      <c r="A97" s="309" t="s">
        <v>524</v>
      </c>
      <c r="B97" s="309"/>
      <c r="C97" s="309"/>
      <c r="D97" s="41"/>
      <c r="E97" s="41"/>
      <c r="F97" s="41"/>
      <c r="H97" s="41"/>
      <c r="I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H97" s="41"/>
      <c r="AI97" s="41"/>
      <c r="AJ97" s="41"/>
      <c r="AK97" s="41"/>
    </row>
    <row r="98" spans="1:37" ht="12.75" x14ac:dyDescent="0.2">
      <c r="D98" s="41"/>
      <c r="E98" s="41"/>
      <c r="F98" s="41"/>
      <c r="G98" s="41"/>
      <c r="H98" s="41"/>
      <c r="I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H98" s="41"/>
      <c r="AI98" s="41"/>
      <c r="AJ98" s="41"/>
      <c r="AK98" s="41"/>
    </row>
    <row r="99" spans="1:37" ht="12.75" customHeight="1" x14ac:dyDescent="0.2">
      <c r="A99" s="309" t="s">
        <v>524</v>
      </c>
      <c r="B99" s="309"/>
      <c r="C99" s="309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H99" s="41"/>
      <c r="AI99" s="41"/>
      <c r="AJ99" s="41"/>
      <c r="AK99" s="41"/>
    </row>
    <row r="100" spans="1:37" ht="12.75" customHeight="1" x14ac:dyDescent="0.2">
      <c r="A100" s="309" t="s">
        <v>545</v>
      </c>
      <c r="B100" s="309"/>
      <c r="C100" s="309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H100" s="41"/>
      <c r="AI100" s="41"/>
      <c r="AJ100" s="41"/>
      <c r="AK100" s="41"/>
    </row>
    <row r="101" spans="1:37" ht="12.75" x14ac:dyDescent="0.2"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H101" s="41"/>
      <c r="AI101" s="41"/>
      <c r="AJ101" s="41"/>
      <c r="AK101" s="41"/>
    </row>
    <row r="102" spans="1:37" ht="12.75" x14ac:dyDescent="0.2"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H102" s="41"/>
      <c r="AI102" s="41"/>
      <c r="AJ102" s="41"/>
      <c r="AK102" s="41"/>
    </row>
    <row r="103" spans="1:37" ht="12.75" x14ac:dyDescent="0.2"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H103" s="41"/>
      <c r="AI103" s="41"/>
      <c r="AJ103" s="41"/>
      <c r="AK103" s="41"/>
    </row>
    <row r="104" spans="1:37" ht="12.75" x14ac:dyDescent="0.2"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</row>
    <row r="105" spans="1:37" ht="12.75" x14ac:dyDescent="0.2">
      <c r="B105" s="45">
        <f>C92</f>
        <v>0</v>
      </c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</row>
    <row r="106" spans="1:37" ht="12.75" x14ac:dyDescent="0.2">
      <c r="G106" s="41"/>
      <c r="J106" s="41"/>
      <c r="AF106" s="41"/>
      <c r="AG106" s="41"/>
    </row>
    <row r="107" spans="1:37" ht="12.75" x14ac:dyDescent="0.2">
      <c r="J107" s="41"/>
      <c r="AG107" s="41"/>
    </row>
    <row r="108" spans="1:37" ht="12.75" x14ac:dyDescent="0.2">
      <c r="AG108" s="41"/>
    </row>
  </sheetData>
  <customSheetViews>
    <customSheetView guid="{BF874629-29E4-4E42-B267-D30BB270BE2E}" showPageBreaks="1" printArea="1" hiddenRows="1">
      <selection activeCell="E15" sqref="E15"/>
      <pageMargins left="0.75" right="0.75" top="1" bottom="1" header="0.5" footer="0.5"/>
      <pageSetup paperSize="9" scale="98" orientation="portrait" horizontalDpi="300" verticalDpi="300" r:id="rId1"/>
      <headerFooter alignWithMargins="0"/>
    </customSheetView>
  </customSheetViews>
  <mergeCells count="54">
    <mergeCell ref="A100:C100"/>
    <mergeCell ref="A99:C99"/>
    <mergeCell ref="A97:C97"/>
    <mergeCell ref="A92:B92"/>
    <mergeCell ref="A87:B87"/>
    <mergeCell ref="A94:C94"/>
    <mergeCell ref="A91:B91"/>
    <mergeCell ref="A81:A84"/>
    <mergeCell ref="A93:B93"/>
    <mergeCell ref="O65:O68"/>
    <mergeCell ref="A89:B89"/>
    <mergeCell ref="D81:D84"/>
    <mergeCell ref="A88:B88"/>
    <mergeCell ref="A90:B90"/>
    <mergeCell ref="A86:B86"/>
    <mergeCell ref="A85:B85"/>
    <mergeCell ref="O57:O60"/>
    <mergeCell ref="D77:D80"/>
    <mergeCell ref="O48:P48"/>
    <mergeCell ref="A48:B48"/>
    <mergeCell ref="A53:A56"/>
    <mergeCell ref="A65:A68"/>
    <mergeCell ref="A77:A79"/>
    <mergeCell ref="O61:O64"/>
    <mergeCell ref="O53:O56"/>
    <mergeCell ref="A69:A72"/>
    <mergeCell ref="O40:P40"/>
    <mergeCell ref="A40:B40"/>
    <mergeCell ref="A49:B50"/>
    <mergeCell ref="O42:O47"/>
    <mergeCell ref="A42:A47"/>
    <mergeCell ref="O49:O52"/>
    <mergeCell ref="D42:D48"/>
    <mergeCell ref="A73:A76"/>
    <mergeCell ref="D53:D64"/>
    <mergeCell ref="D49:D52"/>
    <mergeCell ref="A61:A64"/>
    <mergeCell ref="A57:A60"/>
    <mergeCell ref="A16:B28"/>
    <mergeCell ref="O41:P41"/>
    <mergeCell ref="A3:C3"/>
    <mergeCell ref="A37:B37"/>
    <mergeCell ref="A4:C4"/>
    <mergeCell ref="A5:A15"/>
    <mergeCell ref="A39:B39"/>
    <mergeCell ref="O37:P37"/>
    <mergeCell ref="A41:B41"/>
    <mergeCell ref="B29:C29"/>
    <mergeCell ref="B30:C30"/>
    <mergeCell ref="A38:B38"/>
    <mergeCell ref="B35:C35"/>
    <mergeCell ref="A36:B36"/>
    <mergeCell ref="O38:P38"/>
    <mergeCell ref="O39:P39"/>
  </mergeCells>
  <phoneticPr fontId="3" type="noConversion"/>
  <dataValidations count="9">
    <dataValidation errorStyle="warning" allowBlank="1" showInputMessage="1" showErrorMessage="1" sqref="C40 C30 C33:C35" xr:uid="{00000000-0002-0000-0200-000000000000}"/>
    <dataValidation type="list" errorStyle="warning" allowBlank="1" showInputMessage="1" showErrorMessage="1" sqref="C41" xr:uid="{00000000-0002-0000-0200-000001000000}">
      <formula1>$H$4:$H$6</formula1>
    </dataValidation>
    <dataValidation type="list" errorStyle="warning" allowBlank="1" showInputMessage="1" showErrorMessage="1" sqref="C38" xr:uid="{00000000-0002-0000-0200-000002000000}">
      <formula1>$K$4:$K$5</formula1>
    </dataValidation>
    <dataValidation type="list" errorStyle="warning" allowBlank="1" showInputMessage="1" showErrorMessage="1" sqref="C39" xr:uid="{00000000-0002-0000-0200-000003000000}">
      <formula1>$L$4:$L$9</formula1>
    </dataValidation>
    <dataValidation type="list" errorStyle="warning" allowBlank="1" showInputMessage="1" showErrorMessage="1" sqref="Q37:Q68" xr:uid="{00000000-0002-0000-0200-000004000000}">
      <formula1>$G$4:$G$7</formula1>
    </dataValidation>
    <dataValidation type="list" errorStyle="warning" allowBlank="1" showInputMessage="1" showErrorMessage="1" sqref="C37" xr:uid="{00000000-0002-0000-0200-000005000000}">
      <formula1>$G$4:$G$9</formula1>
    </dataValidation>
    <dataValidation type="list" errorStyle="warning" allowBlank="1" showInputMessage="1" showErrorMessage="1" sqref="G7" xr:uid="{00000000-0002-0000-0200-000006000000}">
      <formula1>$G$4:$G$6</formula1>
    </dataValidation>
    <dataValidation type="list" errorStyle="warning" allowBlank="1" showInputMessage="1" showErrorMessage="1" sqref="E1:E2" xr:uid="{00000000-0002-0000-0200-000007000000}">
      <formula1>$AG$1:$AG$5</formula1>
    </dataValidation>
    <dataValidation type="list" errorStyle="warning" allowBlank="1" showInputMessage="1" showErrorMessage="1" sqref="C14" xr:uid="{00000000-0002-0000-0200-000008000000}">
      <formula1>$J$4:$J$9</formula1>
    </dataValidation>
  </dataValidations>
  <pageMargins left="0.75" right="0.75" top="1" bottom="1" header="0.5" footer="0.5"/>
  <pageSetup paperSize="9" scale="98" orientation="portrait" horizontalDpi="300" verticalDpi="30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J62"/>
  <sheetViews>
    <sheetView showGridLines="0" zoomScale="80" zoomScaleNormal="80" workbookViewId="0">
      <selection activeCell="M9" sqref="M9"/>
    </sheetView>
  </sheetViews>
  <sheetFormatPr defaultRowHeight="11.25" x14ac:dyDescent="0.2"/>
  <cols>
    <col min="1" max="1" width="19.42578125" style="204" customWidth="1"/>
    <col min="2" max="2" width="70.140625" style="204" customWidth="1"/>
    <col min="3" max="3" width="9.140625" style="204"/>
    <col min="4" max="4" width="64.5703125" style="204" customWidth="1"/>
    <col min="5" max="5" width="24.85546875" style="204" customWidth="1"/>
    <col min="6" max="6" width="9.140625" style="204"/>
    <col min="7" max="7" width="28.5703125" style="204" hidden="1" customWidth="1"/>
    <col min="8" max="8" width="25.5703125" style="204" hidden="1" customWidth="1"/>
    <col min="9" max="9" width="20.28515625" style="204" hidden="1" customWidth="1"/>
    <col min="10" max="10" width="24.7109375" style="204" hidden="1" customWidth="1"/>
    <col min="11" max="16384" width="9.140625" style="204"/>
  </cols>
  <sheetData>
    <row r="1" spans="1:10" ht="16.5" customHeight="1" x14ac:dyDescent="0.2">
      <c r="A1" s="301" t="s">
        <v>303</v>
      </c>
      <c r="B1" s="301"/>
      <c r="D1" s="203" t="s">
        <v>43</v>
      </c>
      <c r="E1" s="203" t="s">
        <v>290</v>
      </c>
      <c r="G1" s="361" t="str">
        <f>Сравнительный!A98</f>
        <v>Ф.И.О. собственника</v>
      </c>
      <c r="H1" s="363" t="str">
        <f>Сравнительный!B98</f>
        <v>Доля в праве</v>
      </c>
      <c r="I1" s="363" t="str">
        <f>Сравнительный!C98</f>
        <v>Стоимость доли в праве, руб.</v>
      </c>
      <c r="J1" s="365" t="s">
        <v>462</v>
      </c>
    </row>
    <row r="2" spans="1:10" ht="16.5" customHeight="1" x14ac:dyDescent="0.2">
      <c r="A2" s="100" t="s">
        <v>304</v>
      </c>
      <c r="B2" s="100"/>
      <c r="D2" s="100" t="s">
        <v>312</v>
      </c>
      <c r="E2" s="18" t="s">
        <v>315</v>
      </c>
      <c r="G2" s="362"/>
      <c r="H2" s="364"/>
      <c r="I2" s="364"/>
      <c r="J2" s="366"/>
    </row>
    <row r="3" spans="1:10" ht="16.5" customHeight="1" x14ac:dyDescent="0.2">
      <c r="A3" s="100" t="s">
        <v>221</v>
      </c>
      <c r="B3" s="100"/>
      <c r="D3" s="100" t="s">
        <v>313</v>
      </c>
      <c r="E3" s="18" t="e">
        <f>Сравнительный!B96</f>
        <v>#DIV/0!</v>
      </c>
      <c r="G3" s="66">
        <f>Сравнительный!A99</f>
        <v>0</v>
      </c>
      <c r="H3" s="67">
        <f>Сравнительный!B99</f>
        <v>0</v>
      </c>
      <c r="I3" s="69">
        <f>ФормаАИЖК!B34</f>
        <v>0</v>
      </c>
      <c r="J3" s="72">
        <f>ФормаАИЖК!I33</f>
        <v>0</v>
      </c>
    </row>
    <row r="4" spans="1:10" ht="16.5" customHeight="1" x14ac:dyDescent="0.2">
      <c r="A4" s="100" t="s">
        <v>222</v>
      </c>
      <c r="B4" s="103"/>
      <c r="D4" s="100" t="s">
        <v>314</v>
      </c>
      <c r="E4" s="18" t="str">
        <f>E2</f>
        <v>не применялся</v>
      </c>
      <c r="G4" s="24">
        <f>Сравнительный!A100</f>
        <v>0</v>
      </c>
      <c r="H4" s="65">
        <f>Сравнительный!B100</f>
        <v>0</v>
      </c>
      <c r="I4" s="70">
        <f>ФормаАИЖК!B35</f>
        <v>0</v>
      </c>
      <c r="J4" s="19">
        <f>ФормаАИЖК!I34</f>
        <v>0</v>
      </c>
    </row>
    <row r="5" spans="1:10" ht="16.5" customHeight="1" x14ac:dyDescent="0.2">
      <c r="A5" s="100" t="s">
        <v>141</v>
      </c>
      <c r="B5" s="100"/>
      <c r="D5" s="100" t="s">
        <v>794</v>
      </c>
      <c r="E5" s="18" t="e">
        <f>ROUND(E3,-3)</f>
        <v>#DIV/0!</v>
      </c>
      <c r="G5" s="35">
        <f>Сравнительный!A101</f>
        <v>0</v>
      </c>
      <c r="H5" s="68">
        <f>Сравнительный!B101</f>
        <v>0</v>
      </c>
      <c r="I5" s="71" t="e">
        <f>ФормаАИЖК!#REF!</f>
        <v>#REF!</v>
      </c>
      <c r="J5" s="64">
        <f>ФормаАИЖК!I35</f>
        <v>0</v>
      </c>
    </row>
    <row r="6" spans="1:10" ht="16.5" customHeight="1" x14ac:dyDescent="0.2">
      <c r="A6" s="100" t="s">
        <v>305</v>
      </c>
      <c r="B6" s="100"/>
      <c r="D6" s="100" t="s">
        <v>297</v>
      </c>
      <c r="E6" s="18" t="e">
        <f>ФормаАИЖК!J30</f>
        <v>#DIV/0!</v>
      </c>
      <c r="G6" s="35" t="s">
        <v>463</v>
      </c>
      <c r="H6" s="68">
        <v>1</v>
      </c>
      <c r="I6" s="71">
        <f>SUM(I3:I4)</f>
        <v>0</v>
      </c>
      <c r="J6" s="36">
        <f>SUM(J3:J4)</f>
        <v>0</v>
      </c>
    </row>
    <row r="7" spans="1:10" ht="16.5" customHeight="1" x14ac:dyDescent="0.2">
      <c r="A7" s="100" t="s">
        <v>306</v>
      </c>
      <c r="B7" s="100"/>
      <c r="D7" s="95" t="s">
        <v>297</v>
      </c>
      <c r="E7" s="96" t="e">
        <f>E6</f>
        <v>#DIV/0!</v>
      </c>
    </row>
    <row r="8" spans="1:10" ht="27.75" customHeight="1" x14ac:dyDescent="0.2">
      <c r="A8" s="100" t="s">
        <v>307</v>
      </c>
      <c r="B8" s="100"/>
    </row>
    <row r="9" spans="1:10" ht="15" customHeight="1" x14ac:dyDescent="0.2">
      <c r="A9" s="100" t="s">
        <v>308</v>
      </c>
      <c r="B9" s="100"/>
    </row>
    <row r="10" spans="1:10" ht="16.5" customHeight="1" x14ac:dyDescent="0.2">
      <c r="A10" s="100" t="s">
        <v>309</v>
      </c>
      <c r="B10" s="100"/>
    </row>
    <row r="11" spans="1:10" ht="16.5" customHeight="1" x14ac:dyDescent="0.2">
      <c r="A11" s="100" t="s">
        <v>310</v>
      </c>
      <c r="B11" s="100"/>
    </row>
    <row r="12" spans="1:10" ht="36.75" customHeight="1" x14ac:dyDescent="0.2">
      <c r="A12" s="100" t="s">
        <v>459</v>
      </c>
      <c r="B12" s="100"/>
    </row>
    <row r="13" spans="1:10" ht="15" customHeight="1" x14ac:dyDescent="0.2">
      <c r="A13" s="301" t="s">
        <v>538</v>
      </c>
      <c r="B13" s="301"/>
    </row>
    <row r="14" spans="1:10" ht="29.25" customHeight="1" x14ac:dyDescent="0.2">
      <c r="A14" s="367"/>
      <c r="B14" s="205"/>
      <c r="D14" s="206"/>
    </row>
    <row r="15" spans="1:10" ht="57" customHeight="1" x14ac:dyDescent="0.2">
      <c r="A15" s="367"/>
      <c r="B15" s="205"/>
    </row>
    <row r="16" spans="1:10" ht="44.25" customHeight="1" x14ac:dyDescent="0.2">
      <c r="A16" s="367"/>
      <c r="B16" s="205"/>
    </row>
    <row r="17" spans="1:4" ht="24.75" customHeight="1" x14ac:dyDescent="0.2">
      <c r="A17" s="367"/>
      <c r="B17" s="208"/>
    </row>
    <row r="18" spans="1:4" ht="37.5" customHeight="1" x14ac:dyDescent="0.2">
      <c r="A18" s="367"/>
      <c r="B18" s="209"/>
    </row>
    <row r="19" spans="1:4" ht="15" customHeight="1" x14ac:dyDescent="0.2">
      <c r="A19" s="367"/>
      <c r="B19" s="205"/>
    </row>
    <row r="20" spans="1:4" ht="20.25" hidden="1" customHeight="1" x14ac:dyDescent="0.2">
      <c r="A20" s="367"/>
      <c r="B20" s="100"/>
    </row>
    <row r="21" spans="1:4" ht="37.5" hidden="1" customHeight="1" x14ac:dyDescent="0.2">
      <c r="A21" s="367"/>
      <c r="B21" s="100"/>
    </row>
    <row r="22" spans="1:4" ht="28.5" hidden="1" customHeight="1" x14ac:dyDescent="0.2">
      <c r="A22" s="367"/>
      <c r="B22" s="100"/>
    </row>
    <row r="23" spans="1:4" ht="12" hidden="1" customHeight="1" x14ac:dyDescent="0.2">
      <c r="A23" s="367"/>
      <c r="B23" s="100"/>
    </row>
    <row r="24" spans="1:4" ht="23.25" hidden="1" customHeight="1" x14ac:dyDescent="0.2">
      <c r="A24" s="367"/>
      <c r="B24" s="100"/>
    </row>
    <row r="25" spans="1:4" ht="12.75" hidden="1" customHeight="1" x14ac:dyDescent="0.2">
      <c r="A25" s="367"/>
      <c r="B25" s="100"/>
    </row>
    <row r="26" spans="1:4" ht="29.25" customHeight="1" x14ac:dyDescent="0.2">
      <c r="A26" s="367"/>
      <c r="B26" s="205"/>
      <c r="D26" s="206"/>
    </row>
    <row r="27" spans="1:4" ht="51" customHeight="1" x14ac:dyDescent="0.2">
      <c r="A27" s="367"/>
      <c r="B27" s="205"/>
    </row>
    <row r="28" spans="1:4" ht="48" customHeight="1" x14ac:dyDescent="0.2">
      <c r="A28" s="367"/>
      <c r="B28" s="205"/>
    </row>
    <row r="29" spans="1:4" ht="24.75" customHeight="1" x14ac:dyDescent="0.2">
      <c r="A29" s="367"/>
      <c r="B29" s="208"/>
    </row>
    <row r="30" spans="1:4" ht="33" customHeight="1" x14ac:dyDescent="0.2">
      <c r="A30" s="367"/>
      <c r="B30" s="209"/>
    </row>
    <row r="31" spans="1:4" ht="15" customHeight="1" x14ac:dyDescent="0.2">
      <c r="A31" s="367"/>
      <c r="B31" s="205"/>
    </row>
    <row r="32" spans="1:4" ht="29.25" customHeight="1" x14ac:dyDescent="0.2">
      <c r="A32" s="367"/>
      <c r="B32" s="205"/>
      <c r="D32" s="206"/>
    </row>
    <row r="33" spans="1:2" ht="46.5" customHeight="1" x14ac:dyDescent="0.2">
      <c r="A33" s="367"/>
      <c r="B33" s="205"/>
    </row>
    <row r="34" spans="1:2" ht="26.25" customHeight="1" x14ac:dyDescent="0.2">
      <c r="A34" s="367"/>
      <c r="B34" s="205"/>
    </row>
    <row r="35" spans="1:2" ht="24.75" customHeight="1" x14ac:dyDescent="0.2">
      <c r="A35" s="367"/>
      <c r="B35" s="208"/>
    </row>
    <row r="36" spans="1:2" ht="37.5" customHeight="1" x14ac:dyDescent="0.2">
      <c r="A36" s="367"/>
      <c r="B36" s="209"/>
    </row>
    <row r="37" spans="1:2" ht="15" customHeight="1" x14ac:dyDescent="0.2">
      <c r="A37" s="367"/>
      <c r="B37" s="205"/>
    </row>
    <row r="38" spans="1:2" ht="21.75" hidden="1" customHeight="1" x14ac:dyDescent="0.2">
      <c r="A38" s="367"/>
      <c r="B38" s="100"/>
    </row>
    <row r="39" spans="1:2" ht="42" hidden="1" customHeight="1" x14ac:dyDescent="0.2">
      <c r="A39" s="367"/>
      <c r="B39" s="100"/>
    </row>
    <row r="40" spans="1:2" ht="24.75" hidden="1" customHeight="1" x14ac:dyDescent="0.2">
      <c r="A40" s="367"/>
      <c r="B40" s="100"/>
    </row>
    <row r="41" spans="1:2" ht="13.5" hidden="1" customHeight="1" x14ac:dyDescent="0.2">
      <c r="A41" s="367"/>
      <c r="B41" s="100"/>
    </row>
    <row r="42" spans="1:2" ht="22.5" hidden="1" customHeight="1" x14ac:dyDescent="0.2">
      <c r="A42" s="367"/>
      <c r="B42" s="100"/>
    </row>
    <row r="43" spans="1:2" hidden="1" x14ac:dyDescent="0.2">
      <c r="A43" s="367"/>
      <c r="B43" s="100"/>
    </row>
    <row r="44" spans="1:2" ht="29.25" hidden="1" customHeight="1" x14ac:dyDescent="0.2">
      <c r="A44" s="312"/>
      <c r="B44" s="100"/>
    </row>
    <row r="45" spans="1:2" ht="47.25" hidden="1" customHeight="1" x14ac:dyDescent="0.2">
      <c r="A45" s="312"/>
      <c r="B45" s="100"/>
    </row>
    <row r="46" spans="1:2" ht="33" hidden="1" customHeight="1" x14ac:dyDescent="0.2">
      <c r="A46" s="312"/>
      <c r="B46" s="100"/>
    </row>
    <row r="47" spans="1:2" ht="12" hidden="1" customHeight="1" x14ac:dyDescent="0.2">
      <c r="A47" s="312"/>
      <c r="B47" s="100"/>
    </row>
    <row r="48" spans="1:2" ht="21" hidden="1" customHeight="1" x14ac:dyDescent="0.2">
      <c r="A48" s="312"/>
      <c r="B48" s="100"/>
    </row>
    <row r="49" spans="1:4" hidden="1" x14ac:dyDescent="0.2">
      <c r="A49" s="312"/>
      <c r="B49" s="100"/>
    </row>
    <row r="50" spans="1:4" ht="66" customHeight="1" x14ac:dyDescent="0.2">
      <c r="A50" s="100"/>
      <c r="B50" s="11"/>
    </row>
    <row r="51" spans="1:4" ht="16.5" customHeight="1" x14ac:dyDescent="0.2">
      <c r="A51" s="367"/>
      <c r="B51" s="367"/>
    </row>
    <row r="52" spans="1:4" ht="18.75" customHeight="1" x14ac:dyDescent="0.2"/>
    <row r="58" spans="1:4" x14ac:dyDescent="0.15">
      <c r="B58" s="207"/>
      <c r="D58" s="1"/>
    </row>
    <row r="61" spans="1:4" x14ac:dyDescent="0.15">
      <c r="D61" s="1"/>
    </row>
    <row r="62" spans="1:4" x14ac:dyDescent="0.15">
      <c r="D62" s="1"/>
    </row>
  </sheetData>
  <customSheetViews>
    <customSheetView guid="{BF874629-29E4-4E42-B267-D30BB270BE2E}" hiddenRows="1" hiddenColumns="1">
      <selection activeCell="B8" sqref="B8"/>
      <pageMargins left="0.47" right="0.75" top="1" bottom="1" header="0.5" footer="0.5"/>
      <pageSetup paperSize="9" orientation="portrait" r:id="rId1"/>
      <headerFooter alignWithMargins="0"/>
    </customSheetView>
  </customSheetViews>
  <mergeCells count="13">
    <mergeCell ref="G1:G2"/>
    <mergeCell ref="H1:H2"/>
    <mergeCell ref="I1:I2"/>
    <mergeCell ref="J1:J2"/>
    <mergeCell ref="A51:B51"/>
    <mergeCell ref="A1:B1"/>
    <mergeCell ref="A13:B13"/>
    <mergeCell ref="A20:A25"/>
    <mergeCell ref="A38:A43"/>
    <mergeCell ref="A14:A19"/>
    <mergeCell ref="A44:A49"/>
    <mergeCell ref="A32:A37"/>
    <mergeCell ref="A26:A31"/>
  </mergeCells>
  <phoneticPr fontId="3" type="noConversion"/>
  <pageMargins left="0.47" right="0.75" top="1" bottom="1" header="0.5" footer="0.5"/>
  <pageSetup paperSize="9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pageSetUpPr fitToPage="1"/>
  </sheetPr>
  <dimension ref="A2:BV115"/>
  <sheetViews>
    <sheetView showGridLines="0" zoomScale="80" zoomScaleNormal="80" workbookViewId="0"/>
  </sheetViews>
  <sheetFormatPr defaultRowHeight="10.5" outlineLevelRow="1" outlineLevelCol="1" x14ac:dyDescent="0.15"/>
  <cols>
    <col min="1" max="1" width="26.140625" style="1" customWidth="1"/>
    <col min="2" max="2" width="16.42578125" style="1" customWidth="1"/>
    <col min="3" max="3" width="17.42578125" style="1" customWidth="1"/>
    <col min="4" max="4" width="17.140625" style="1" customWidth="1"/>
    <col min="5" max="5" width="17.28515625" style="1" customWidth="1"/>
    <col min="6" max="6" width="17.42578125" style="1" customWidth="1"/>
    <col min="7" max="9" width="15.42578125" style="228" hidden="1" customWidth="1" outlineLevel="1"/>
    <col min="10" max="10" width="9.140625" style="1" collapsed="1"/>
    <col min="11" max="70" width="9.140625" style="1"/>
    <col min="71" max="71" width="30.140625" style="1" customWidth="1"/>
    <col min="72" max="72" width="9.140625" style="1"/>
    <col min="73" max="73" width="10" style="1" customWidth="1"/>
    <col min="74" max="16384" width="9.140625" style="1"/>
  </cols>
  <sheetData>
    <row r="2" spans="1:74" ht="17.25" customHeight="1" x14ac:dyDescent="0.15">
      <c r="A2" s="203" t="s">
        <v>43</v>
      </c>
      <c r="B2" s="203" t="s">
        <v>137</v>
      </c>
      <c r="C2" s="203" t="s">
        <v>138</v>
      </c>
      <c r="D2" s="203" t="s">
        <v>139</v>
      </c>
      <c r="E2" s="203" t="s">
        <v>140</v>
      </c>
      <c r="F2" s="203" t="s">
        <v>152</v>
      </c>
      <c r="G2" s="229" t="s">
        <v>153</v>
      </c>
      <c r="H2" s="229" t="s">
        <v>790</v>
      </c>
      <c r="I2" s="229" t="s">
        <v>791</v>
      </c>
      <c r="K2" s="1">
        <v>1</v>
      </c>
      <c r="Q2" s="1">
        <v>2</v>
      </c>
      <c r="W2" s="1">
        <v>3</v>
      </c>
      <c r="AC2" s="1">
        <v>4</v>
      </c>
    </row>
    <row r="3" spans="1:74" ht="14.1" customHeight="1" x14ac:dyDescent="0.15">
      <c r="A3" s="299" t="s">
        <v>141</v>
      </c>
      <c r="B3" s="276">
        <f>Описание_формуляр!H5</f>
        <v>0</v>
      </c>
      <c r="C3" s="274"/>
      <c r="D3" s="274"/>
      <c r="E3" s="274"/>
      <c r="F3" s="274"/>
      <c r="G3" s="230">
        <f>B3</f>
        <v>0</v>
      </c>
      <c r="H3" s="230">
        <f>F3</f>
        <v>0</v>
      </c>
      <c r="I3" s="230">
        <f>G3</f>
        <v>0</v>
      </c>
      <c r="BM3" s="1" t="s">
        <v>7</v>
      </c>
      <c r="BN3" s="1" t="s">
        <v>412</v>
      </c>
      <c r="BO3" s="1" t="s">
        <v>414</v>
      </c>
      <c r="BP3" s="1" t="s">
        <v>417</v>
      </c>
      <c r="BQ3" s="1" t="s">
        <v>421</v>
      </c>
      <c r="BR3" s="1" t="s">
        <v>69</v>
      </c>
      <c r="BS3" s="1" t="str">
        <f>Описание_формуляр!BE4</f>
        <v>Без отделки / требуется ремонт</v>
      </c>
      <c r="BT3" s="1" t="s">
        <v>82</v>
      </c>
      <c r="BV3" s="1" t="str">
        <f>Описание_формуляр!AL4</f>
        <v>"хрущевка"</v>
      </c>
    </row>
    <row r="4" spans="1:74" ht="36" customHeight="1" x14ac:dyDescent="0.15">
      <c r="A4" s="299"/>
      <c r="B4" s="277">
        <f>Описание_формуляр!H8</f>
        <v>0</v>
      </c>
      <c r="C4" s="267"/>
      <c r="D4" s="267"/>
      <c r="E4" s="267"/>
      <c r="F4" s="267"/>
      <c r="G4" s="231"/>
      <c r="H4" s="231" t="s">
        <v>748</v>
      </c>
      <c r="I4" s="231"/>
      <c r="L4" s="23"/>
      <c r="BM4" s="1" t="s">
        <v>664</v>
      </c>
      <c r="BN4" s="1" t="s">
        <v>413</v>
      </c>
      <c r="BO4" s="1" t="s">
        <v>415</v>
      </c>
      <c r="BP4" s="1" t="s">
        <v>418</v>
      </c>
      <c r="BQ4" s="1" t="s">
        <v>422</v>
      </c>
      <c r="BR4" s="1" t="s">
        <v>70</v>
      </c>
      <c r="BS4" s="1" t="str">
        <f>Описание_формуляр!BE5</f>
        <v>Черновая отделка / частичный ремонт</v>
      </c>
      <c r="BT4" s="1" t="s">
        <v>384</v>
      </c>
      <c r="BU4" s="1" t="s">
        <v>136</v>
      </c>
      <c r="BV4" s="1" t="str">
        <f>Описание_формуляр!AL5</f>
        <v>"брежневка"</v>
      </c>
    </row>
    <row r="5" spans="1:74" ht="14.25" customHeight="1" x14ac:dyDescent="0.15">
      <c r="A5" s="42" t="s">
        <v>87</v>
      </c>
      <c r="B5" s="278">
        <f>Описание_формуляр!H49</f>
        <v>0</v>
      </c>
      <c r="C5" s="268"/>
      <c r="D5" s="268"/>
      <c r="E5" s="268"/>
      <c r="F5" s="268"/>
      <c r="G5" s="232"/>
      <c r="H5" s="232" t="s">
        <v>747</v>
      </c>
      <c r="I5" s="232">
        <v>2</v>
      </c>
      <c r="BO5" s="1" t="s">
        <v>424</v>
      </c>
      <c r="BP5" s="1" t="s">
        <v>419</v>
      </c>
      <c r="BR5" s="1" t="s">
        <v>397</v>
      </c>
      <c r="BS5" s="1" t="str">
        <f>Описание_формуляр!BE6</f>
        <v>Строительная отделка</v>
      </c>
      <c r="BT5" s="1" t="s">
        <v>80</v>
      </c>
      <c r="BU5" s="1" t="s">
        <v>71</v>
      </c>
      <c r="BV5" s="1" t="str">
        <f>Описание_формуляр!AL6</f>
        <v>97-я серия</v>
      </c>
    </row>
    <row r="6" spans="1:74" ht="14.25" customHeight="1" outlineLevel="1" x14ac:dyDescent="0.15">
      <c r="A6" s="42" t="s">
        <v>517</v>
      </c>
      <c r="B6" s="278">
        <f>Описание_формуляр!H23</f>
        <v>0</v>
      </c>
      <c r="C6" s="268"/>
      <c r="D6" s="268"/>
      <c r="E6" s="268"/>
      <c r="F6" s="268"/>
      <c r="G6" s="232"/>
      <c r="H6" s="232"/>
      <c r="I6" s="232"/>
    </row>
    <row r="7" spans="1:74" ht="56.25" customHeight="1" x14ac:dyDescent="0.15">
      <c r="A7" s="42" t="s">
        <v>143</v>
      </c>
      <c r="B7" s="274"/>
      <c r="C7" s="267"/>
      <c r="D7" s="267"/>
      <c r="E7" s="267"/>
      <c r="F7" s="267"/>
      <c r="G7" s="230"/>
      <c r="H7" s="230"/>
      <c r="I7" s="230"/>
      <c r="J7" s="110"/>
      <c r="BO7" s="1" t="s">
        <v>416</v>
      </c>
      <c r="BR7" s="1" t="s">
        <v>396</v>
      </c>
      <c r="BS7" s="1" t="str">
        <f>Описание_формуляр!BE7</f>
        <v>Простой ремонт / хорошее</v>
      </c>
      <c r="BT7" s="1" t="s">
        <v>385</v>
      </c>
      <c r="BU7" s="1" t="s">
        <v>427</v>
      </c>
      <c r="BV7" s="1" t="str">
        <f>Описание_формуляр!AL7</f>
        <v>97-я серия улучш.</v>
      </c>
    </row>
    <row r="8" spans="1:74" ht="15" customHeight="1" x14ac:dyDescent="0.2">
      <c r="A8" s="42" t="s">
        <v>242</v>
      </c>
      <c r="B8" s="268"/>
      <c r="C8" s="269"/>
      <c r="D8" s="270"/>
      <c r="E8" s="270"/>
      <c r="F8" s="270"/>
      <c r="G8" s="233"/>
      <c r="H8" s="233"/>
      <c r="I8" s="233"/>
      <c r="J8" s="211"/>
      <c r="K8" s="211"/>
      <c r="BR8" s="1" t="s">
        <v>395</v>
      </c>
      <c r="BS8" s="1" t="str">
        <f>Описание_формуляр!BE8</f>
        <v>Отделка улучшенного качества</v>
      </c>
      <c r="BV8" s="1" t="str">
        <f>Описание_формуляр!AL8</f>
        <v>121-я серия</v>
      </c>
    </row>
    <row r="9" spans="1:74" ht="15" customHeight="1" x14ac:dyDescent="0.2">
      <c r="A9" s="42" t="s">
        <v>372</v>
      </c>
      <c r="B9" s="279">
        <f>Описание_формуляр!H46</f>
        <v>0</v>
      </c>
      <c r="C9" s="271"/>
      <c r="D9" s="267"/>
      <c r="E9" s="271"/>
      <c r="F9" s="267"/>
      <c r="G9" s="231"/>
      <c r="H9" s="231"/>
      <c r="I9" s="231"/>
      <c r="J9" s="212"/>
      <c r="K9" s="211"/>
      <c r="BR9" s="1" t="s">
        <v>361</v>
      </c>
      <c r="BS9" s="1" t="str">
        <f>Описание_формуляр!BE9</f>
        <v>Евроремонт</v>
      </c>
      <c r="BV9" s="1" t="str">
        <f>Описание_формуляр!AL9</f>
        <v>Серия 121-Т</v>
      </c>
    </row>
    <row r="10" spans="1:74" ht="29.25" customHeight="1" x14ac:dyDescent="0.2">
      <c r="A10" s="42" t="s">
        <v>411</v>
      </c>
      <c r="B10" s="267"/>
      <c r="C10" s="267"/>
      <c r="D10" s="267"/>
      <c r="E10" s="267"/>
      <c r="F10" s="267"/>
      <c r="G10" s="231" t="s">
        <v>412</v>
      </c>
      <c r="H10" s="231" t="s">
        <v>412</v>
      </c>
      <c r="I10" s="231" t="s">
        <v>412</v>
      </c>
      <c r="J10" s="211"/>
      <c r="K10" s="211"/>
      <c r="BS10" s="1" t="s">
        <v>527</v>
      </c>
      <c r="BV10" s="1" t="str">
        <f>Описание_формуляр!AL10</f>
        <v>"ленинградский проект"</v>
      </c>
    </row>
    <row r="11" spans="1:74" ht="14.25" customHeight="1" x14ac:dyDescent="0.2">
      <c r="A11" s="42" t="s">
        <v>785</v>
      </c>
      <c r="B11" s="267">
        <f>B9</f>
        <v>0</v>
      </c>
      <c r="C11" s="267"/>
      <c r="D11" s="267"/>
      <c r="E11" s="267"/>
      <c r="F11" s="267"/>
      <c r="G11" s="231">
        <v>38</v>
      </c>
      <c r="H11" s="231">
        <v>28.2</v>
      </c>
      <c r="I11" s="231">
        <v>56.5</v>
      </c>
      <c r="J11" s="92"/>
      <c r="K11" s="213"/>
      <c r="L11" s="92"/>
      <c r="M11" s="92"/>
      <c r="N11" s="92"/>
      <c r="BS11" s="1" t="s">
        <v>528</v>
      </c>
      <c r="BV11" s="1" t="str">
        <f>Описание_формуляр!AL11</f>
        <v>полнометражная</v>
      </c>
    </row>
    <row r="12" spans="1:74" ht="14.25" customHeight="1" x14ac:dyDescent="0.2">
      <c r="A12" s="42" t="s">
        <v>520</v>
      </c>
      <c r="B12" s="280">
        <f>'Задание на оценку'!C91</f>
        <v>0</v>
      </c>
      <c r="C12" s="272"/>
      <c r="D12" s="272"/>
      <c r="E12" s="272"/>
      <c r="F12" s="272"/>
      <c r="G12" s="234">
        <f>$B$12</f>
        <v>0</v>
      </c>
      <c r="H12" s="234">
        <f>$B$12</f>
        <v>0</v>
      </c>
      <c r="I12" s="234">
        <f>$B$12</f>
        <v>0</v>
      </c>
      <c r="K12" s="211"/>
      <c r="BS12" s="1" t="s">
        <v>529</v>
      </c>
      <c r="BV12" s="1" t="str">
        <f>Описание_формуляр!AL12</f>
        <v>индивидуальный проект</v>
      </c>
    </row>
    <row r="13" spans="1:74" ht="14.25" customHeight="1" x14ac:dyDescent="0.2">
      <c r="A13" s="42" t="s">
        <v>275</v>
      </c>
      <c r="B13" s="267"/>
      <c r="C13" s="267"/>
      <c r="D13" s="267"/>
      <c r="E13" s="267"/>
      <c r="F13" s="267"/>
      <c r="G13" s="231" t="s">
        <v>416</v>
      </c>
      <c r="H13" s="231" t="s">
        <v>416</v>
      </c>
      <c r="I13" s="231" t="s">
        <v>416</v>
      </c>
      <c r="K13" s="211"/>
      <c r="BS13" s="1" t="s">
        <v>530</v>
      </c>
      <c r="BV13" s="1" t="str">
        <f>Описание_формуляр!AL13</f>
        <v>повышенной комфортности (элитная)</v>
      </c>
    </row>
    <row r="14" spans="1:74" ht="15" hidden="1" customHeight="1" x14ac:dyDescent="0.15">
      <c r="A14" s="42" t="s">
        <v>420</v>
      </c>
      <c r="B14" s="267" t="s">
        <v>417</v>
      </c>
      <c r="C14" s="267"/>
      <c r="D14" s="267"/>
      <c r="E14" s="267"/>
      <c r="F14" s="267"/>
      <c r="G14" s="231" t="s">
        <v>417</v>
      </c>
      <c r="H14" s="231" t="s">
        <v>417</v>
      </c>
      <c r="I14" s="231" t="s">
        <v>417</v>
      </c>
      <c r="BV14" s="1" t="str">
        <f>Описание_формуляр!AL14</f>
        <v>бывшее общежитие</v>
      </c>
    </row>
    <row r="15" spans="1:74" ht="17.25" customHeight="1" x14ac:dyDescent="0.2">
      <c r="A15" s="42" t="s">
        <v>244</v>
      </c>
      <c r="B15" s="267"/>
      <c r="C15" s="267"/>
      <c r="D15" s="267"/>
      <c r="E15" s="267"/>
      <c r="F15" s="267"/>
      <c r="G15" s="231" t="s">
        <v>170</v>
      </c>
      <c r="H15" s="231" t="s">
        <v>170</v>
      </c>
      <c r="I15" s="231">
        <f>F15</f>
        <v>0</v>
      </c>
      <c r="K15" s="211"/>
    </row>
    <row r="16" spans="1:74" ht="13.5" customHeight="1" x14ac:dyDescent="0.2">
      <c r="A16" s="42" t="s">
        <v>243</v>
      </c>
      <c r="B16" s="274"/>
      <c r="C16" s="274"/>
      <c r="D16" s="274"/>
      <c r="E16" s="274"/>
      <c r="F16" s="274"/>
      <c r="G16" s="230" t="s">
        <v>623</v>
      </c>
      <c r="H16" s="230" t="s">
        <v>623</v>
      </c>
      <c r="I16" s="230" t="s">
        <v>623</v>
      </c>
      <c r="K16" s="211"/>
    </row>
    <row r="17" spans="1:11" ht="13.5" hidden="1" customHeight="1" x14ac:dyDescent="0.2">
      <c r="A17" s="42" t="s">
        <v>739</v>
      </c>
      <c r="B17" s="274" t="s">
        <v>422</v>
      </c>
      <c r="C17" s="274"/>
      <c r="D17" s="274"/>
      <c r="E17" s="274"/>
      <c r="F17" s="274"/>
      <c r="G17" s="230">
        <f>C17</f>
        <v>0</v>
      </c>
      <c r="H17" s="230">
        <f>F17</f>
        <v>0</v>
      </c>
      <c r="I17" s="230">
        <f>E17</f>
        <v>0</v>
      </c>
      <c r="K17" s="211"/>
    </row>
    <row r="18" spans="1:11" ht="16.5" customHeight="1" x14ac:dyDescent="0.15">
      <c r="A18" s="42" t="s">
        <v>252</v>
      </c>
      <c r="B18" s="274">
        <f>B3</f>
        <v>0</v>
      </c>
      <c r="C18" s="273"/>
      <c r="D18" s="273"/>
      <c r="E18" s="273"/>
      <c r="F18" s="273"/>
      <c r="G18" s="235">
        <f>B18</f>
        <v>0</v>
      </c>
      <c r="H18" s="235">
        <f>G18</f>
        <v>0</v>
      </c>
      <c r="I18" s="235">
        <f>H18</f>
        <v>0</v>
      </c>
    </row>
    <row r="19" spans="1:11" ht="27" customHeight="1" x14ac:dyDescent="0.15">
      <c r="A19" s="42" t="s">
        <v>515</v>
      </c>
      <c r="B19" s="281">
        <f>Описание_формуляр!H20</f>
        <v>0</v>
      </c>
      <c r="C19" s="274"/>
      <c r="D19" s="274"/>
      <c r="E19" s="274"/>
      <c r="F19" s="274"/>
      <c r="G19" s="230" t="s">
        <v>395</v>
      </c>
      <c r="H19" s="230" t="s">
        <v>69</v>
      </c>
      <c r="I19" s="230" t="s">
        <v>69</v>
      </c>
    </row>
    <row r="20" spans="1:11" ht="16.5" customHeight="1" x14ac:dyDescent="0.15">
      <c r="A20" s="11" t="s">
        <v>642</v>
      </c>
      <c r="B20" s="282">
        <f>Описание_формуляр!H26</f>
        <v>0</v>
      </c>
      <c r="C20" s="273"/>
      <c r="D20" s="273"/>
      <c r="E20" s="273"/>
      <c r="F20" s="273"/>
      <c r="G20" s="235" t="s">
        <v>80</v>
      </c>
      <c r="H20" s="235" t="s">
        <v>80</v>
      </c>
      <c r="I20" s="235" t="s">
        <v>80</v>
      </c>
    </row>
    <row r="21" spans="1:11" ht="15.75" customHeight="1" x14ac:dyDescent="0.15">
      <c r="A21" s="42" t="s">
        <v>245</v>
      </c>
      <c r="B21" s="281" t="str">
        <f>CONCATENATE(Описание_формуляр!H44," / ",Описание_формуляр!H21)</f>
        <v xml:space="preserve"> / </v>
      </c>
      <c r="C21" s="275"/>
      <c r="D21" s="275"/>
      <c r="E21" s="275"/>
      <c r="F21" s="275"/>
      <c r="G21" s="236" t="s">
        <v>375</v>
      </c>
      <c r="H21" s="236" t="s">
        <v>375</v>
      </c>
      <c r="I21" s="236" t="s">
        <v>375</v>
      </c>
    </row>
    <row r="22" spans="1:11" ht="25.5" customHeight="1" x14ac:dyDescent="0.15">
      <c r="A22" s="42" t="s">
        <v>743</v>
      </c>
      <c r="B22" s="281">
        <f>Описание_формуляр!H58</f>
        <v>0</v>
      </c>
      <c r="C22" s="274"/>
      <c r="D22" s="274"/>
      <c r="E22" s="274"/>
      <c r="F22" s="274"/>
      <c r="G22" s="230" t="s">
        <v>745</v>
      </c>
      <c r="H22" s="230" t="s">
        <v>98</v>
      </c>
      <c r="I22" s="230" t="s">
        <v>98</v>
      </c>
    </row>
    <row r="23" spans="1:11" ht="15.75" customHeight="1" x14ac:dyDescent="0.15">
      <c r="A23" s="42" t="s">
        <v>246</v>
      </c>
      <c r="B23" s="277">
        <f>Описание_формуляр!H57</f>
        <v>0</v>
      </c>
      <c r="C23" s="275"/>
      <c r="D23" s="275"/>
      <c r="E23" s="275"/>
      <c r="F23" s="275"/>
      <c r="G23" s="236" t="s">
        <v>93</v>
      </c>
      <c r="H23" s="236">
        <f>$B$23</f>
        <v>0</v>
      </c>
      <c r="I23" s="236">
        <f>$B$23</f>
        <v>0</v>
      </c>
    </row>
    <row r="24" spans="1:11" ht="15" customHeight="1" x14ac:dyDescent="0.15">
      <c r="A24" s="42" t="s">
        <v>738</v>
      </c>
      <c r="B24" s="276">
        <f>Описание_формуляр!H54</f>
        <v>0</v>
      </c>
      <c r="C24" s="274"/>
      <c r="D24" s="274"/>
      <c r="E24" s="274"/>
      <c r="F24" s="274"/>
      <c r="G24" s="230" t="s">
        <v>91</v>
      </c>
      <c r="H24" s="230" t="s">
        <v>91</v>
      </c>
      <c r="I24" s="230" t="s">
        <v>91</v>
      </c>
    </row>
    <row r="25" spans="1:11" ht="27" hidden="1" customHeight="1" x14ac:dyDescent="0.15">
      <c r="A25" s="42" t="s">
        <v>731</v>
      </c>
      <c r="B25" s="274" t="s">
        <v>807</v>
      </c>
      <c r="C25" s="274"/>
      <c r="D25" s="274"/>
      <c r="E25" s="274"/>
      <c r="F25" s="274"/>
      <c r="G25" s="230" t="s">
        <v>740</v>
      </c>
      <c r="H25" s="230" t="s">
        <v>740</v>
      </c>
      <c r="I25" s="230" t="s">
        <v>740</v>
      </c>
    </row>
    <row r="26" spans="1:11" ht="31.5" customHeight="1" x14ac:dyDescent="0.15">
      <c r="A26" s="42" t="s">
        <v>809</v>
      </c>
      <c r="B26" s="276">
        <f>Описание_формуляр!H60</f>
        <v>0</v>
      </c>
      <c r="C26" s="274"/>
      <c r="D26" s="274"/>
      <c r="E26" s="274"/>
      <c r="F26" s="274"/>
      <c r="G26" s="230" t="s">
        <v>746</v>
      </c>
      <c r="H26" s="230" t="s">
        <v>746</v>
      </c>
      <c r="I26" s="230" t="s">
        <v>519</v>
      </c>
    </row>
    <row r="27" spans="1:11" ht="27" customHeight="1" x14ac:dyDescent="0.15">
      <c r="A27" s="11" t="s">
        <v>662</v>
      </c>
      <c r="B27" s="274"/>
      <c r="C27" s="274"/>
      <c r="D27" s="274"/>
      <c r="E27" s="274"/>
      <c r="F27" s="274"/>
      <c r="G27" s="230" t="s">
        <v>756</v>
      </c>
      <c r="H27" s="230" t="s">
        <v>663</v>
      </c>
      <c r="I27" s="230" t="s">
        <v>663</v>
      </c>
    </row>
    <row r="28" spans="1:11" ht="22.5" hidden="1" customHeight="1" x14ac:dyDescent="0.15">
      <c r="A28" s="11"/>
      <c r="B28" s="110"/>
      <c r="C28" s="110"/>
      <c r="D28" s="110"/>
      <c r="E28" s="110"/>
      <c r="F28" s="110"/>
      <c r="G28" s="230"/>
      <c r="H28" s="230" t="s">
        <v>441</v>
      </c>
      <c r="I28" s="230"/>
    </row>
    <row r="29" spans="1:11" ht="14.1" customHeight="1" x14ac:dyDescent="0.15">
      <c r="A29" s="191" t="s">
        <v>788</v>
      </c>
      <c r="B29" s="110"/>
      <c r="C29" s="210" t="e">
        <f t="shared" ref="C29:I29" si="0">C8/C11</f>
        <v>#DIV/0!</v>
      </c>
      <c r="D29" s="210" t="e">
        <f t="shared" si="0"/>
        <v>#DIV/0!</v>
      </c>
      <c r="E29" s="210" t="e">
        <f>E8/E11</f>
        <v>#DIV/0!</v>
      </c>
      <c r="F29" s="210" t="e">
        <f t="shared" si="0"/>
        <v>#DIV/0!</v>
      </c>
      <c r="G29" s="233">
        <f t="shared" si="0"/>
        <v>0</v>
      </c>
      <c r="H29" s="233">
        <f t="shared" si="0"/>
        <v>0</v>
      </c>
      <c r="I29" s="233">
        <f t="shared" si="0"/>
        <v>0</v>
      </c>
    </row>
    <row r="30" spans="1:11" ht="14.1" hidden="1" customHeight="1" x14ac:dyDescent="0.15">
      <c r="A30" s="214" t="s">
        <v>443</v>
      </c>
      <c r="B30" s="215"/>
      <c r="C30" s="227" t="e">
        <f>MIN(C29:F29)</f>
        <v>#DIV/0!</v>
      </c>
      <c r="D30" s="215"/>
      <c r="E30" s="215"/>
      <c r="F30" s="215"/>
      <c r="G30" s="237"/>
      <c r="H30" s="237"/>
      <c r="I30" s="237"/>
    </row>
    <row r="31" spans="1:11" ht="14.1" hidden="1" customHeight="1" x14ac:dyDescent="0.15">
      <c r="A31" s="214" t="s">
        <v>444</v>
      </c>
      <c r="B31" s="215"/>
      <c r="C31" s="227" t="e">
        <f>MAX(C29:F29)</f>
        <v>#DIV/0!</v>
      </c>
      <c r="D31" s="215"/>
      <c r="E31" s="215"/>
      <c r="F31" s="215"/>
      <c r="G31" s="237"/>
      <c r="H31" s="237"/>
      <c r="I31" s="237"/>
    </row>
    <row r="32" spans="1:11" ht="14.1" hidden="1" customHeight="1" x14ac:dyDescent="0.15">
      <c r="A32" s="11" t="s">
        <v>442</v>
      </c>
      <c r="B32" s="105"/>
      <c r="C32" s="200" t="e">
        <f>(C31-C30)/C31</f>
        <v>#DIV/0!</v>
      </c>
      <c r="D32" s="200"/>
      <c r="E32" s="200"/>
      <c r="F32" s="200"/>
      <c r="G32" s="238"/>
      <c r="H32" s="238"/>
      <c r="I32" s="238"/>
    </row>
    <row r="33" spans="1:15" ht="14.1" customHeight="1" x14ac:dyDescent="0.15">
      <c r="A33" s="5"/>
      <c r="B33" s="55"/>
      <c r="C33" s="56"/>
      <c r="D33" s="56"/>
      <c r="E33" s="56"/>
      <c r="F33" s="56"/>
      <c r="G33" s="239"/>
      <c r="H33" s="239"/>
      <c r="I33" s="239"/>
    </row>
    <row r="34" spans="1:15" ht="14.1" customHeight="1" x14ac:dyDescent="0.15">
      <c r="A34" s="5"/>
      <c r="B34" s="74" t="e">
        <f>2050000/B9</f>
        <v>#DIV/0!</v>
      </c>
      <c r="C34" s="56">
        <f>1150000/41</f>
        <v>28048.780487804877</v>
      </c>
      <c r="D34" s="56"/>
      <c r="E34" s="56">
        <f>B11*45000</f>
        <v>0</v>
      </c>
      <c r="F34" s="56"/>
      <c r="G34" s="239"/>
      <c r="H34" s="239"/>
      <c r="I34" s="239"/>
    </row>
    <row r="35" spans="1:15" ht="14.1" customHeight="1" x14ac:dyDescent="0.15">
      <c r="A35" s="5"/>
      <c r="B35" s="81"/>
      <c r="C35" s="56"/>
      <c r="D35" s="185"/>
      <c r="E35" s="56"/>
      <c r="F35" s="56"/>
      <c r="G35" s="239"/>
      <c r="H35" s="239"/>
      <c r="I35" s="239"/>
    </row>
    <row r="36" spans="1:15" ht="14.1" customHeight="1" x14ac:dyDescent="0.15">
      <c r="A36" s="5"/>
      <c r="B36" s="55"/>
      <c r="C36" s="56"/>
      <c r="D36" s="56"/>
      <c r="E36" s="56"/>
      <c r="F36" s="56"/>
      <c r="G36" s="239"/>
      <c r="H36" s="239"/>
      <c r="I36" s="239"/>
    </row>
    <row r="37" spans="1:15" ht="14.1" customHeight="1" x14ac:dyDescent="0.15"/>
    <row r="38" spans="1:15" ht="21" customHeight="1" x14ac:dyDescent="0.15">
      <c r="A38" s="203" t="s">
        <v>43</v>
      </c>
      <c r="B38" s="203" t="s">
        <v>137</v>
      </c>
      <c r="C38" s="203" t="s">
        <v>138</v>
      </c>
      <c r="D38" s="203" t="s">
        <v>152</v>
      </c>
      <c r="E38" s="203" t="s">
        <v>140</v>
      </c>
      <c r="F38" s="203" t="s">
        <v>152</v>
      </c>
      <c r="G38" s="229" t="s">
        <v>153</v>
      </c>
      <c r="H38" s="229" t="s">
        <v>139</v>
      </c>
      <c r="I38" s="229" t="s">
        <v>152</v>
      </c>
    </row>
    <row r="39" spans="1:15" ht="15" customHeight="1" x14ac:dyDescent="0.15">
      <c r="A39" s="191" t="str">
        <f>A29</f>
        <v>Удельная цена предложения, руб./ кв.м.</v>
      </c>
      <c r="B39" s="105"/>
      <c r="C39" s="54" t="e">
        <f t="shared" ref="C39:I39" si="1">C8/(C11)</f>
        <v>#DIV/0!</v>
      </c>
      <c r="D39" s="54" t="e">
        <f t="shared" si="1"/>
        <v>#DIV/0!</v>
      </c>
      <c r="E39" s="54" t="e">
        <f t="shared" si="1"/>
        <v>#DIV/0!</v>
      </c>
      <c r="F39" s="54" t="e">
        <f t="shared" si="1"/>
        <v>#DIV/0!</v>
      </c>
      <c r="G39" s="240">
        <f t="shared" si="1"/>
        <v>0</v>
      </c>
      <c r="H39" s="240">
        <f t="shared" si="1"/>
        <v>0</v>
      </c>
      <c r="I39" s="240">
        <f t="shared" si="1"/>
        <v>0</v>
      </c>
    </row>
    <row r="40" spans="1:15" ht="15" customHeight="1" x14ac:dyDescent="0.15">
      <c r="A40" s="222" t="str">
        <f>A12</f>
        <v>Предложение актуально на дату</v>
      </c>
      <c r="B40" s="219">
        <f>B12</f>
        <v>0</v>
      </c>
      <c r="C40" s="219">
        <f t="shared" ref="C40:I40" si="2">B40</f>
        <v>0</v>
      </c>
      <c r="D40" s="219">
        <f t="shared" si="2"/>
        <v>0</v>
      </c>
      <c r="E40" s="219">
        <f t="shared" si="2"/>
        <v>0</v>
      </c>
      <c r="F40" s="219">
        <f t="shared" si="2"/>
        <v>0</v>
      </c>
      <c r="G40" s="241">
        <f t="shared" si="2"/>
        <v>0</v>
      </c>
      <c r="H40" s="241">
        <f t="shared" si="2"/>
        <v>0</v>
      </c>
      <c r="I40" s="241">
        <f t="shared" si="2"/>
        <v>0</v>
      </c>
    </row>
    <row r="41" spans="1:15" ht="15" customHeight="1" x14ac:dyDescent="0.15">
      <c r="A41" s="225" t="s">
        <v>787</v>
      </c>
      <c r="B41" s="226"/>
      <c r="C41" s="216">
        <f>IF(C12=$B12,1,"Требуется")</f>
        <v>1</v>
      </c>
      <c r="D41" s="216">
        <f t="shared" ref="D41:I41" si="3">IF(D12=$B12,1,"Требуется")</f>
        <v>1</v>
      </c>
      <c r="E41" s="216">
        <f t="shared" si="3"/>
        <v>1</v>
      </c>
      <c r="F41" s="216">
        <f t="shared" si="3"/>
        <v>1</v>
      </c>
      <c r="G41" s="216">
        <f t="shared" si="3"/>
        <v>1</v>
      </c>
      <c r="H41" s="216">
        <f t="shared" si="3"/>
        <v>1</v>
      </c>
      <c r="I41" s="216">
        <f t="shared" si="3"/>
        <v>1</v>
      </c>
      <c r="K41" s="186">
        <f>C41-1</f>
        <v>0</v>
      </c>
      <c r="L41" s="186">
        <f>D41-1</f>
        <v>0</v>
      </c>
      <c r="M41" s="186">
        <f>E41-1</f>
        <v>0</v>
      </c>
      <c r="N41" s="186">
        <f>F41-1</f>
        <v>0</v>
      </c>
      <c r="O41" s="186">
        <f>G41-1</f>
        <v>0</v>
      </c>
    </row>
    <row r="42" spans="1:15" ht="15" customHeight="1" x14ac:dyDescent="0.15">
      <c r="A42" s="191" t="s">
        <v>786</v>
      </c>
      <c r="B42" s="105"/>
      <c r="C42" s="54" t="e">
        <f>C39*C41</f>
        <v>#DIV/0!</v>
      </c>
      <c r="D42" s="54" t="e">
        <f t="shared" ref="D42:I42" si="4">D39*D41</f>
        <v>#DIV/0!</v>
      </c>
      <c r="E42" s="54" t="e">
        <f t="shared" si="4"/>
        <v>#DIV/0!</v>
      </c>
      <c r="F42" s="54" t="e">
        <f t="shared" si="4"/>
        <v>#DIV/0!</v>
      </c>
      <c r="G42" s="54">
        <f t="shared" si="4"/>
        <v>0</v>
      </c>
      <c r="H42" s="54">
        <f t="shared" si="4"/>
        <v>0</v>
      </c>
      <c r="I42" s="54">
        <f t="shared" si="4"/>
        <v>0</v>
      </c>
    </row>
    <row r="43" spans="1:15" ht="15" customHeight="1" x14ac:dyDescent="0.15">
      <c r="A43" s="222" t="s">
        <v>275</v>
      </c>
      <c r="B43" s="220">
        <f t="shared" ref="B43:G43" si="5">B13</f>
        <v>0</v>
      </c>
      <c r="C43" s="221">
        <f t="shared" si="5"/>
        <v>0</v>
      </c>
      <c r="D43" s="221">
        <f>D13</f>
        <v>0</v>
      </c>
      <c r="E43" s="221">
        <f t="shared" si="5"/>
        <v>0</v>
      </c>
      <c r="F43" s="221">
        <f>F13</f>
        <v>0</v>
      </c>
      <c r="G43" s="243" t="str">
        <f t="shared" si="5"/>
        <v>без ограничений</v>
      </c>
      <c r="H43" s="243" t="str">
        <f>H13</f>
        <v>без ограничений</v>
      </c>
      <c r="I43" s="243" t="str">
        <f>I13</f>
        <v>без ограничений</v>
      </c>
    </row>
    <row r="44" spans="1:15" ht="15" customHeight="1" x14ac:dyDescent="0.15">
      <c r="A44" s="191" t="s">
        <v>771</v>
      </c>
      <c r="B44" s="106"/>
      <c r="C44" s="216">
        <f>IF(C13=$BO$5,1.02,1)</f>
        <v>1</v>
      </c>
      <c r="D44" s="216">
        <f t="shared" ref="D44:I44" si="6">IF(D13=$BO$5,1.02,1)</f>
        <v>1</v>
      </c>
      <c r="E44" s="216">
        <f t="shared" si="6"/>
        <v>1</v>
      </c>
      <c r="F44" s="216">
        <f t="shared" si="6"/>
        <v>1</v>
      </c>
      <c r="G44" s="216">
        <f t="shared" si="6"/>
        <v>1</v>
      </c>
      <c r="H44" s="216">
        <f t="shared" si="6"/>
        <v>1</v>
      </c>
      <c r="I44" s="216">
        <f t="shared" si="6"/>
        <v>1</v>
      </c>
      <c r="K44" s="186">
        <f>C44-1</f>
        <v>0</v>
      </c>
      <c r="L44" s="186">
        <f>D44-1</f>
        <v>0</v>
      </c>
      <c r="M44" s="186">
        <f>E44-1</f>
        <v>0</v>
      </c>
      <c r="N44" s="186">
        <f>F44-1</f>
        <v>0</v>
      </c>
      <c r="O44" s="186">
        <f>G44-1</f>
        <v>0</v>
      </c>
    </row>
    <row r="45" spans="1:15" ht="15" customHeight="1" x14ac:dyDescent="0.15">
      <c r="A45" s="191" t="s">
        <v>786</v>
      </c>
      <c r="B45" s="105"/>
      <c r="C45" s="54" t="e">
        <f>C42*C44</f>
        <v>#DIV/0!</v>
      </c>
      <c r="D45" s="54" t="e">
        <f t="shared" ref="D45:I45" si="7">D42*D44</f>
        <v>#DIV/0!</v>
      </c>
      <c r="E45" s="54" t="e">
        <f t="shared" si="7"/>
        <v>#DIV/0!</v>
      </c>
      <c r="F45" s="54" t="e">
        <f t="shared" si="7"/>
        <v>#DIV/0!</v>
      </c>
      <c r="G45" s="54">
        <f t="shared" si="7"/>
        <v>0</v>
      </c>
      <c r="H45" s="54">
        <f t="shared" si="7"/>
        <v>0</v>
      </c>
      <c r="I45" s="54">
        <f t="shared" si="7"/>
        <v>0</v>
      </c>
    </row>
    <row r="46" spans="1:15" s="63" customFormat="1" ht="15" customHeight="1" x14ac:dyDescent="0.15">
      <c r="A46" s="222" t="s">
        <v>244</v>
      </c>
      <c r="B46" s="223">
        <f t="shared" ref="B46:G46" si="8">B15</f>
        <v>0</v>
      </c>
      <c r="C46" s="223">
        <f t="shared" si="8"/>
        <v>0</v>
      </c>
      <c r="D46" s="223">
        <f>D15</f>
        <v>0</v>
      </c>
      <c r="E46" s="223">
        <f t="shared" si="8"/>
        <v>0</v>
      </c>
      <c r="F46" s="223">
        <f>F15</f>
        <v>0</v>
      </c>
      <c r="G46" s="244" t="str">
        <f t="shared" si="8"/>
        <v>Собственность</v>
      </c>
      <c r="H46" s="244" t="str">
        <f>H15</f>
        <v>Собственность</v>
      </c>
      <c r="I46" s="244">
        <f>I15</f>
        <v>0</v>
      </c>
    </row>
    <row r="47" spans="1:15" s="63" customFormat="1" ht="15" customHeight="1" x14ac:dyDescent="0.15">
      <c r="A47" s="191" t="s">
        <v>772</v>
      </c>
      <c r="B47" s="105"/>
      <c r="C47" s="216">
        <v>1</v>
      </c>
      <c r="D47" s="216">
        <v>1</v>
      </c>
      <c r="E47" s="216">
        <v>1</v>
      </c>
      <c r="F47" s="216">
        <v>1</v>
      </c>
      <c r="G47" s="216">
        <v>1</v>
      </c>
      <c r="H47" s="216">
        <v>1</v>
      </c>
      <c r="I47" s="216">
        <v>1</v>
      </c>
      <c r="K47" s="186">
        <f>C47-1</f>
        <v>0</v>
      </c>
      <c r="L47" s="186">
        <f>D47-1</f>
        <v>0</v>
      </c>
      <c r="M47" s="186">
        <f>E47-1</f>
        <v>0</v>
      </c>
      <c r="N47" s="186">
        <f>F47-1</f>
        <v>0</v>
      </c>
      <c r="O47" s="186">
        <f>G47-1</f>
        <v>0</v>
      </c>
    </row>
    <row r="48" spans="1:15" s="63" customFormat="1" ht="15" customHeight="1" x14ac:dyDescent="0.15">
      <c r="A48" s="191" t="s">
        <v>786</v>
      </c>
      <c r="B48" s="105"/>
      <c r="C48" s="54" t="e">
        <f>C45*C47</f>
        <v>#DIV/0!</v>
      </c>
      <c r="D48" s="54" t="e">
        <f t="shared" ref="D48:I48" si="9">D45*D47</f>
        <v>#DIV/0!</v>
      </c>
      <c r="E48" s="54" t="e">
        <f t="shared" si="9"/>
        <v>#DIV/0!</v>
      </c>
      <c r="F48" s="54" t="e">
        <f t="shared" si="9"/>
        <v>#DIV/0!</v>
      </c>
      <c r="G48" s="54">
        <f t="shared" si="9"/>
        <v>0</v>
      </c>
      <c r="H48" s="54">
        <f t="shared" si="9"/>
        <v>0</v>
      </c>
      <c r="I48" s="54">
        <f t="shared" si="9"/>
        <v>0</v>
      </c>
    </row>
    <row r="49" spans="1:15" s="63" customFormat="1" ht="15" customHeight="1" x14ac:dyDescent="0.15">
      <c r="A49" s="222" t="s">
        <v>243</v>
      </c>
      <c r="B49" s="220"/>
      <c r="C49" s="220">
        <f t="shared" ref="C49:I49" si="10">C16</f>
        <v>0</v>
      </c>
      <c r="D49" s="220">
        <f t="shared" si="10"/>
        <v>0</v>
      </c>
      <c r="E49" s="220">
        <f t="shared" si="10"/>
        <v>0</v>
      </c>
      <c r="F49" s="220">
        <f t="shared" si="10"/>
        <v>0</v>
      </c>
      <c r="G49" s="245" t="str">
        <f t="shared" si="10"/>
        <v>да</v>
      </c>
      <c r="H49" s="245" t="str">
        <f t="shared" si="10"/>
        <v>да</v>
      </c>
      <c r="I49" s="245" t="str">
        <f t="shared" si="10"/>
        <v>да</v>
      </c>
    </row>
    <row r="50" spans="1:15" s="63" customFormat="1" ht="15" customHeight="1" x14ac:dyDescent="0.15">
      <c r="A50" s="191" t="s">
        <v>773</v>
      </c>
      <c r="B50" s="105"/>
      <c r="C50" s="216">
        <f>1-0.067</f>
        <v>0.93300000000000005</v>
      </c>
      <c r="D50" s="216">
        <f>C50</f>
        <v>0.93300000000000005</v>
      </c>
      <c r="E50" s="216">
        <f>D50</f>
        <v>0.93300000000000005</v>
      </c>
      <c r="F50" s="216">
        <f>E50</f>
        <v>0.93300000000000005</v>
      </c>
      <c r="G50" s="216">
        <v>0.97</v>
      </c>
      <c r="H50" s="216">
        <v>0.97</v>
      </c>
      <c r="I50" s="216">
        <v>0.97</v>
      </c>
      <c r="K50" s="186">
        <f>C50-1</f>
        <v>-6.6999999999999948E-2</v>
      </c>
      <c r="L50" s="186">
        <f>D50-1</f>
        <v>-6.6999999999999948E-2</v>
      </c>
      <c r="M50" s="186">
        <f>E50-1</f>
        <v>-6.6999999999999948E-2</v>
      </c>
      <c r="N50" s="186">
        <f>F50-1</f>
        <v>-6.6999999999999948E-2</v>
      </c>
      <c r="O50" s="186">
        <f>G50-1</f>
        <v>-3.0000000000000027E-2</v>
      </c>
    </row>
    <row r="51" spans="1:15" s="63" customFormat="1" ht="15" customHeight="1" x14ac:dyDescent="0.15">
      <c r="A51" s="191" t="s">
        <v>786</v>
      </c>
      <c r="B51" s="105"/>
      <c r="C51" s="54" t="e">
        <f>C48*C50</f>
        <v>#DIV/0!</v>
      </c>
      <c r="D51" s="54" t="e">
        <f t="shared" ref="D51:I51" si="11">D48*D50</f>
        <v>#DIV/0!</v>
      </c>
      <c r="E51" s="54" t="e">
        <f t="shared" si="11"/>
        <v>#DIV/0!</v>
      </c>
      <c r="F51" s="54" t="e">
        <f t="shared" si="11"/>
        <v>#DIV/0!</v>
      </c>
      <c r="G51" s="54">
        <f t="shared" si="11"/>
        <v>0</v>
      </c>
      <c r="H51" s="54">
        <f t="shared" si="11"/>
        <v>0</v>
      </c>
      <c r="I51" s="54">
        <f t="shared" si="11"/>
        <v>0</v>
      </c>
    </row>
    <row r="52" spans="1:15" ht="25.5" customHeight="1" x14ac:dyDescent="0.15">
      <c r="A52" s="224" t="s">
        <v>789</v>
      </c>
      <c r="B52" s="220">
        <f>B4</f>
        <v>0</v>
      </c>
      <c r="C52" s="220">
        <f>C4</f>
        <v>0</v>
      </c>
      <c r="D52" s="220">
        <f>D4</f>
        <v>0</v>
      </c>
      <c r="E52" s="220">
        <f>E4</f>
        <v>0</v>
      </c>
      <c r="F52" s="220">
        <f>F4</f>
        <v>0</v>
      </c>
      <c r="G52" s="245">
        <f>G18</f>
        <v>0</v>
      </c>
      <c r="H52" s="245">
        <f>H18</f>
        <v>0</v>
      </c>
      <c r="I52" s="245">
        <f>I18</f>
        <v>0</v>
      </c>
    </row>
    <row r="53" spans="1:15" ht="15" customHeight="1" x14ac:dyDescent="0.15">
      <c r="A53" s="191" t="s">
        <v>774</v>
      </c>
      <c r="B53" s="106"/>
      <c r="C53" s="216">
        <v>1</v>
      </c>
      <c r="D53" s="216">
        <v>1</v>
      </c>
      <c r="E53" s="216">
        <v>1</v>
      </c>
      <c r="F53" s="216">
        <v>1</v>
      </c>
      <c r="G53" s="216">
        <v>1</v>
      </c>
      <c r="H53" s="216">
        <v>1</v>
      </c>
      <c r="I53" s="216">
        <v>1</v>
      </c>
      <c r="K53" s="186">
        <f>C53-1</f>
        <v>0</v>
      </c>
      <c r="L53" s="186">
        <f>D53-1</f>
        <v>0</v>
      </c>
      <c r="M53" s="186">
        <f>E53-1</f>
        <v>0</v>
      </c>
      <c r="N53" s="186">
        <f>F53-1</f>
        <v>0</v>
      </c>
      <c r="O53" s="186">
        <f>G53-1</f>
        <v>0</v>
      </c>
    </row>
    <row r="54" spans="1:15" ht="15" customHeight="1" x14ac:dyDescent="0.15">
      <c r="A54" s="191" t="s">
        <v>786</v>
      </c>
      <c r="B54" s="105"/>
      <c r="C54" s="54" t="e">
        <f t="shared" ref="C54:I54" si="12">C51*C53</f>
        <v>#DIV/0!</v>
      </c>
      <c r="D54" s="54" t="e">
        <f t="shared" si="12"/>
        <v>#DIV/0!</v>
      </c>
      <c r="E54" s="54" t="e">
        <f t="shared" si="12"/>
        <v>#DIV/0!</v>
      </c>
      <c r="F54" s="54" t="e">
        <f t="shared" si="12"/>
        <v>#DIV/0!</v>
      </c>
      <c r="G54" s="54">
        <f t="shared" si="12"/>
        <v>0</v>
      </c>
      <c r="H54" s="54">
        <f t="shared" si="12"/>
        <v>0</v>
      </c>
      <c r="I54" s="54">
        <f t="shared" si="12"/>
        <v>0</v>
      </c>
    </row>
    <row r="55" spans="1:15" ht="21.75" customHeight="1" x14ac:dyDescent="0.15">
      <c r="A55" s="224" t="s">
        <v>515</v>
      </c>
      <c r="B55" s="203">
        <f t="shared" ref="B55:G55" si="13">B19</f>
        <v>0</v>
      </c>
      <c r="C55" s="203">
        <f t="shared" si="13"/>
        <v>0</v>
      </c>
      <c r="D55" s="203">
        <f>D19</f>
        <v>0</v>
      </c>
      <c r="E55" s="203">
        <f t="shared" si="13"/>
        <v>0</v>
      </c>
      <c r="F55" s="203">
        <f>F19</f>
        <v>0</v>
      </c>
      <c r="G55" s="229" t="str">
        <f t="shared" si="13"/>
        <v>Каркасно-монолитный</v>
      </c>
      <c r="H55" s="229" t="str">
        <f>H19</f>
        <v>Панельный</v>
      </c>
      <c r="I55" s="229" t="str">
        <f>I19</f>
        <v>Панельный</v>
      </c>
    </row>
    <row r="56" spans="1:15" ht="15" customHeight="1" x14ac:dyDescent="0.15">
      <c r="A56" s="191" t="s">
        <v>775</v>
      </c>
      <c r="B56" s="106"/>
      <c r="C56" s="216">
        <v>1</v>
      </c>
      <c r="D56" s="216">
        <v>1</v>
      </c>
      <c r="E56" s="216">
        <v>1</v>
      </c>
      <c r="F56" s="216">
        <v>1</v>
      </c>
      <c r="G56" s="216">
        <v>1</v>
      </c>
      <c r="H56" s="216">
        <v>1</v>
      </c>
      <c r="I56" s="216">
        <v>1</v>
      </c>
      <c r="K56" s="186">
        <f>C56-1</f>
        <v>0</v>
      </c>
      <c r="L56" s="186">
        <f>D56-1</f>
        <v>0</v>
      </c>
      <c r="M56" s="186">
        <f>E56-1</f>
        <v>0</v>
      </c>
      <c r="N56" s="186">
        <f>F56-1</f>
        <v>0</v>
      </c>
      <c r="O56" s="186">
        <f>G56-1</f>
        <v>0</v>
      </c>
    </row>
    <row r="57" spans="1:15" ht="15" customHeight="1" x14ac:dyDescent="0.15">
      <c r="A57" s="191" t="s">
        <v>786</v>
      </c>
      <c r="B57" s="105"/>
      <c r="C57" s="54" t="e">
        <f t="shared" ref="C57:I57" si="14">C54*C56</f>
        <v>#DIV/0!</v>
      </c>
      <c r="D57" s="54" t="e">
        <f t="shared" si="14"/>
        <v>#DIV/0!</v>
      </c>
      <c r="E57" s="54" t="e">
        <f t="shared" si="14"/>
        <v>#DIV/0!</v>
      </c>
      <c r="F57" s="54" t="e">
        <f t="shared" si="14"/>
        <v>#DIV/0!</v>
      </c>
      <c r="G57" s="54">
        <f t="shared" si="14"/>
        <v>0</v>
      </c>
      <c r="H57" s="54">
        <f t="shared" si="14"/>
        <v>0</v>
      </c>
      <c r="I57" s="54">
        <f t="shared" si="14"/>
        <v>0</v>
      </c>
    </row>
    <row r="58" spans="1:15" ht="15" customHeight="1" x14ac:dyDescent="0.15">
      <c r="A58" s="224" t="s">
        <v>642</v>
      </c>
      <c r="B58" s="220">
        <f t="shared" ref="B58:I58" si="15">B20</f>
        <v>0</v>
      </c>
      <c r="C58" s="220">
        <f t="shared" si="15"/>
        <v>0</v>
      </c>
      <c r="D58" s="220">
        <f t="shared" si="15"/>
        <v>0</v>
      </c>
      <c r="E58" s="220">
        <f t="shared" si="15"/>
        <v>0</v>
      </c>
      <c r="F58" s="220">
        <f t="shared" si="15"/>
        <v>0</v>
      </c>
      <c r="G58" s="245" t="str">
        <f t="shared" si="15"/>
        <v>Хорошее</v>
      </c>
      <c r="H58" s="245" t="str">
        <f t="shared" si="15"/>
        <v>Хорошее</v>
      </c>
      <c r="I58" s="245" t="str">
        <f t="shared" si="15"/>
        <v>Хорошее</v>
      </c>
    </row>
    <row r="59" spans="1:15" ht="15" customHeight="1" x14ac:dyDescent="0.15">
      <c r="A59" s="191" t="s">
        <v>776</v>
      </c>
      <c r="B59" s="106"/>
      <c r="C59" s="216">
        <v>1</v>
      </c>
      <c r="D59" s="216">
        <v>1</v>
      </c>
      <c r="E59" s="216">
        <v>1</v>
      </c>
      <c r="F59" s="216">
        <v>1</v>
      </c>
      <c r="G59" s="242">
        <f>F59</f>
        <v>1</v>
      </c>
      <c r="H59" s="242">
        <v>1</v>
      </c>
      <c r="I59" s="242">
        <f>H59</f>
        <v>1</v>
      </c>
      <c r="K59" s="186">
        <f>C59-1</f>
        <v>0</v>
      </c>
      <c r="L59" s="186">
        <f>D59-1</f>
        <v>0</v>
      </c>
      <c r="M59" s="186">
        <f>E59-1</f>
        <v>0</v>
      </c>
      <c r="N59" s="186">
        <f>F59-1</f>
        <v>0</v>
      </c>
      <c r="O59" s="186">
        <f>G59-1</f>
        <v>0</v>
      </c>
    </row>
    <row r="60" spans="1:15" ht="15" customHeight="1" x14ac:dyDescent="0.15">
      <c r="A60" s="191" t="s">
        <v>786</v>
      </c>
      <c r="B60" s="105"/>
      <c r="C60" s="54" t="e">
        <f t="shared" ref="C60:I60" si="16">C57*C59</f>
        <v>#DIV/0!</v>
      </c>
      <c r="D60" s="54" t="e">
        <f t="shared" si="16"/>
        <v>#DIV/0!</v>
      </c>
      <c r="E60" s="54" t="e">
        <f t="shared" si="16"/>
        <v>#DIV/0!</v>
      </c>
      <c r="F60" s="54" t="e">
        <f t="shared" si="16"/>
        <v>#DIV/0!</v>
      </c>
      <c r="G60" s="240">
        <f t="shared" si="16"/>
        <v>0</v>
      </c>
      <c r="H60" s="240">
        <f t="shared" si="16"/>
        <v>0</v>
      </c>
      <c r="I60" s="240">
        <f t="shared" si="16"/>
        <v>0</v>
      </c>
    </row>
    <row r="61" spans="1:15" ht="15" customHeight="1" x14ac:dyDescent="0.15">
      <c r="A61" s="222" t="s">
        <v>245</v>
      </c>
      <c r="B61" s="223" t="str">
        <f t="shared" ref="B61:G61" si="17">B21</f>
        <v xml:space="preserve"> / </v>
      </c>
      <c r="C61" s="223">
        <f t="shared" si="17"/>
        <v>0</v>
      </c>
      <c r="D61" s="223">
        <f>D21</f>
        <v>0</v>
      </c>
      <c r="E61" s="223">
        <f t="shared" si="17"/>
        <v>0</v>
      </c>
      <c r="F61" s="223">
        <f>F21</f>
        <v>0</v>
      </c>
      <c r="G61" s="244" t="str">
        <f t="shared" si="17"/>
        <v>5/5</v>
      </c>
      <c r="H61" s="244" t="str">
        <f>H21</f>
        <v>5/5</v>
      </c>
      <c r="I61" s="244" t="str">
        <f>I21</f>
        <v>5/5</v>
      </c>
    </row>
    <row r="62" spans="1:15" ht="15" customHeight="1" x14ac:dyDescent="0.15">
      <c r="A62" s="191" t="s">
        <v>777</v>
      </c>
      <c r="B62" s="106"/>
      <c r="C62" s="216">
        <v>1</v>
      </c>
      <c r="D62" s="216">
        <v>1</v>
      </c>
      <c r="E62" s="216">
        <v>1</v>
      </c>
      <c r="F62" s="216">
        <f>1/0.95</f>
        <v>1.0526315789473684</v>
      </c>
      <c r="G62" s="242">
        <v>1</v>
      </c>
      <c r="H62" s="242">
        <v>1</v>
      </c>
      <c r="I62" s="242">
        <f>H62</f>
        <v>1</v>
      </c>
      <c r="K62" s="186">
        <f>C62-1</f>
        <v>0</v>
      </c>
      <c r="L62" s="186">
        <f>D62-1</f>
        <v>0</v>
      </c>
      <c r="M62" s="186">
        <f>E62-1</f>
        <v>0</v>
      </c>
      <c r="N62" s="186">
        <f>F62-1</f>
        <v>5.2631578947368363E-2</v>
      </c>
      <c r="O62" s="186">
        <f>G62-1</f>
        <v>0</v>
      </c>
    </row>
    <row r="63" spans="1:15" ht="15" customHeight="1" x14ac:dyDescent="0.15">
      <c r="A63" s="191" t="s">
        <v>786</v>
      </c>
      <c r="B63" s="105"/>
      <c r="C63" s="54" t="e">
        <f t="shared" ref="C63:I63" si="18">C60*C62</f>
        <v>#DIV/0!</v>
      </c>
      <c r="D63" s="54" t="e">
        <f t="shared" si="18"/>
        <v>#DIV/0!</v>
      </c>
      <c r="E63" s="54" t="e">
        <f t="shared" si="18"/>
        <v>#DIV/0!</v>
      </c>
      <c r="F63" s="54" t="e">
        <f t="shared" si="18"/>
        <v>#DIV/0!</v>
      </c>
      <c r="G63" s="240">
        <f t="shared" si="18"/>
        <v>0</v>
      </c>
      <c r="H63" s="240">
        <f t="shared" si="18"/>
        <v>0</v>
      </c>
      <c r="I63" s="240">
        <f t="shared" si="18"/>
        <v>0</v>
      </c>
    </row>
    <row r="64" spans="1:15" ht="15" customHeight="1" x14ac:dyDescent="0.15">
      <c r="A64" s="224" t="s">
        <v>87</v>
      </c>
      <c r="B64" s="203">
        <f t="shared" ref="B64:G64" si="19">B5</f>
        <v>0</v>
      </c>
      <c r="C64" s="203">
        <f t="shared" si="19"/>
        <v>0</v>
      </c>
      <c r="D64" s="203">
        <f>D5</f>
        <v>0</v>
      </c>
      <c r="E64" s="203">
        <f t="shared" si="19"/>
        <v>0</v>
      </c>
      <c r="F64" s="203">
        <f t="shared" si="19"/>
        <v>0</v>
      </c>
      <c r="G64" s="229">
        <f t="shared" si="19"/>
        <v>0</v>
      </c>
      <c r="H64" s="229" t="str">
        <f>H5</f>
        <v>студия</v>
      </c>
      <c r="I64" s="229">
        <f>I5</f>
        <v>2</v>
      </c>
    </row>
    <row r="65" spans="1:21" ht="15" customHeight="1" x14ac:dyDescent="0.15">
      <c r="A65" s="191" t="s">
        <v>778</v>
      </c>
      <c r="B65" s="106"/>
      <c r="C65" s="216">
        <v>1</v>
      </c>
      <c r="D65" s="216">
        <v>1</v>
      </c>
      <c r="E65" s="216">
        <v>1</v>
      </c>
      <c r="F65" s="216">
        <v>1.01</v>
      </c>
      <c r="G65" s="242">
        <f>F65</f>
        <v>1.01</v>
      </c>
      <c r="H65" s="242">
        <v>1</v>
      </c>
      <c r="I65" s="242">
        <f>H65</f>
        <v>1</v>
      </c>
      <c r="K65" s="186">
        <f>C65-1</f>
        <v>0</v>
      </c>
      <c r="L65" s="186">
        <f>D65-1</f>
        <v>0</v>
      </c>
      <c r="M65" s="186">
        <f>E65-1</f>
        <v>0</v>
      </c>
      <c r="N65" s="186">
        <f>F65-1</f>
        <v>1.0000000000000009E-2</v>
      </c>
      <c r="O65" s="186">
        <f>G65-1</f>
        <v>1.0000000000000009E-2</v>
      </c>
    </row>
    <row r="66" spans="1:21" ht="15" customHeight="1" x14ac:dyDescent="0.15">
      <c r="A66" s="191" t="s">
        <v>786</v>
      </c>
      <c r="B66" s="105"/>
      <c r="C66" s="54" t="e">
        <f t="shared" ref="C66:I66" si="20">C63*C65</f>
        <v>#DIV/0!</v>
      </c>
      <c r="D66" s="54" t="e">
        <f t="shared" si="20"/>
        <v>#DIV/0!</v>
      </c>
      <c r="E66" s="54" t="e">
        <f t="shared" si="20"/>
        <v>#DIV/0!</v>
      </c>
      <c r="F66" s="54" t="e">
        <f t="shared" si="20"/>
        <v>#DIV/0!</v>
      </c>
      <c r="G66" s="240">
        <f t="shared" si="20"/>
        <v>0</v>
      </c>
      <c r="H66" s="240">
        <f t="shared" si="20"/>
        <v>0</v>
      </c>
      <c r="I66" s="240">
        <f t="shared" si="20"/>
        <v>0</v>
      </c>
    </row>
    <row r="67" spans="1:21" ht="15" customHeight="1" x14ac:dyDescent="0.15">
      <c r="A67" s="224" t="s">
        <v>742</v>
      </c>
      <c r="B67" s="220">
        <f t="shared" ref="B67:G67" si="21">B11</f>
        <v>0</v>
      </c>
      <c r="C67" s="220">
        <f t="shared" si="21"/>
        <v>0</v>
      </c>
      <c r="D67" s="220">
        <f>D11</f>
        <v>0</v>
      </c>
      <c r="E67" s="220">
        <f t="shared" si="21"/>
        <v>0</v>
      </c>
      <c r="F67" s="220">
        <f>F11</f>
        <v>0</v>
      </c>
      <c r="G67" s="245">
        <f t="shared" si="21"/>
        <v>38</v>
      </c>
      <c r="H67" s="245">
        <f>H11</f>
        <v>28.2</v>
      </c>
      <c r="I67" s="245">
        <f>I11</f>
        <v>56.5</v>
      </c>
    </row>
    <row r="68" spans="1:21" ht="15" customHeight="1" outlineLevel="1" x14ac:dyDescent="0.15">
      <c r="A68" s="191" t="s">
        <v>779</v>
      </c>
      <c r="B68" s="106"/>
      <c r="C68" s="216">
        <v>1</v>
      </c>
      <c r="D68" s="216">
        <v>1</v>
      </c>
      <c r="E68" s="216">
        <v>1</v>
      </c>
      <c r="F68" s="216">
        <v>1</v>
      </c>
      <c r="G68" s="242">
        <v>1</v>
      </c>
      <c r="H68" s="242">
        <v>1</v>
      </c>
      <c r="I68" s="242">
        <v>1</v>
      </c>
      <c r="K68" s="8">
        <f>C68-1</f>
        <v>0</v>
      </c>
      <c r="L68" s="8">
        <f>D68-1</f>
        <v>0</v>
      </c>
      <c r="M68" s="8">
        <f>E68-1</f>
        <v>0</v>
      </c>
      <c r="N68" s="8">
        <f>F68-1</f>
        <v>0</v>
      </c>
      <c r="O68" s="8">
        <f>G68-1</f>
        <v>0</v>
      </c>
      <c r="Q68" s="1">
        <f>C56*C8</f>
        <v>0</v>
      </c>
      <c r="R68" s="1">
        <f>D56*D8</f>
        <v>0</v>
      </c>
      <c r="S68" s="1">
        <f>E56*E8</f>
        <v>0</v>
      </c>
      <c r="T68" s="1">
        <f>F56*F8</f>
        <v>0</v>
      </c>
      <c r="U68" s="1">
        <f>G56*G8</f>
        <v>0</v>
      </c>
    </row>
    <row r="69" spans="1:21" ht="33.75" customHeight="1" outlineLevel="1" x14ac:dyDescent="0.15">
      <c r="A69" s="11" t="s">
        <v>812</v>
      </c>
      <c r="B69" s="216" t="e">
        <f>1.757*B67^(-0.166)</f>
        <v>#DIV/0!</v>
      </c>
      <c r="C69" s="216" t="e">
        <f>1.757*C67^(-0.166)</f>
        <v>#DIV/0!</v>
      </c>
      <c r="D69" s="216" t="e">
        <f>1.757*D67^(-0.166)</f>
        <v>#DIV/0!</v>
      </c>
      <c r="E69" s="216" t="e">
        <f>1.757*E67^(-0.166)</f>
        <v>#DIV/0!</v>
      </c>
      <c r="F69" s="216" t="e">
        <f>1.757*F67^(-0.166)</f>
        <v>#DIV/0!</v>
      </c>
      <c r="G69" s="242"/>
      <c r="H69" s="242"/>
      <c r="I69" s="242"/>
      <c r="K69" s="8"/>
      <c r="L69" s="8"/>
      <c r="M69" s="8"/>
      <c r="N69" s="8"/>
      <c r="O69" s="8"/>
    </row>
    <row r="70" spans="1:21" ht="15" customHeight="1" x14ac:dyDescent="0.15">
      <c r="A70" s="191" t="s">
        <v>779</v>
      </c>
      <c r="B70" s="216"/>
      <c r="C70" s="216" t="e">
        <f>B69/C69</f>
        <v>#DIV/0!</v>
      </c>
      <c r="D70" s="216" t="e">
        <f>B69/D69</f>
        <v>#DIV/0!</v>
      </c>
      <c r="E70" s="216" t="e">
        <f>B69/E69</f>
        <v>#DIV/0!</v>
      </c>
      <c r="F70" s="216" t="e">
        <f>B69/F69</f>
        <v>#DIV/0!</v>
      </c>
      <c r="G70" s="242" t="e">
        <f>F70</f>
        <v>#DIV/0!</v>
      </c>
      <c r="H70" s="242">
        <v>1</v>
      </c>
      <c r="I70" s="242">
        <f>H70</f>
        <v>1</v>
      </c>
      <c r="K70" s="186" t="e">
        <f>C70-1</f>
        <v>#DIV/0!</v>
      </c>
      <c r="L70" s="186" t="e">
        <f>D70-1</f>
        <v>#DIV/0!</v>
      </c>
      <c r="M70" s="186" t="e">
        <f>E70-1</f>
        <v>#DIV/0!</v>
      </c>
      <c r="N70" s="186" t="e">
        <f>F70-1</f>
        <v>#DIV/0!</v>
      </c>
      <c r="O70" s="186" t="e">
        <f>G70-1</f>
        <v>#DIV/0!</v>
      </c>
    </row>
    <row r="71" spans="1:21" ht="15" customHeight="1" x14ac:dyDescent="0.15">
      <c r="A71" s="191" t="s">
        <v>786</v>
      </c>
      <c r="B71" s="105"/>
      <c r="C71" s="54" t="e">
        <f>C66*C70</f>
        <v>#DIV/0!</v>
      </c>
      <c r="D71" s="54" t="e">
        <f t="shared" ref="D71:I71" si="22">D66*D70</f>
        <v>#DIV/0!</v>
      </c>
      <c r="E71" s="54" t="e">
        <f t="shared" si="22"/>
        <v>#DIV/0!</v>
      </c>
      <c r="F71" s="54" t="e">
        <f t="shared" si="22"/>
        <v>#DIV/0!</v>
      </c>
      <c r="G71" s="54" t="e">
        <f t="shared" si="22"/>
        <v>#DIV/0!</v>
      </c>
      <c r="H71" s="54">
        <f t="shared" si="22"/>
        <v>0</v>
      </c>
      <c r="I71" s="54">
        <f t="shared" si="22"/>
        <v>0</v>
      </c>
    </row>
    <row r="72" spans="1:21" ht="23.25" customHeight="1" x14ac:dyDescent="0.15">
      <c r="A72" s="222" t="s">
        <v>743</v>
      </c>
      <c r="B72" s="203">
        <f t="shared" ref="B72:I72" si="23">B22</f>
        <v>0</v>
      </c>
      <c r="C72" s="203">
        <f t="shared" si="23"/>
        <v>0</v>
      </c>
      <c r="D72" s="203">
        <f t="shared" si="23"/>
        <v>0</v>
      </c>
      <c r="E72" s="203">
        <f t="shared" si="23"/>
        <v>0</v>
      </c>
      <c r="F72" s="203">
        <f t="shared" si="23"/>
        <v>0</v>
      </c>
      <c r="G72" s="229" t="str">
        <f t="shared" si="23"/>
        <v>Во двор, на улицу</v>
      </c>
      <c r="H72" s="229" t="str">
        <f t="shared" si="23"/>
        <v>Во двор</v>
      </c>
      <c r="I72" s="229" t="str">
        <f t="shared" si="23"/>
        <v>Во двор</v>
      </c>
    </row>
    <row r="73" spans="1:21" ht="15" customHeight="1" x14ac:dyDescent="0.15">
      <c r="A73" s="191" t="s">
        <v>780</v>
      </c>
      <c r="B73" s="106"/>
      <c r="C73" s="216">
        <v>1</v>
      </c>
      <c r="D73" s="216">
        <v>1</v>
      </c>
      <c r="E73" s="216">
        <v>1</v>
      </c>
      <c r="F73" s="216">
        <v>1</v>
      </c>
      <c r="G73" s="242">
        <f>F73</f>
        <v>1</v>
      </c>
      <c r="H73" s="242">
        <v>1</v>
      </c>
      <c r="I73" s="242">
        <f>H73</f>
        <v>1</v>
      </c>
      <c r="K73" s="186">
        <f>C73-1</f>
        <v>0</v>
      </c>
      <c r="L73" s="186">
        <f>D73-1</f>
        <v>0</v>
      </c>
      <c r="M73" s="186">
        <f>E73-1</f>
        <v>0</v>
      </c>
      <c r="N73" s="186">
        <f>F73-1</f>
        <v>0</v>
      </c>
      <c r="O73" s="186">
        <f>G73-1</f>
        <v>0</v>
      </c>
    </row>
    <row r="74" spans="1:21" ht="15" customHeight="1" x14ac:dyDescent="0.15">
      <c r="A74" s="191" t="s">
        <v>786</v>
      </c>
      <c r="B74" s="105"/>
      <c r="C74" s="54" t="e">
        <f t="shared" ref="C74:I74" si="24">C71*C73</f>
        <v>#DIV/0!</v>
      </c>
      <c r="D74" s="54" t="e">
        <f t="shared" si="24"/>
        <v>#DIV/0!</v>
      </c>
      <c r="E74" s="54" t="e">
        <f t="shared" si="24"/>
        <v>#DIV/0!</v>
      </c>
      <c r="F74" s="54" t="e">
        <f t="shared" si="24"/>
        <v>#DIV/0!</v>
      </c>
      <c r="G74" s="240" t="e">
        <f t="shared" si="24"/>
        <v>#DIV/0!</v>
      </c>
      <c r="H74" s="240">
        <f t="shared" si="24"/>
        <v>0</v>
      </c>
      <c r="I74" s="240">
        <f t="shared" si="24"/>
        <v>0</v>
      </c>
    </row>
    <row r="75" spans="1:21" ht="15" customHeight="1" x14ac:dyDescent="0.15">
      <c r="A75" s="222" t="s">
        <v>246</v>
      </c>
      <c r="B75" s="203">
        <f t="shared" ref="B75:I75" si="25">B23</f>
        <v>0</v>
      </c>
      <c r="C75" s="203">
        <f t="shared" si="25"/>
        <v>0</v>
      </c>
      <c r="D75" s="203">
        <f t="shared" si="25"/>
        <v>0</v>
      </c>
      <c r="E75" s="203">
        <f t="shared" si="25"/>
        <v>0</v>
      </c>
      <c r="F75" s="203">
        <f t="shared" si="25"/>
        <v>0</v>
      </c>
      <c r="G75" s="229" t="str">
        <f t="shared" si="25"/>
        <v>Балкон</v>
      </c>
      <c r="H75" s="229">
        <f t="shared" si="25"/>
        <v>0</v>
      </c>
      <c r="I75" s="229">
        <f t="shared" si="25"/>
        <v>0</v>
      </c>
    </row>
    <row r="76" spans="1:21" ht="15" customHeight="1" x14ac:dyDescent="0.15">
      <c r="A76" s="191" t="s">
        <v>781</v>
      </c>
      <c r="B76" s="106"/>
      <c r="C76" s="216">
        <v>1</v>
      </c>
      <c r="D76" s="216">
        <v>1</v>
      </c>
      <c r="E76" s="216">
        <v>1</v>
      </c>
      <c r="F76" s="216">
        <v>1</v>
      </c>
      <c r="G76" s="242">
        <f>F76</f>
        <v>1</v>
      </c>
      <c r="H76" s="242">
        <v>1</v>
      </c>
      <c r="I76" s="242">
        <f>H76</f>
        <v>1</v>
      </c>
      <c r="K76" s="186">
        <f>C76-1</f>
        <v>0</v>
      </c>
      <c r="L76" s="186">
        <f>D76-1</f>
        <v>0</v>
      </c>
      <c r="M76" s="186">
        <f>E76-1</f>
        <v>0</v>
      </c>
      <c r="N76" s="186">
        <f>F76-1</f>
        <v>0</v>
      </c>
      <c r="O76" s="186">
        <f>G76-1</f>
        <v>0</v>
      </c>
    </row>
    <row r="77" spans="1:21" ht="15" customHeight="1" x14ac:dyDescent="0.15">
      <c r="A77" s="191" t="s">
        <v>786</v>
      </c>
      <c r="B77" s="105"/>
      <c r="C77" s="54" t="e">
        <f t="shared" ref="C77:I77" si="26">C74*C76</f>
        <v>#DIV/0!</v>
      </c>
      <c r="D77" s="54" t="e">
        <f t="shared" si="26"/>
        <v>#DIV/0!</v>
      </c>
      <c r="E77" s="54" t="e">
        <f t="shared" si="26"/>
        <v>#DIV/0!</v>
      </c>
      <c r="F77" s="54" t="e">
        <f t="shared" si="26"/>
        <v>#DIV/0!</v>
      </c>
      <c r="G77" s="240" t="e">
        <f t="shared" si="26"/>
        <v>#DIV/0!</v>
      </c>
      <c r="H77" s="240">
        <f t="shared" si="26"/>
        <v>0</v>
      </c>
      <c r="I77" s="240">
        <f t="shared" si="26"/>
        <v>0</v>
      </c>
    </row>
    <row r="78" spans="1:21" ht="15" customHeight="1" x14ac:dyDescent="0.15">
      <c r="A78" s="222" t="str">
        <f t="shared" ref="A78:I78" si="27">A24</f>
        <v>Тип санузла</v>
      </c>
      <c r="B78" s="203">
        <f t="shared" si="27"/>
        <v>0</v>
      </c>
      <c r="C78" s="203">
        <f t="shared" si="27"/>
        <v>0</v>
      </c>
      <c r="D78" s="203">
        <f t="shared" si="27"/>
        <v>0</v>
      </c>
      <c r="E78" s="203">
        <f t="shared" si="27"/>
        <v>0</v>
      </c>
      <c r="F78" s="203">
        <f t="shared" si="27"/>
        <v>0</v>
      </c>
      <c r="G78" s="229" t="str">
        <f t="shared" si="27"/>
        <v>Совмещенный</v>
      </c>
      <c r="H78" s="229" t="str">
        <f t="shared" si="27"/>
        <v>Совмещенный</v>
      </c>
      <c r="I78" s="229" t="str">
        <f t="shared" si="27"/>
        <v>Совмещенный</v>
      </c>
    </row>
    <row r="79" spans="1:21" ht="15" customHeight="1" x14ac:dyDescent="0.15">
      <c r="A79" s="191" t="s">
        <v>782</v>
      </c>
      <c r="B79" s="106"/>
      <c r="C79" s="216">
        <v>1</v>
      </c>
      <c r="D79" s="216">
        <v>1</v>
      </c>
      <c r="E79" s="216">
        <v>1</v>
      </c>
      <c r="F79" s="216">
        <v>1</v>
      </c>
      <c r="G79" s="242">
        <v>1</v>
      </c>
      <c r="H79" s="242">
        <v>1</v>
      </c>
      <c r="I79" s="242">
        <f>H79</f>
        <v>1</v>
      </c>
      <c r="K79" s="186">
        <f>C79-1</f>
        <v>0</v>
      </c>
      <c r="L79" s="186">
        <f>D79-1</f>
        <v>0</v>
      </c>
      <c r="M79" s="186">
        <f>E79-1</f>
        <v>0</v>
      </c>
      <c r="N79" s="186">
        <f>F79-1</f>
        <v>0</v>
      </c>
      <c r="O79" s="186">
        <f>G79-1</f>
        <v>0</v>
      </c>
    </row>
    <row r="80" spans="1:21" ht="14.1" customHeight="1" x14ac:dyDescent="0.15">
      <c r="A80" s="191" t="s">
        <v>786</v>
      </c>
      <c r="B80" s="105"/>
      <c r="C80" s="54" t="e">
        <f t="shared" ref="C80:I80" si="28">C77*C79</f>
        <v>#DIV/0!</v>
      </c>
      <c r="D80" s="54" t="e">
        <f t="shared" si="28"/>
        <v>#DIV/0!</v>
      </c>
      <c r="E80" s="54" t="e">
        <f t="shared" si="28"/>
        <v>#DIV/0!</v>
      </c>
      <c r="F80" s="54" t="e">
        <f t="shared" si="28"/>
        <v>#DIV/0!</v>
      </c>
      <c r="G80" s="240" t="e">
        <f t="shared" si="28"/>
        <v>#DIV/0!</v>
      </c>
      <c r="H80" s="240">
        <f t="shared" si="28"/>
        <v>0</v>
      </c>
      <c r="I80" s="240">
        <f t="shared" si="28"/>
        <v>0</v>
      </c>
    </row>
    <row r="81" spans="1:15" ht="25.5" customHeight="1" outlineLevel="1" x14ac:dyDescent="0.15">
      <c r="A81" s="222" t="s">
        <v>731</v>
      </c>
      <c r="B81" s="203" t="str">
        <f t="shared" ref="B81:I81" si="29">B25</f>
        <v>ремонт не требуется</v>
      </c>
      <c r="C81" s="203">
        <f t="shared" si="29"/>
        <v>0</v>
      </c>
      <c r="D81" s="203">
        <f t="shared" si="29"/>
        <v>0</v>
      </c>
      <c r="E81" s="203">
        <f t="shared" si="29"/>
        <v>0</v>
      </c>
      <c r="F81" s="203">
        <f t="shared" si="29"/>
        <v>0</v>
      </c>
      <c r="G81" s="229" t="str">
        <f t="shared" si="29"/>
        <v>Ремонт не требуется</v>
      </c>
      <c r="H81" s="229" t="str">
        <f t="shared" si="29"/>
        <v>Ремонт не требуется</v>
      </c>
      <c r="I81" s="229" t="str">
        <f t="shared" si="29"/>
        <v>Ремонт не требуется</v>
      </c>
    </row>
    <row r="82" spans="1:15" ht="14.1" customHeight="1" outlineLevel="1" x14ac:dyDescent="0.15">
      <c r="A82" s="191" t="s">
        <v>783</v>
      </c>
      <c r="B82" s="106"/>
      <c r="C82" s="216">
        <v>1</v>
      </c>
      <c r="D82" s="216">
        <v>1</v>
      </c>
      <c r="E82" s="216">
        <v>1</v>
      </c>
      <c r="F82" s="216">
        <v>1</v>
      </c>
      <c r="G82" s="242">
        <v>1</v>
      </c>
      <c r="H82" s="242">
        <v>1</v>
      </c>
      <c r="I82" s="242">
        <v>1</v>
      </c>
      <c r="K82" s="186">
        <f>C82-1</f>
        <v>0</v>
      </c>
      <c r="L82" s="186">
        <f>D82-1</f>
        <v>0</v>
      </c>
      <c r="M82" s="186">
        <f>E82-1</f>
        <v>0</v>
      </c>
      <c r="N82" s="186">
        <f>F82-1</f>
        <v>0</v>
      </c>
      <c r="O82" s="186">
        <f>G82-1</f>
        <v>0</v>
      </c>
    </row>
    <row r="83" spans="1:15" ht="14.1" customHeight="1" outlineLevel="1" x14ac:dyDescent="0.15">
      <c r="A83" s="191" t="s">
        <v>786</v>
      </c>
      <c r="B83" s="105"/>
      <c r="C83" s="54" t="e">
        <f t="shared" ref="C83:I83" si="30">C80*C82</f>
        <v>#DIV/0!</v>
      </c>
      <c r="D83" s="54" t="e">
        <f t="shared" si="30"/>
        <v>#DIV/0!</v>
      </c>
      <c r="E83" s="54" t="e">
        <f t="shared" si="30"/>
        <v>#DIV/0!</v>
      </c>
      <c r="F83" s="54" t="e">
        <f t="shared" si="30"/>
        <v>#DIV/0!</v>
      </c>
      <c r="G83" s="240" t="e">
        <f t="shared" si="30"/>
        <v>#DIV/0!</v>
      </c>
      <c r="H83" s="240">
        <f t="shared" si="30"/>
        <v>0</v>
      </c>
      <c r="I83" s="240">
        <f t="shared" si="30"/>
        <v>0</v>
      </c>
    </row>
    <row r="84" spans="1:15" ht="31.5" customHeight="1" x14ac:dyDescent="0.15">
      <c r="A84" s="222" t="str">
        <f t="shared" ref="A84:I84" si="31">A26</f>
        <v>Состояние отделки (тип ремонта)</v>
      </c>
      <c r="B84" s="203">
        <f t="shared" si="31"/>
        <v>0</v>
      </c>
      <c r="C84" s="203">
        <f t="shared" si="31"/>
        <v>0</v>
      </c>
      <c r="D84" s="203">
        <f>D26</f>
        <v>0</v>
      </c>
      <c r="E84" s="203">
        <f t="shared" si="31"/>
        <v>0</v>
      </c>
      <c r="F84" s="203">
        <f t="shared" si="31"/>
        <v>0</v>
      </c>
      <c r="G84" s="229" t="str">
        <f t="shared" si="31"/>
        <v>Современный</v>
      </c>
      <c r="H84" s="229" t="str">
        <f t="shared" si="31"/>
        <v>Современный</v>
      </c>
      <c r="I84" s="229" t="str">
        <f t="shared" si="31"/>
        <v>Без отделки</v>
      </c>
    </row>
    <row r="85" spans="1:15" ht="14.1" customHeight="1" x14ac:dyDescent="0.15">
      <c r="A85" s="191" t="s">
        <v>808</v>
      </c>
      <c r="B85" s="106"/>
      <c r="C85" s="263">
        <v>0</v>
      </c>
      <c r="D85" s="263">
        <v>0</v>
      </c>
      <c r="E85" s="263">
        <f>C85</f>
        <v>0</v>
      </c>
      <c r="F85" s="263">
        <f>5700/2</f>
        <v>2850</v>
      </c>
      <c r="G85" s="242">
        <v>1</v>
      </c>
      <c r="H85" s="242">
        <v>1</v>
      </c>
      <c r="I85" s="242">
        <v>1</v>
      </c>
      <c r="K85" s="186">
        <f>C85</f>
        <v>0</v>
      </c>
      <c r="L85" s="186">
        <f>D85</f>
        <v>0</v>
      </c>
      <c r="M85" s="186">
        <f>E85</f>
        <v>0</v>
      </c>
      <c r="N85" s="186">
        <f>F85-1</f>
        <v>2849</v>
      </c>
      <c r="O85" s="186">
        <f>G85-1</f>
        <v>0</v>
      </c>
    </row>
    <row r="86" spans="1:15" ht="14.1" customHeight="1" x14ac:dyDescent="0.15">
      <c r="A86" s="191" t="s">
        <v>786</v>
      </c>
      <c r="B86" s="105"/>
      <c r="C86" s="54" t="e">
        <f>C83+C85</f>
        <v>#DIV/0!</v>
      </c>
      <c r="D86" s="54" t="e">
        <f>D83+D85</f>
        <v>#DIV/0!</v>
      </c>
      <c r="E86" s="54" t="e">
        <f>E83+E85</f>
        <v>#DIV/0!</v>
      </c>
      <c r="F86" s="54" t="e">
        <f>F83+F85</f>
        <v>#DIV/0!</v>
      </c>
      <c r="G86" s="240" t="e">
        <f>G83*G85</f>
        <v>#DIV/0!</v>
      </c>
      <c r="H86" s="240">
        <f>H83*H85</f>
        <v>0</v>
      </c>
      <c r="I86" s="240">
        <f>I83*I85</f>
        <v>0</v>
      </c>
    </row>
    <row r="87" spans="1:15" ht="24" customHeight="1" x14ac:dyDescent="0.15">
      <c r="A87" s="222" t="str">
        <f t="shared" ref="A87:I87" si="32">A27</f>
        <v>Наличие мебели и техники</v>
      </c>
      <c r="B87" s="203">
        <f t="shared" si="32"/>
        <v>0</v>
      </c>
      <c r="C87" s="203">
        <f t="shared" si="32"/>
        <v>0</v>
      </c>
      <c r="D87" s="203">
        <f t="shared" si="32"/>
        <v>0</v>
      </c>
      <c r="E87" s="203">
        <f t="shared" si="32"/>
        <v>0</v>
      </c>
      <c r="F87" s="203">
        <f>E87</f>
        <v>0</v>
      </c>
      <c r="G87" s="229" t="str">
        <f t="shared" si="32"/>
        <v>С учетом мебели и техники</v>
      </c>
      <c r="H87" s="229" t="str">
        <f t="shared" si="32"/>
        <v>Без учета мебели и техники</v>
      </c>
      <c r="I87" s="229" t="str">
        <f t="shared" si="32"/>
        <v>Без учета мебели и техники</v>
      </c>
    </row>
    <row r="88" spans="1:15" ht="14.1" customHeight="1" x14ac:dyDescent="0.15">
      <c r="A88" s="191" t="s">
        <v>784</v>
      </c>
      <c r="B88" s="106"/>
      <c r="C88" s="216">
        <f>1/1.02</f>
        <v>0.98039215686274506</v>
      </c>
      <c r="D88" s="216">
        <f>1/1.02</f>
        <v>0.98039215686274506</v>
      </c>
      <c r="E88" s="216">
        <v>1</v>
      </c>
      <c r="F88" s="216">
        <v>1</v>
      </c>
      <c r="G88" s="242">
        <v>1</v>
      </c>
      <c r="H88" s="242">
        <v>1</v>
      </c>
      <c r="I88" s="242">
        <v>1</v>
      </c>
      <c r="K88" s="186">
        <f>C88-1</f>
        <v>-1.9607843137254943E-2</v>
      </c>
      <c r="L88" s="186">
        <f>D88-1</f>
        <v>-1.9607843137254943E-2</v>
      </c>
      <c r="M88" s="186">
        <f>E88-1</f>
        <v>0</v>
      </c>
      <c r="N88" s="186">
        <f>F88-1</f>
        <v>0</v>
      </c>
      <c r="O88" s="186">
        <f>G88-1</f>
        <v>0</v>
      </c>
    </row>
    <row r="89" spans="1:15" ht="14.1" customHeight="1" x14ac:dyDescent="0.15">
      <c r="A89" s="191" t="s">
        <v>786</v>
      </c>
      <c r="B89" s="105"/>
      <c r="C89" s="54" t="e">
        <f t="shared" ref="C89:I89" si="33">C86*C88</f>
        <v>#DIV/0!</v>
      </c>
      <c r="D89" s="54" t="e">
        <f t="shared" si="33"/>
        <v>#DIV/0!</v>
      </c>
      <c r="E89" s="54" t="e">
        <f t="shared" si="33"/>
        <v>#DIV/0!</v>
      </c>
      <c r="F89" s="54" t="e">
        <f t="shared" si="33"/>
        <v>#DIV/0!</v>
      </c>
      <c r="G89" s="240" t="e">
        <f t="shared" si="33"/>
        <v>#DIV/0!</v>
      </c>
      <c r="H89" s="240">
        <f t="shared" si="33"/>
        <v>0</v>
      </c>
      <c r="I89" s="240">
        <f t="shared" si="33"/>
        <v>0</v>
      </c>
    </row>
    <row r="90" spans="1:15" ht="14.1" customHeight="1" x14ac:dyDescent="0.15">
      <c r="A90" s="11" t="s">
        <v>154</v>
      </c>
      <c r="B90" s="107"/>
      <c r="C90" s="20">
        <f>K90</f>
        <v>2</v>
      </c>
      <c r="D90" s="20">
        <f>L90</f>
        <v>2</v>
      </c>
      <c r="E90" s="20">
        <f>M90</f>
        <v>1</v>
      </c>
      <c r="F90" s="20">
        <f>N90</f>
        <v>4</v>
      </c>
      <c r="G90" s="235">
        <f>O90</f>
        <v>2</v>
      </c>
      <c r="H90" s="235">
        <f>P92</f>
        <v>0</v>
      </c>
      <c r="I90" s="235">
        <f>Q92</f>
        <v>0</v>
      </c>
      <c r="K90" s="186">
        <f>COUNT(K41:K89)-COUNTIF(K41:K89,0)</f>
        <v>2</v>
      </c>
      <c r="L90" s="186">
        <f>COUNT(L41:L89)-COUNTIF(L41:L89,0)</f>
        <v>2</v>
      </c>
      <c r="M90" s="186">
        <f>COUNT(M41:M89)-COUNTIF(M41:M89,0)</f>
        <v>1</v>
      </c>
      <c r="N90" s="186">
        <f>COUNT(N41:N89)-COUNTIF(N41:N89,0)</f>
        <v>4</v>
      </c>
      <c r="O90" s="186">
        <f>COUNT(O41:O89)-COUNTIF(O41:O89,0)</f>
        <v>2</v>
      </c>
    </row>
    <row r="91" spans="1:15" ht="15" customHeight="1" outlineLevel="1" x14ac:dyDescent="0.15">
      <c r="A91" s="11" t="s">
        <v>145</v>
      </c>
      <c r="B91" s="107"/>
      <c r="C91" s="21">
        <f>C90/SUM($C$90:$F$90)</f>
        <v>0.22222222222222221</v>
      </c>
      <c r="D91" s="21">
        <f>D90/SUM($C$90:$F$90)</f>
        <v>0.22222222222222221</v>
      </c>
      <c r="E91" s="21">
        <f>E90/SUM($C$90:$F$90)</f>
        <v>0.1111111111111111</v>
      </c>
      <c r="F91" s="21">
        <f>F90/SUM($C$90:$F$90)</f>
        <v>0.44444444444444442</v>
      </c>
      <c r="G91" s="231">
        <f>G90/SUM($C$90:$G$90)</f>
        <v>0.18181818181818182</v>
      </c>
      <c r="H91" s="231">
        <f>H90/SUM($C$90:$F$90)</f>
        <v>0</v>
      </c>
      <c r="I91" s="231">
        <f>I90/SUM($C$90:$F$90)</f>
        <v>0</v>
      </c>
      <c r="K91" s="8"/>
      <c r="L91" s="8"/>
      <c r="M91" s="8"/>
      <c r="N91" s="8"/>
      <c r="O91" s="8"/>
    </row>
    <row r="92" spans="1:15" ht="12.75" customHeight="1" outlineLevel="1" x14ac:dyDescent="0.15">
      <c r="A92" s="11"/>
      <c r="B92" s="107"/>
      <c r="C92" s="20">
        <f t="shared" ref="C92:I92" si="34">1/C91</f>
        <v>4.5</v>
      </c>
      <c r="D92" s="20">
        <f t="shared" si="34"/>
        <v>4.5</v>
      </c>
      <c r="E92" s="20">
        <f t="shared" si="34"/>
        <v>9</v>
      </c>
      <c r="F92" s="20">
        <f t="shared" si="34"/>
        <v>2.25</v>
      </c>
      <c r="G92" s="235">
        <f t="shared" si="34"/>
        <v>5.5</v>
      </c>
      <c r="H92" s="235" t="e">
        <f t="shared" si="34"/>
        <v>#DIV/0!</v>
      </c>
      <c r="I92" s="235" t="e">
        <f t="shared" si="34"/>
        <v>#DIV/0!</v>
      </c>
    </row>
    <row r="93" spans="1:15" ht="15" customHeight="1" x14ac:dyDescent="0.15">
      <c r="A93" s="191" t="s">
        <v>145</v>
      </c>
      <c r="B93" s="105"/>
      <c r="C93" s="217">
        <f>C92/SUM($C$92:$F$92)</f>
        <v>0.22222222222222221</v>
      </c>
      <c r="D93" s="217">
        <f>D92/SUM($C$92:$F$92)</f>
        <v>0.22222222222222221</v>
      </c>
      <c r="E93" s="217">
        <f>E92/SUM($C$92:$F$92)</f>
        <v>0.44444444444444442</v>
      </c>
      <c r="F93" s="217">
        <f>F92/SUM($C$92:$F$92)</f>
        <v>0.1111111111111111</v>
      </c>
      <c r="G93" s="242">
        <f>G92/SUM($C$92:$G$92)</f>
        <v>0.21359223300970873</v>
      </c>
      <c r="H93" s="242" t="e">
        <f>H92/SUM($C$92:$F$92)</f>
        <v>#DIV/0!</v>
      </c>
      <c r="I93" s="242" t="e">
        <f>I92/SUM($C$92:$F$92)</f>
        <v>#DIV/0!</v>
      </c>
      <c r="K93" s="8"/>
      <c r="L93" s="8"/>
      <c r="M93" s="8"/>
      <c r="N93" s="8"/>
      <c r="O93" s="8"/>
    </row>
    <row r="94" spans="1:15" ht="15" customHeight="1" x14ac:dyDescent="0.15">
      <c r="A94" s="191" t="s">
        <v>155</v>
      </c>
      <c r="B94" s="105"/>
      <c r="C94" s="54" t="e">
        <f t="shared" ref="C94:I94" si="35">C93*C89</f>
        <v>#DIV/0!</v>
      </c>
      <c r="D94" s="54" t="e">
        <f t="shared" si="35"/>
        <v>#DIV/0!</v>
      </c>
      <c r="E94" s="54" t="e">
        <f t="shared" si="35"/>
        <v>#DIV/0!</v>
      </c>
      <c r="F94" s="54" t="e">
        <f t="shared" si="35"/>
        <v>#DIV/0!</v>
      </c>
      <c r="G94" s="240" t="e">
        <f t="shared" si="35"/>
        <v>#DIV/0!</v>
      </c>
      <c r="H94" s="240" t="e">
        <f t="shared" si="35"/>
        <v>#DIV/0!</v>
      </c>
      <c r="I94" s="240" t="e">
        <f t="shared" si="35"/>
        <v>#DIV/0!</v>
      </c>
    </row>
    <row r="95" spans="1:15" ht="15" customHeight="1" x14ac:dyDescent="0.15">
      <c r="A95" s="11" t="s">
        <v>792</v>
      </c>
      <c r="B95" s="192" t="e">
        <f>ROUND(SUM(C94:F94),0)</f>
        <v>#DIV/0!</v>
      </c>
      <c r="C95" s="249" t="e">
        <f>IF((B95)&lt;=0,"Сумма прописью:_______________________________________",FirstLetter(CurText(B95)))</f>
        <v>#DIV/0!</v>
      </c>
      <c r="D95" s="193"/>
      <c r="E95" s="193"/>
      <c r="F95" s="194"/>
      <c r="G95" s="246"/>
      <c r="H95" s="246"/>
      <c r="I95" s="246"/>
    </row>
    <row r="96" spans="1:15" ht="15" customHeight="1" x14ac:dyDescent="0.15">
      <c r="A96" s="218" t="s">
        <v>793</v>
      </c>
      <c r="B96" s="197" t="e">
        <f>ROUND(B95*B11,-3)</f>
        <v>#DIV/0!</v>
      </c>
      <c r="C96" s="250" t="e">
        <f>IF((B96)&lt;=0,"Сумма прописью:_______________________________________",FirstLetter(CurText(B96)))</f>
        <v>#DIV/0!</v>
      </c>
      <c r="D96" s="198"/>
      <c r="E96" s="198"/>
      <c r="F96" s="199"/>
      <c r="G96" s="247"/>
      <c r="H96" s="247"/>
      <c r="I96" s="247"/>
    </row>
    <row r="97" spans="1:10" ht="15" hidden="1" customHeight="1" x14ac:dyDescent="0.15">
      <c r="A97" s="191" t="s">
        <v>367</v>
      </c>
      <c r="B97" s="192"/>
      <c r="C97" s="249"/>
      <c r="D97" s="193"/>
      <c r="E97" s="193"/>
      <c r="F97" s="194"/>
      <c r="G97" s="247"/>
      <c r="H97" s="247"/>
      <c r="I97" s="247" t="str">
        <f>IF((G93+F93+E93+D93+C93)=1,"","ошибка")</f>
        <v>ошибка</v>
      </c>
    </row>
    <row r="98" spans="1:10" ht="15" hidden="1" customHeight="1" x14ac:dyDescent="0.15">
      <c r="A98" s="222" t="s">
        <v>796</v>
      </c>
      <c r="B98" s="203" t="s">
        <v>229</v>
      </c>
      <c r="C98" s="251" t="s">
        <v>795</v>
      </c>
      <c r="D98" s="252"/>
      <c r="E98" s="252"/>
      <c r="F98" s="253"/>
      <c r="G98" s="247"/>
      <c r="H98" s="247"/>
      <c r="I98" s="247"/>
    </row>
    <row r="99" spans="1:10" ht="24.95" hidden="1" customHeight="1" x14ac:dyDescent="0.15">
      <c r="A99" s="99">
        <f>'Задание на оценку'!C53</f>
        <v>0</v>
      </c>
      <c r="B99" s="195">
        <f>'Задание на оценку'!C56</f>
        <v>0</v>
      </c>
      <c r="C99" s="192" t="e">
        <f>ROUND($B$96*B99,0)</f>
        <v>#DIV/0!</v>
      </c>
      <c r="D99" s="368" t="e">
        <f>IF((C99)&lt;=0,"Сумма прописью:_______________________________________",FirstLetter(CurText(C99)))</f>
        <v>#DIV/0!</v>
      </c>
      <c r="E99" s="368"/>
      <c r="F99" s="369"/>
      <c r="G99" s="247"/>
      <c r="H99" s="247"/>
      <c r="I99" s="247" t="e">
        <f>IF((C99)&lt;=0,"Сумма прописью:_______________________________________",FirstLetter(CurText(C99)))</f>
        <v>#DIV/0!</v>
      </c>
      <c r="J99" s="186">
        <f>B99</f>
        <v>0</v>
      </c>
    </row>
    <row r="100" spans="1:10" ht="24.95" hidden="1" customHeight="1" x14ac:dyDescent="0.15">
      <c r="A100" s="99">
        <f>'Задание на оценку'!C57</f>
        <v>0</v>
      </c>
      <c r="B100" s="195">
        <f>'Задание на оценку'!C60</f>
        <v>0</v>
      </c>
      <c r="C100" s="192" t="e">
        <f>ROUND($B$96*B100,0)</f>
        <v>#DIV/0!</v>
      </c>
      <c r="D100" s="368" t="e">
        <f>IF((C100)&lt;=0,"Сумма прописью:_______________________________________",FirstLetter(CurText(C100)))</f>
        <v>#DIV/0!</v>
      </c>
      <c r="E100" s="368"/>
      <c r="F100" s="369"/>
      <c r="G100" s="247"/>
      <c r="H100" s="247"/>
      <c r="I100" s="247" t="e">
        <f>IF((C100)&lt;=0,"Сумма прописью:_______________________________________",FirstLetter(CurText(C100)))</f>
        <v>#DIV/0!</v>
      </c>
      <c r="J100" s="186"/>
    </row>
    <row r="101" spans="1:10" ht="15" customHeight="1" outlineLevel="1" x14ac:dyDescent="0.15">
      <c r="A101" s="11">
        <f>'Задание на оценку'!C57</f>
        <v>0</v>
      </c>
      <c r="B101" s="195">
        <f>'Задание на оценку'!C60</f>
        <v>0</v>
      </c>
      <c r="C101" s="196"/>
      <c r="D101" s="20" t="e">
        <f>B$96*B101</f>
        <v>#DIV/0!</v>
      </c>
      <c r="E101" s="20"/>
      <c r="F101" s="20"/>
      <c r="G101" s="235"/>
      <c r="H101" s="235"/>
      <c r="I101" s="235" t="e">
        <f>IF((D101)&lt;=0,"Сумма прописью:_______________________________________",FirstLetter(CurText(D101)))</f>
        <v>#DIV/0!</v>
      </c>
      <c r="J101" s="186"/>
    </row>
    <row r="102" spans="1:10" ht="15" customHeight="1" outlineLevel="1" x14ac:dyDescent="0.15">
      <c r="A102" s="11">
        <f>'Задание на оценку'!C61</f>
        <v>0</v>
      </c>
      <c r="B102" s="195">
        <f>'Задание на оценку'!C64</f>
        <v>0</v>
      </c>
      <c r="C102" s="196"/>
      <c r="D102" s="20" t="e">
        <f>B$96*B102</f>
        <v>#DIV/0!</v>
      </c>
      <c r="E102" s="20"/>
      <c r="F102" s="20"/>
      <c r="G102" s="235"/>
      <c r="H102" s="235"/>
      <c r="I102" s="235" t="e">
        <f>IF((D102)&lt;=0,"Сумма прописью:_______________________________________",FirstLetter(CurText(D102)))</f>
        <v>#DIV/0!</v>
      </c>
      <c r="J102" s="186"/>
    </row>
    <row r="103" spans="1:10" ht="24" customHeight="1" outlineLevel="1" x14ac:dyDescent="0.15">
      <c r="A103" s="11">
        <f>'Задание на оценку'!C65</f>
        <v>0</v>
      </c>
      <c r="B103" s="195">
        <f>'Задание на оценку'!C68</f>
        <v>0</v>
      </c>
      <c r="C103" s="195"/>
      <c r="D103" s="20" t="e">
        <f>B$96*B103</f>
        <v>#DIV/0!</v>
      </c>
      <c r="E103" s="20"/>
      <c r="F103" s="20"/>
      <c r="G103" s="235"/>
      <c r="H103" s="235"/>
      <c r="I103" s="235" t="e">
        <f>IF((D103)&lt;=0,"Сумма прописью:_______________________________________",FirstLetter(CurText(D103)))</f>
        <v>#DIV/0!</v>
      </c>
      <c r="J103" s="186"/>
    </row>
    <row r="104" spans="1:10" ht="24" customHeight="1" outlineLevel="1" x14ac:dyDescent="0.15">
      <c r="A104" s="11">
        <f>'Задание на оценку'!C69</f>
        <v>0</v>
      </c>
      <c r="B104" s="195">
        <f>'Задание на оценку'!C72</f>
        <v>0</v>
      </c>
      <c r="C104" s="195"/>
      <c r="D104" s="20" t="e">
        <f>B$96*B104</f>
        <v>#DIV/0!</v>
      </c>
      <c r="E104" s="20"/>
      <c r="F104" s="20"/>
      <c r="G104" s="235"/>
      <c r="H104" s="235"/>
      <c r="I104" s="235" t="e">
        <f>IF((D104)&lt;=0,"Сумма прописью:_______________________________________",FirstLetter(CurText(D104)))</f>
        <v>#DIV/0!</v>
      </c>
      <c r="J104" s="186"/>
    </row>
    <row r="105" spans="1:10" ht="24" customHeight="1" outlineLevel="1" x14ac:dyDescent="0.15">
      <c r="A105" s="11">
        <f>'Задание на оценку'!C73</f>
        <v>0</v>
      </c>
      <c r="B105" s="195">
        <f>'Задание на оценку'!C76</f>
        <v>0</v>
      </c>
      <c r="C105" s="195"/>
      <c r="D105" s="20" t="e">
        <f>B$96*B105</f>
        <v>#DIV/0!</v>
      </c>
      <c r="E105" s="20"/>
      <c r="F105" s="20"/>
      <c r="G105" s="235"/>
      <c r="H105" s="235"/>
      <c r="I105" s="235" t="e">
        <f>IF((D105)&lt;=0,"Сумма прописью:_______________________________________",FirstLetter(CurText(D105)))</f>
        <v>#DIV/0!</v>
      </c>
      <c r="J105" s="186"/>
    </row>
    <row r="106" spans="1:10" outlineLevel="1" x14ac:dyDescent="0.15">
      <c r="A106" s="108"/>
      <c r="B106" s="109"/>
      <c r="C106" s="109"/>
      <c r="D106" s="109"/>
      <c r="E106" s="109"/>
      <c r="F106" s="109"/>
      <c r="G106" s="248"/>
      <c r="H106" s="248"/>
      <c r="I106" s="248"/>
    </row>
    <row r="107" spans="1:10" x14ac:dyDescent="0.15">
      <c r="A107" s="9" t="e">
        <f>B96</f>
        <v>#DIV/0!</v>
      </c>
      <c r="B107" s="10" t="s">
        <v>163</v>
      </c>
      <c r="D107" s="1">
        <v>1600000</v>
      </c>
      <c r="F107" s="1">
        <v>1600000</v>
      </c>
      <c r="G107" s="228">
        <v>1600000</v>
      </c>
      <c r="I107" s="228">
        <v>1600000</v>
      </c>
    </row>
    <row r="108" spans="1:10" x14ac:dyDescent="0.15">
      <c r="A108" s="9" t="e">
        <f>РасчетЛиквидационнойСтоимости!C8</f>
        <v>#DIV/0!</v>
      </c>
      <c r="B108" s="10" t="s">
        <v>163</v>
      </c>
      <c r="D108" s="1" t="e">
        <f>D107/#REF!</f>
        <v>#REF!</v>
      </c>
      <c r="F108" s="1" t="e">
        <f>F107/A9</f>
        <v>#VALUE!</v>
      </c>
      <c r="G108" s="228" t="e">
        <f>G107/B9</f>
        <v>#DIV/0!</v>
      </c>
      <c r="I108" s="228" t="e">
        <f>I107/D9</f>
        <v>#DIV/0!</v>
      </c>
      <c r="J108" s="1">
        <f>I107/G107*100</f>
        <v>100</v>
      </c>
    </row>
    <row r="109" spans="1:10" x14ac:dyDescent="0.15">
      <c r="E109" s="1">
        <v>1420000</v>
      </c>
    </row>
    <row r="110" spans="1:10" x14ac:dyDescent="0.15">
      <c r="E110" s="1" t="e">
        <f>E109/B11</f>
        <v>#DIV/0!</v>
      </c>
    </row>
    <row r="112" spans="1:10" x14ac:dyDescent="0.15">
      <c r="C112" s="186"/>
    </row>
    <row r="114" spans="3:13" x14ac:dyDescent="0.15">
      <c r="L114" s="1">
        <f>1235390</f>
        <v>1235390</v>
      </c>
      <c r="M114" s="1" t="e">
        <f>L114/B11</f>
        <v>#DIV/0!</v>
      </c>
    </row>
    <row r="115" spans="3:13" x14ac:dyDescent="0.15">
      <c r="C115" s="1" t="e">
        <f>E89/D89</f>
        <v>#DIV/0!</v>
      </c>
      <c r="D115" s="1" t="e">
        <f>C89/E89</f>
        <v>#DIV/0!</v>
      </c>
    </row>
  </sheetData>
  <customSheetViews>
    <customSheetView guid="{BF874629-29E4-4E42-B267-D30BB270BE2E}" scale="115" showPageBreaks="1" fitToPage="1" printArea="1" hiddenRows="1">
      <selection activeCell="BR12" sqref="BR12"/>
      <pageMargins left="0.75" right="0.75" top="0.53" bottom="0.47" header="0.27" footer="0.5"/>
      <pageSetup paperSize="9" scale="89" fitToHeight="2" orientation="portrait" r:id="rId1"/>
      <headerFooter alignWithMargins="0"/>
    </customSheetView>
  </customSheetViews>
  <mergeCells count="3">
    <mergeCell ref="D99:F99"/>
    <mergeCell ref="D100:F100"/>
    <mergeCell ref="A3:A4"/>
  </mergeCells>
  <phoneticPr fontId="3" type="noConversion"/>
  <dataValidations count="8">
    <dataValidation type="list" errorStyle="warning" allowBlank="1" showInputMessage="1" showErrorMessage="1" sqref="B10:I10" xr:uid="{00000000-0002-0000-0400-000000000000}">
      <formula1>$BN$3:$BN$4</formula1>
    </dataValidation>
    <dataValidation type="list" errorStyle="warning" allowBlank="1" showInputMessage="1" showErrorMessage="1" sqref="B13:I13" xr:uid="{00000000-0002-0000-0400-000001000000}">
      <formula1>$BO$3:$BO$7</formula1>
    </dataValidation>
    <dataValidation type="list" errorStyle="warning" allowBlank="1" showInputMessage="1" showErrorMessage="1" sqref="B14:I14" xr:uid="{00000000-0002-0000-0400-000002000000}">
      <formula1>$BP$3:$BP$5</formula1>
    </dataValidation>
    <dataValidation errorStyle="warning" allowBlank="1" showInputMessage="1" showErrorMessage="1" sqref="B18:I18 C33:I36 B15:I15" xr:uid="{00000000-0002-0000-0400-000003000000}"/>
    <dataValidation type="list" errorStyle="warning" allowBlank="1" showInputMessage="1" showErrorMessage="1" sqref="B17:I17" xr:uid="{00000000-0002-0000-0400-000004000000}">
      <formula1>$BQ$3:$BQ$4</formula1>
    </dataValidation>
    <dataValidation type="list" errorStyle="warning" allowBlank="1" showInputMessage="1" showErrorMessage="1" sqref="H28" xr:uid="{00000000-0002-0000-0400-000005000000}">
      <formula1>$BS$3:$BS$9</formula1>
    </dataValidation>
    <dataValidation type="list" errorStyle="warning" allowBlank="1" showInputMessage="1" showErrorMessage="1" sqref="I28 C28:G28 C37:I37" xr:uid="{00000000-0002-0000-0400-000006000000}">
      <formula1>$BT$3:$BT$8</formula1>
    </dataValidation>
    <dataValidation type="list" errorStyle="warning" allowBlank="1" showInputMessage="1" showErrorMessage="1" sqref="B19:I19" xr:uid="{00000000-0002-0000-0400-000007000000}">
      <formula1>$BR$3:$BR$9</formula1>
    </dataValidation>
  </dataValidations>
  <pageMargins left="0.75" right="0.75" top="0.53" bottom="0.47" header="0.27" footer="0.5"/>
  <pageSetup paperSize="9" scale="89" fitToHeight="2" orientation="portrait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7"/>
  <dimension ref="A1:I21"/>
  <sheetViews>
    <sheetView zoomScale="80" zoomScaleNormal="80" workbookViewId="0"/>
  </sheetViews>
  <sheetFormatPr defaultRowHeight="11.25" x14ac:dyDescent="0.2"/>
  <cols>
    <col min="1" max="1" width="31.7109375" style="206" customWidth="1"/>
    <col min="2" max="5" width="9.7109375" style="206" customWidth="1"/>
    <col min="6" max="6" width="6.7109375" style="206" hidden="1" customWidth="1"/>
    <col min="7" max="7" width="24.28515625" style="206" customWidth="1"/>
    <col min="8" max="16384" width="9.140625" style="206"/>
  </cols>
  <sheetData>
    <row r="1" spans="1:9" x14ac:dyDescent="0.2">
      <c r="A1" s="1" t="s">
        <v>285</v>
      </c>
    </row>
    <row r="2" spans="1:9" s="1" customFormat="1" ht="15" customHeight="1" x14ac:dyDescent="0.15">
      <c r="A2" s="203" t="s">
        <v>43</v>
      </c>
      <c r="B2" s="203" t="e">
        <f>#REF!</f>
        <v>#REF!</v>
      </c>
      <c r="C2" s="203" t="e">
        <f>#REF!</f>
        <v>#REF!</v>
      </c>
      <c r="D2" s="203" t="e">
        <f>#REF!</f>
        <v>#REF!</v>
      </c>
      <c r="E2" s="203" t="e">
        <f>#REF!</f>
        <v>#REF!</v>
      </c>
      <c r="F2" s="203" t="e">
        <f>#REF!</f>
        <v>#REF!</v>
      </c>
      <c r="G2" s="203" t="s">
        <v>283</v>
      </c>
    </row>
    <row r="3" spans="1:9" ht="15" customHeight="1" x14ac:dyDescent="0.2">
      <c r="A3" s="42" t="s">
        <v>276</v>
      </c>
      <c r="B3" s="16" t="e">
        <f>Сравнительный!C29</f>
        <v>#DIV/0!</v>
      </c>
      <c r="C3" s="16" t="e">
        <f>Сравнительный!D29</f>
        <v>#DIV/0!</v>
      </c>
      <c r="D3" s="16" t="e">
        <f>Сравнительный!E29</f>
        <v>#DIV/0!</v>
      </c>
      <c r="E3" s="16" t="e">
        <f>Сравнительный!F29</f>
        <v>#DIV/0!</v>
      </c>
      <c r="F3" s="16">
        <f>Сравнительный!G29</f>
        <v>0</v>
      </c>
      <c r="G3" s="110" t="s">
        <v>142</v>
      </c>
    </row>
    <row r="4" spans="1:9" ht="15" customHeight="1" x14ac:dyDescent="0.2">
      <c r="A4" s="42" t="s">
        <v>284</v>
      </c>
      <c r="B4" s="370" t="e">
        <f>AVERAGE(B3:E3)</f>
        <v>#DIV/0!</v>
      </c>
      <c r="C4" s="370"/>
      <c r="D4" s="370"/>
      <c r="E4" s="370"/>
      <c r="F4" s="370"/>
      <c r="G4" s="110" t="s">
        <v>142</v>
      </c>
    </row>
    <row r="5" spans="1:9" ht="15" customHeight="1" x14ac:dyDescent="0.2">
      <c r="A5" s="42" t="s">
        <v>797</v>
      </c>
      <c r="B5" s="370" t="e">
        <f>STDEV(B3:E3)</f>
        <v>#DIV/0!</v>
      </c>
      <c r="C5" s="370"/>
      <c r="D5" s="370"/>
      <c r="E5" s="370"/>
      <c r="F5" s="370"/>
      <c r="G5" s="110" t="s">
        <v>142</v>
      </c>
    </row>
    <row r="6" spans="1:9" ht="15" customHeight="1" x14ac:dyDescent="0.2">
      <c r="A6" s="42" t="s">
        <v>798</v>
      </c>
      <c r="B6" s="372" t="e">
        <f>B5/B4</f>
        <v>#DIV/0!</v>
      </c>
      <c r="C6" s="372"/>
      <c r="D6" s="372"/>
      <c r="E6" s="372"/>
      <c r="F6" s="372"/>
      <c r="G6" s="110" t="s">
        <v>278</v>
      </c>
    </row>
    <row r="7" spans="1:9" ht="15" customHeight="1" x14ac:dyDescent="0.2">
      <c r="A7" s="371" t="s">
        <v>277</v>
      </c>
      <c r="B7" s="371"/>
      <c r="C7" s="371"/>
      <c r="D7" s="371"/>
      <c r="E7" s="371"/>
      <c r="F7" s="371"/>
      <c r="G7" s="371"/>
    </row>
    <row r="8" spans="1:9" ht="15" customHeight="1" x14ac:dyDescent="0.2">
      <c r="A8" s="42" t="s">
        <v>799</v>
      </c>
      <c r="B8" s="370" t="e">
        <f>B4-2*B5</f>
        <v>#DIV/0!</v>
      </c>
      <c r="C8" s="370"/>
      <c r="D8" s="370"/>
      <c r="E8" s="370"/>
      <c r="F8" s="370"/>
      <c r="G8" s="110" t="s">
        <v>279</v>
      </c>
    </row>
    <row r="9" spans="1:9" ht="15" customHeight="1" x14ac:dyDescent="0.2">
      <c r="A9" s="42" t="s">
        <v>800</v>
      </c>
      <c r="B9" s="370" t="e">
        <f>B4+2*B5</f>
        <v>#DIV/0!</v>
      </c>
      <c r="C9" s="370"/>
      <c r="D9" s="370"/>
      <c r="E9" s="370"/>
      <c r="F9" s="370"/>
      <c r="G9" s="110" t="s">
        <v>280</v>
      </c>
    </row>
    <row r="10" spans="1:9" ht="24" customHeight="1" x14ac:dyDescent="0.2">
      <c r="A10" s="42" t="s">
        <v>281</v>
      </c>
      <c r="B10" s="16" t="e">
        <f>IF(AND($B$9&gt;B$3,B$3&gt;$B$8),"Да","Нет")</f>
        <v>#DIV/0!</v>
      </c>
      <c r="C10" s="16" t="e">
        <f>IF(AND($B$9&gt;C$3,C$3&gt;$B$8),"Да","Нет")</f>
        <v>#DIV/0!</v>
      </c>
      <c r="D10" s="16" t="e">
        <f>IF(AND($B$9&gt;D$3,D$3&gt;$B$8),"Да","Нет")</f>
        <v>#DIV/0!</v>
      </c>
      <c r="E10" s="16" t="e">
        <f>IF(AND($B$9&gt;E$3,E$3&gt;$B$8),"Да","Нет")</f>
        <v>#DIV/0!</v>
      </c>
      <c r="F10" s="16" t="e">
        <f>IF(AND($B$9&gt;F$3,F$3&gt;$B$8),"Да","Нет")</f>
        <v>#DIV/0!</v>
      </c>
      <c r="G10" s="116" t="s">
        <v>282</v>
      </c>
    </row>
    <row r="12" spans="1:9" x14ac:dyDescent="0.2">
      <c r="A12" s="1" t="s">
        <v>286</v>
      </c>
    </row>
    <row r="13" spans="1:9" s="1" customFormat="1" ht="15" customHeight="1" x14ac:dyDescent="0.15">
      <c r="A13" s="203" t="s">
        <v>43</v>
      </c>
      <c r="B13" s="203" t="e">
        <f>B2</f>
        <v>#REF!</v>
      </c>
      <c r="C13" s="203" t="e">
        <f>C2</f>
        <v>#REF!</v>
      </c>
      <c r="D13" s="203" t="e">
        <f>D2</f>
        <v>#REF!</v>
      </c>
      <c r="E13" s="203" t="e">
        <f>E2</f>
        <v>#REF!</v>
      </c>
      <c r="F13" s="203" t="e">
        <f>F2</f>
        <v>#REF!</v>
      </c>
      <c r="G13" s="203" t="s">
        <v>283</v>
      </c>
      <c r="I13" s="1" t="s">
        <v>499</v>
      </c>
    </row>
    <row r="14" spans="1:9" ht="15" customHeight="1" x14ac:dyDescent="0.2">
      <c r="A14" s="42" t="s">
        <v>287</v>
      </c>
      <c r="B14" s="16" t="e">
        <f>Сравнительный!C89</f>
        <v>#DIV/0!</v>
      </c>
      <c r="C14" s="16" t="e">
        <f>Сравнительный!D89</f>
        <v>#DIV/0!</v>
      </c>
      <c r="D14" s="16" t="e">
        <f>Сравнительный!E89</f>
        <v>#DIV/0!</v>
      </c>
      <c r="E14" s="16" t="e">
        <f>Сравнительный!F89</f>
        <v>#DIV/0!</v>
      </c>
      <c r="F14" s="16" t="e">
        <f>Сравнительный!G89</f>
        <v>#DIV/0!</v>
      </c>
      <c r="G14" s="110" t="s">
        <v>142</v>
      </c>
    </row>
    <row r="15" spans="1:9" ht="15" customHeight="1" x14ac:dyDescent="0.2">
      <c r="A15" s="42" t="s">
        <v>284</v>
      </c>
      <c r="B15" s="370" t="e">
        <f>AVERAGE(B14:E14)</f>
        <v>#DIV/0!</v>
      </c>
      <c r="C15" s="370"/>
      <c r="D15" s="370"/>
      <c r="E15" s="370"/>
      <c r="F15" s="370"/>
      <c r="G15" s="110" t="s">
        <v>142</v>
      </c>
    </row>
    <row r="16" spans="1:9" ht="15" customHeight="1" x14ac:dyDescent="0.2">
      <c r="A16" s="42" t="s">
        <v>797</v>
      </c>
      <c r="B16" s="370" t="e">
        <f>STDEV(B14:E14)</f>
        <v>#DIV/0!</v>
      </c>
      <c r="C16" s="370"/>
      <c r="D16" s="370"/>
      <c r="E16" s="370"/>
      <c r="F16" s="370"/>
      <c r="G16" s="110" t="s">
        <v>142</v>
      </c>
    </row>
    <row r="17" spans="1:7" ht="15" customHeight="1" x14ac:dyDescent="0.2">
      <c r="A17" s="42" t="s">
        <v>798</v>
      </c>
      <c r="B17" s="372" t="e">
        <f>B16/B15</f>
        <v>#DIV/0!</v>
      </c>
      <c r="C17" s="372"/>
      <c r="D17" s="372"/>
      <c r="E17" s="372"/>
      <c r="F17" s="372"/>
      <c r="G17" s="110" t="s">
        <v>352</v>
      </c>
    </row>
    <row r="18" spans="1:7" ht="15" customHeight="1" x14ac:dyDescent="0.2">
      <c r="A18" s="371" t="s">
        <v>277</v>
      </c>
      <c r="B18" s="371"/>
      <c r="C18" s="371"/>
      <c r="D18" s="371"/>
      <c r="E18" s="371"/>
      <c r="F18" s="371"/>
      <c r="G18" s="371"/>
    </row>
    <row r="19" spans="1:7" ht="15" customHeight="1" x14ac:dyDescent="0.2">
      <c r="A19" s="42" t="s">
        <v>799</v>
      </c>
      <c r="B19" s="370" t="e">
        <f>B15-2*B16</f>
        <v>#DIV/0!</v>
      </c>
      <c r="C19" s="370"/>
      <c r="D19" s="370"/>
      <c r="E19" s="370"/>
      <c r="F19" s="370"/>
      <c r="G19" s="110" t="s">
        <v>279</v>
      </c>
    </row>
    <row r="20" spans="1:7" ht="15" customHeight="1" x14ac:dyDescent="0.2">
      <c r="A20" s="42" t="s">
        <v>800</v>
      </c>
      <c r="B20" s="370" t="e">
        <f>B15+2*B16</f>
        <v>#DIV/0!</v>
      </c>
      <c r="C20" s="370"/>
      <c r="D20" s="370"/>
      <c r="E20" s="370"/>
      <c r="F20" s="370"/>
      <c r="G20" s="110" t="s">
        <v>280</v>
      </c>
    </row>
    <row r="21" spans="1:7" ht="24" customHeight="1" x14ac:dyDescent="0.2">
      <c r="A21" s="42" t="s">
        <v>281</v>
      </c>
      <c r="B21" s="16" t="e">
        <f>IF(AND($B$20&gt;B$14,B$14&gt;$B$19),"Да","Нет")</f>
        <v>#DIV/0!</v>
      </c>
      <c r="C21" s="16" t="e">
        <f>IF(AND($B$20&gt;C$14,C$14&gt;$B$19),"Да","Нет")</f>
        <v>#DIV/0!</v>
      </c>
      <c r="D21" s="16" t="e">
        <f>IF(AND($B$20&gt;D$14,D$14&gt;$B$19),"Да","Нет")</f>
        <v>#DIV/0!</v>
      </c>
      <c r="E21" s="16" t="e">
        <f>IF(AND($B$20&gt;E$14,E$14&gt;$B$19),"Да","Нет")</f>
        <v>#DIV/0!</v>
      </c>
      <c r="F21" s="16" t="e">
        <f>IF(AND($B$20&gt;F$14,F$14&gt;$B$19),"Да","Нет")</f>
        <v>#DIV/0!</v>
      </c>
      <c r="G21" s="116" t="s">
        <v>288</v>
      </c>
    </row>
  </sheetData>
  <customSheetViews>
    <customSheetView guid="{BF874629-29E4-4E42-B267-D30BB270BE2E}" scale="115">
      <selection activeCell="B15" sqref="B15:F15"/>
      <pageMargins left="0.75" right="0.54" top="1" bottom="1" header="0.5" footer="0.5"/>
      <pageSetup paperSize="9" orientation="portrait" r:id="rId1"/>
      <headerFooter alignWithMargins="0"/>
    </customSheetView>
  </customSheetViews>
  <mergeCells count="12">
    <mergeCell ref="B8:F8"/>
    <mergeCell ref="B17:F17"/>
    <mergeCell ref="A7:G7"/>
    <mergeCell ref="B4:F4"/>
    <mergeCell ref="B5:F5"/>
    <mergeCell ref="B6:F6"/>
    <mergeCell ref="B19:F19"/>
    <mergeCell ref="B20:F20"/>
    <mergeCell ref="A18:G18"/>
    <mergeCell ref="B9:F9"/>
    <mergeCell ref="B15:F15"/>
    <mergeCell ref="B16:F16"/>
  </mergeCells>
  <phoneticPr fontId="3" type="noConversion"/>
  <pageMargins left="0.75" right="0.54" top="1" bottom="1" header="0.5" footer="0.5"/>
  <pageSetup paperSize="9"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4"/>
  <dimension ref="A2:W111"/>
  <sheetViews>
    <sheetView topLeftCell="A46" zoomScaleNormal="100" workbookViewId="0">
      <selection activeCell="A71" sqref="A71:E71"/>
    </sheetView>
  </sheetViews>
  <sheetFormatPr defaultRowHeight="12.75" x14ac:dyDescent="0.2"/>
  <cols>
    <col min="1" max="1" width="14.42578125" customWidth="1"/>
    <col min="2" max="2" width="8" customWidth="1"/>
    <col min="3" max="3" width="8.28515625" customWidth="1"/>
    <col min="4" max="4" width="8.5703125" customWidth="1"/>
    <col min="5" max="5" width="9" customWidth="1"/>
    <col min="6" max="8" width="8.28515625" customWidth="1"/>
    <col min="9" max="9" width="9.85546875" customWidth="1"/>
    <col min="10" max="10" width="10" customWidth="1"/>
    <col min="11" max="12" width="8.28515625" customWidth="1"/>
    <col min="13" max="13" width="12" customWidth="1"/>
    <col min="14" max="15" width="8.5703125" customWidth="1"/>
    <col min="16" max="16" width="10.7109375" customWidth="1"/>
    <col min="17" max="17" width="9.42578125" customWidth="1"/>
    <col min="18" max="22" width="8.28515625" customWidth="1"/>
  </cols>
  <sheetData>
    <row r="2" spans="1:15" x14ac:dyDescent="0.2">
      <c r="A2" s="374" t="s">
        <v>669</v>
      </c>
      <c r="B2" s="375"/>
      <c r="C2" s="375"/>
      <c r="D2" s="375"/>
      <c r="E2" s="375"/>
      <c r="F2" s="375"/>
      <c r="G2" s="375"/>
      <c r="H2" s="375"/>
      <c r="I2" s="375"/>
    </row>
    <row r="3" spans="1:15" ht="63" customHeight="1" x14ac:dyDescent="0.2">
      <c r="A3" s="133" t="s">
        <v>137</v>
      </c>
      <c r="B3" s="134" t="s">
        <v>256</v>
      </c>
      <c r="C3" s="135" t="str">
        <f>A4</f>
        <v>Центральный</v>
      </c>
      <c r="D3" s="136" t="str">
        <f>A5</f>
        <v>Ленинский</v>
      </c>
      <c r="E3" s="136" t="str">
        <f>A6</f>
        <v xml:space="preserve">Курчатовский </v>
      </c>
      <c r="F3" s="136" t="str">
        <f>A7</f>
        <v>Калининский</v>
      </c>
      <c r="G3" s="136" t="str">
        <f>A8</f>
        <v>Советский</v>
      </c>
      <c r="H3" s="136" t="str">
        <f>A9</f>
        <v>Металлургический</v>
      </c>
      <c r="I3" s="136" t="str">
        <f>A10</f>
        <v>Тракторозаводский</v>
      </c>
      <c r="J3" s="22" t="s">
        <v>257</v>
      </c>
      <c r="K3" s="137"/>
    </row>
    <row r="4" spans="1:15" x14ac:dyDescent="0.2">
      <c r="A4" s="377" t="s">
        <v>53</v>
      </c>
      <c r="B4" s="377"/>
      <c r="C4" s="138">
        <f t="shared" ref="C4:C10" si="0">ROUND(J4/$J$4,4)</f>
        <v>1</v>
      </c>
      <c r="D4" s="138">
        <f t="shared" ref="D4:D10" si="1">ROUND(J4/$J$5,4)</f>
        <v>1.1459999999999999</v>
      </c>
      <c r="E4" s="138">
        <f t="shared" ref="E4:E10" si="2">ROUND($J4/$J$6,4)</f>
        <v>1.3976</v>
      </c>
      <c r="F4" s="138">
        <f t="shared" ref="F4:F10" si="3">ROUND($J4/$J$7,4)</f>
        <v>1.2124999999999999</v>
      </c>
      <c r="G4" s="138">
        <f t="shared" ref="G4:G10" si="4">ROUND($J4/$J$8,4)</f>
        <v>1.1792</v>
      </c>
      <c r="H4" s="138">
        <f t="shared" ref="H4:H10" si="5">ROUND($J4/$J$9,4)</f>
        <v>1.3917999999999999</v>
      </c>
      <c r="I4" s="138">
        <f t="shared" ref="I4:I10" si="6">ROUND($J4/$J$10,4)</f>
        <v>1.4995000000000001</v>
      </c>
      <c r="J4" s="132">
        <v>48114.077021984136</v>
      </c>
      <c r="K4" s="139"/>
    </row>
    <row r="5" spans="1:15" x14ac:dyDescent="0.2">
      <c r="A5" s="376" t="s">
        <v>54</v>
      </c>
      <c r="B5" s="376"/>
      <c r="C5" s="138">
        <f>ROUND(J5/$J$4,4)</f>
        <v>0.87260000000000004</v>
      </c>
      <c r="D5" s="138">
        <f t="shared" si="1"/>
        <v>1</v>
      </c>
      <c r="E5" s="138">
        <f t="shared" si="2"/>
        <v>1.2196</v>
      </c>
      <c r="F5" s="138">
        <f t="shared" si="3"/>
        <v>1.0580000000000001</v>
      </c>
      <c r="G5" s="138">
        <f t="shared" si="4"/>
        <v>1.0288999999999999</v>
      </c>
      <c r="H5" s="138">
        <f t="shared" si="5"/>
        <v>1.2144999999999999</v>
      </c>
      <c r="I5" s="138">
        <f t="shared" si="6"/>
        <v>1.3085</v>
      </c>
      <c r="J5" s="132">
        <v>41983.811837239053</v>
      </c>
      <c r="K5" s="139"/>
    </row>
    <row r="6" spans="1:15" x14ac:dyDescent="0.2">
      <c r="A6" s="376" t="s">
        <v>670</v>
      </c>
      <c r="B6" s="376"/>
      <c r="C6" s="138">
        <f>ROUND(J6/$J$4,4)</f>
        <v>0.71550000000000002</v>
      </c>
      <c r="D6" s="138">
        <f t="shared" si="1"/>
        <v>0.82</v>
      </c>
      <c r="E6" s="138">
        <f t="shared" si="2"/>
        <v>1</v>
      </c>
      <c r="F6" s="138">
        <f t="shared" si="3"/>
        <v>0.86760000000000004</v>
      </c>
      <c r="G6" s="138">
        <f t="shared" si="4"/>
        <v>0.84370000000000001</v>
      </c>
      <c r="H6" s="138">
        <f t="shared" si="5"/>
        <v>0.99590000000000001</v>
      </c>
      <c r="I6" s="138">
        <f t="shared" si="6"/>
        <v>1.0729</v>
      </c>
      <c r="J6" s="132">
        <v>34425.50754400617</v>
      </c>
      <c r="K6" s="139"/>
    </row>
    <row r="7" spans="1:15" ht="12" customHeight="1" x14ac:dyDescent="0.2">
      <c r="A7" s="376" t="s">
        <v>55</v>
      </c>
      <c r="B7" s="376"/>
      <c r="C7" s="138">
        <f>ROUND(J7/$J$4,4)</f>
        <v>0.82469999999999999</v>
      </c>
      <c r="D7" s="138">
        <f t="shared" si="1"/>
        <v>0.94520000000000004</v>
      </c>
      <c r="E7" s="138">
        <f t="shared" si="2"/>
        <v>1.1527000000000001</v>
      </c>
      <c r="F7" s="138">
        <f t="shared" si="3"/>
        <v>1</v>
      </c>
      <c r="G7" s="138">
        <f t="shared" si="4"/>
        <v>0.97250000000000003</v>
      </c>
      <c r="H7" s="138">
        <f t="shared" si="5"/>
        <v>1.1478999999999999</v>
      </c>
      <c r="I7" s="138">
        <f t="shared" si="6"/>
        <v>1.2366999999999999</v>
      </c>
      <c r="J7" s="132">
        <v>39681.270948451544</v>
      </c>
      <c r="K7" s="139"/>
    </row>
    <row r="8" spans="1:15" x14ac:dyDescent="0.2">
      <c r="A8" s="378" t="s">
        <v>57</v>
      </c>
      <c r="B8" s="378"/>
      <c r="C8" s="138">
        <f t="shared" si="0"/>
        <v>0.84809999999999997</v>
      </c>
      <c r="D8" s="138">
        <f t="shared" si="1"/>
        <v>0.97189999999999999</v>
      </c>
      <c r="E8" s="138">
        <f t="shared" si="2"/>
        <v>1.1853</v>
      </c>
      <c r="F8" s="138">
        <f t="shared" si="3"/>
        <v>1.0283</v>
      </c>
      <c r="G8" s="138">
        <f t="shared" si="4"/>
        <v>1</v>
      </c>
      <c r="H8" s="138">
        <f t="shared" si="5"/>
        <v>1.1803999999999999</v>
      </c>
      <c r="I8" s="138">
        <f t="shared" si="6"/>
        <v>1.2717000000000001</v>
      </c>
      <c r="J8" s="132">
        <v>40804.012866492449</v>
      </c>
      <c r="K8" s="139"/>
    </row>
    <row r="9" spans="1:15" x14ac:dyDescent="0.2">
      <c r="A9" s="373" t="s">
        <v>58</v>
      </c>
      <c r="B9" s="373"/>
      <c r="C9" s="138">
        <f t="shared" si="0"/>
        <v>0.71850000000000003</v>
      </c>
      <c r="D9" s="138">
        <f t="shared" si="1"/>
        <v>0.82340000000000002</v>
      </c>
      <c r="E9" s="138">
        <f t="shared" si="2"/>
        <v>1.0042</v>
      </c>
      <c r="F9" s="138">
        <f t="shared" si="3"/>
        <v>0.87119999999999997</v>
      </c>
      <c r="G9" s="138">
        <f t="shared" si="4"/>
        <v>0.84719999999999995</v>
      </c>
      <c r="H9" s="138">
        <f t="shared" si="5"/>
        <v>1</v>
      </c>
      <c r="I9" s="138">
        <f t="shared" si="6"/>
        <v>1.0773999999999999</v>
      </c>
      <c r="J9" s="132">
        <v>34568.4493482541</v>
      </c>
      <c r="K9" s="139"/>
    </row>
    <row r="10" spans="1:15" x14ac:dyDescent="0.2">
      <c r="A10" s="373" t="s">
        <v>59</v>
      </c>
      <c r="B10" s="373"/>
      <c r="C10" s="138">
        <f t="shared" si="0"/>
        <v>0.66690000000000005</v>
      </c>
      <c r="D10" s="138">
        <f t="shared" si="1"/>
        <v>0.76419999999999999</v>
      </c>
      <c r="E10" s="138">
        <f t="shared" si="2"/>
        <v>0.93200000000000005</v>
      </c>
      <c r="F10" s="138">
        <f t="shared" si="3"/>
        <v>0.80859999999999999</v>
      </c>
      <c r="G10" s="138">
        <f t="shared" si="4"/>
        <v>0.7863</v>
      </c>
      <c r="H10" s="138">
        <f t="shared" si="5"/>
        <v>0.92820000000000003</v>
      </c>
      <c r="I10" s="138">
        <f t="shared" si="6"/>
        <v>1</v>
      </c>
      <c r="J10" s="132">
        <v>32085.893299677493</v>
      </c>
      <c r="K10" s="139"/>
      <c r="L10" s="140"/>
    </row>
    <row r="12" spans="1:15" ht="13.5" thickBot="1" x14ac:dyDescent="0.25">
      <c r="A12" s="374" t="s">
        <v>671</v>
      </c>
      <c r="B12" s="375"/>
      <c r="C12" s="375"/>
      <c r="D12" s="375"/>
      <c r="E12" s="375"/>
      <c r="F12" s="375"/>
      <c r="G12" s="375"/>
      <c r="H12" s="375"/>
      <c r="I12" s="375"/>
    </row>
    <row r="13" spans="1:15" ht="64.5" customHeight="1" thickBot="1" x14ac:dyDescent="0.25">
      <c r="A13" s="133" t="s">
        <v>137</v>
      </c>
      <c r="B13" s="134" t="s">
        <v>256</v>
      </c>
      <c r="C13" s="136" t="str">
        <f>A14</f>
        <v>Центральный</v>
      </c>
      <c r="D13" s="136" t="str">
        <f>A15</f>
        <v>Ленинский</v>
      </c>
      <c r="E13" s="136" t="str">
        <f>A16</f>
        <v xml:space="preserve">Курчатовский </v>
      </c>
      <c r="F13" s="136" t="str">
        <f>A17</f>
        <v>Калининский</v>
      </c>
      <c r="G13" s="136" t="str">
        <f>A18</f>
        <v>Советский</v>
      </c>
      <c r="H13" s="136" t="str">
        <f>A19</f>
        <v>Металлургический</v>
      </c>
      <c r="I13" s="136" t="str">
        <f>A20</f>
        <v>Тракторозаводский</v>
      </c>
      <c r="J13" s="22" t="s">
        <v>257</v>
      </c>
      <c r="K13" s="137"/>
      <c r="O13" s="141"/>
    </row>
    <row r="14" spans="1:15" x14ac:dyDescent="0.2">
      <c r="A14" s="376" t="str">
        <f>A4</f>
        <v>Центральный</v>
      </c>
      <c r="B14" s="376"/>
      <c r="C14" s="138" t="e">
        <f t="shared" ref="C14:C20" si="7">ROUND(J14/$J$14,4)</f>
        <v>#REF!</v>
      </c>
      <c r="D14" s="138" t="e">
        <f t="shared" ref="D14:D20" si="8">ROUND(J14/$J$15,4)</f>
        <v>#REF!</v>
      </c>
      <c r="E14" s="138" t="e">
        <f t="shared" ref="E14:E20" si="9">ROUND($J14/$J$16,4)</f>
        <v>#REF!</v>
      </c>
      <c r="F14" s="138" t="e">
        <f>ROUND($J14/$J$17,4)</f>
        <v>#REF!</v>
      </c>
      <c r="G14" s="138" t="e">
        <f t="shared" ref="G14:G20" si="10">ROUND($J14/$J$18,4)</f>
        <v>#REF!</v>
      </c>
      <c r="H14" s="138" t="e">
        <f t="shared" ref="H14:H20" si="11">ROUND($J14/$J$19,4)</f>
        <v>#REF!</v>
      </c>
      <c r="I14" s="138" t="e">
        <f t="shared" ref="I14:I20" si="12">ROUND($J14/$J$20,4)</f>
        <v>#REF!</v>
      </c>
      <c r="J14" s="132" t="e">
        <v>#REF!</v>
      </c>
      <c r="K14" s="139"/>
    </row>
    <row r="15" spans="1:15" x14ac:dyDescent="0.2">
      <c r="A15" s="376" t="str">
        <f>A5</f>
        <v>Ленинский</v>
      </c>
      <c r="B15" s="376"/>
      <c r="C15" s="138" t="e">
        <f t="shared" si="7"/>
        <v>#REF!</v>
      </c>
      <c r="D15" s="138">
        <f t="shared" si="8"/>
        <v>1</v>
      </c>
      <c r="E15" s="138">
        <f t="shared" si="9"/>
        <v>0.86260000000000003</v>
      </c>
      <c r="F15" s="138">
        <f t="shared" ref="F15:F20" si="13">ROUND($J15/$J$17,4)</f>
        <v>0.88009999999999999</v>
      </c>
      <c r="G15" s="138">
        <f t="shared" si="10"/>
        <v>0.86570000000000003</v>
      </c>
      <c r="H15" s="138">
        <f t="shared" si="11"/>
        <v>1.0874999999999999</v>
      </c>
      <c r="I15" s="138">
        <f t="shared" si="12"/>
        <v>1.0124</v>
      </c>
      <c r="J15" s="132">
        <v>35323.03325228452</v>
      </c>
      <c r="K15" s="139"/>
    </row>
    <row r="16" spans="1:15" x14ac:dyDescent="0.2">
      <c r="A16" s="376" t="str">
        <f>A6</f>
        <v xml:space="preserve">Курчатовский </v>
      </c>
      <c r="B16" s="376"/>
      <c r="C16" s="138" t="e">
        <f t="shared" si="7"/>
        <v>#REF!</v>
      </c>
      <c r="D16" s="138">
        <f t="shared" si="8"/>
        <v>1.1592</v>
      </c>
      <c r="E16" s="138">
        <f t="shared" si="9"/>
        <v>1</v>
      </c>
      <c r="F16" s="138">
        <f t="shared" si="13"/>
        <v>1.0203</v>
      </c>
      <c r="G16" s="138">
        <f t="shared" si="10"/>
        <v>1.0035000000000001</v>
      </c>
      <c r="H16" s="138">
        <f t="shared" si="11"/>
        <v>1.2605999999999999</v>
      </c>
      <c r="I16" s="138">
        <f t="shared" si="12"/>
        <v>1.1736</v>
      </c>
      <c r="J16" s="132">
        <v>40947.284891990443</v>
      </c>
      <c r="K16" s="139"/>
    </row>
    <row r="17" spans="1:14" x14ac:dyDescent="0.2">
      <c r="A17" s="376" t="s">
        <v>55</v>
      </c>
      <c r="B17" s="376"/>
      <c r="C17" s="138" t="e">
        <f t="shared" si="7"/>
        <v>#REF!</v>
      </c>
      <c r="D17" s="138">
        <f t="shared" si="8"/>
        <v>1.1362000000000001</v>
      </c>
      <c r="E17" s="138">
        <f t="shared" si="9"/>
        <v>0.98009999999999997</v>
      </c>
      <c r="F17" s="138">
        <f t="shared" si="13"/>
        <v>1</v>
      </c>
      <c r="G17" s="138">
        <f t="shared" si="10"/>
        <v>0.98360000000000003</v>
      </c>
      <c r="H17" s="138">
        <f t="shared" si="11"/>
        <v>1.2356</v>
      </c>
      <c r="I17" s="138">
        <f t="shared" si="12"/>
        <v>1.1501999999999999</v>
      </c>
      <c r="J17" s="132">
        <v>40133.769047146408</v>
      </c>
      <c r="K17" s="139"/>
    </row>
    <row r="18" spans="1:14" x14ac:dyDescent="0.2">
      <c r="A18" s="376" t="str">
        <f>A8</f>
        <v>Советский</v>
      </c>
      <c r="B18" s="376"/>
      <c r="C18" s="138" t="e">
        <f t="shared" si="7"/>
        <v>#REF!</v>
      </c>
      <c r="D18" s="138">
        <f t="shared" si="8"/>
        <v>1.1552</v>
      </c>
      <c r="E18" s="138">
        <f t="shared" si="9"/>
        <v>0.99650000000000005</v>
      </c>
      <c r="F18" s="138">
        <f t="shared" si="13"/>
        <v>1.0166999999999999</v>
      </c>
      <c r="G18" s="138">
        <f t="shared" si="10"/>
        <v>1</v>
      </c>
      <c r="H18" s="138">
        <f t="shared" si="11"/>
        <v>1.2562</v>
      </c>
      <c r="I18" s="138">
        <f t="shared" si="12"/>
        <v>1.1695</v>
      </c>
      <c r="J18" s="132">
        <v>40804.362365173773</v>
      </c>
      <c r="K18" s="139"/>
    </row>
    <row r="19" spans="1:14" x14ac:dyDescent="0.2">
      <c r="A19" s="376" t="str">
        <f>A9</f>
        <v>Металлургический</v>
      </c>
      <c r="B19" s="376"/>
      <c r="C19" s="138" t="e">
        <f t="shared" si="7"/>
        <v>#REF!</v>
      </c>
      <c r="D19" s="138">
        <f t="shared" si="8"/>
        <v>0.91959999999999997</v>
      </c>
      <c r="E19" s="138">
        <f t="shared" si="9"/>
        <v>0.79320000000000002</v>
      </c>
      <c r="F19" s="138">
        <f t="shared" si="13"/>
        <v>0.80930000000000002</v>
      </c>
      <c r="G19" s="138">
        <f t="shared" si="10"/>
        <v>0.79600000000000004</v>
      </c>
      <c r="H19" s="138">
        <f t="shared" si="11"/>
        <v>1</v>
      </c>
      <c r="I19" s="138">
        <f t="shared" si="12"/>
        <v>0.93089999999999995</v>
      </c>
      <c r="J19" s="132">
        <v>32481.296037599437</v>
      </c>
      <c r="K19" s="139"/>
    </row>
    <row r="20" spans="1:14" x14ac:dyDescent="0.2">
      <c r="A20" s="376" t="str">
        <f>A10</f>
        <v>Тракторозаводский</v>
      </c>
      <c r="B20" s="376"/>
      <c r="C20" s="138" t="e">
        <f t="shared" si="7"/>
        <v>#REF!</v>
      </c>
      <c r="D20" s="138">
        <f t="shared" si="8"/>
        <v>0.98780000000000001</v>
      </c>
      <c r="E20" s="138">
        <f t="shared" si="9"/>
        <v>0.85209999999999997</v>
      </c>
      <c r="F20" s="138">
        <f t="shared" si="13"/>
        <v>0.86939999999999995</v>
      </c>
      <c r="G20" s="138">
        <f t="shared" si="10"/>
        <v>0.85509999999999997</v>
      </c>
      <c r="H20" s="138">
        <f t="shared" si="11"/>
        <v>1.0742</v>
      </c>
      <c r="I20" s="138">
        <f t="shared" si="12"/>
        <v>1</v>
      </c>
      <c r="J20" s="132">
        <v>34891.347389477123</v>
      </c>
      <c r="K20" s="139"/>
      <c r="L20" s="140"/>
    </row>
    <row r="23" spans="1:14" x14ac:dyDescent="0.2">
      <c r="A23" s="374" t="s">
        <v>672</v>
      </c>
      <c r="B23" s="375"/>
      <c r="C23" s="375"/>
      <c r="D23" s="375"/>
      <c r="E23" s="375"/>
      <c r="F23" s="375"/>
      <c r="G23" s="375"/>
      <c r="H23" s="375"/>
      <c r="I23" s="375"/>
    </row>
    <row r="24" spans="1:14" ht="45.75" customHeight="1" x14ac:dyDescent="0.2">
      <c r="A24" s="133" t="s">
        <v>87</v>
      </c>
      <c r="B24" s="142" t="s">
        <v>256</v>
      </c>
      <c r="C24" s="380" t="s">
        <v>258</v>
      </c>
      <c r="D24" s="380"/>
      <c r="E24" s="380"/>
      <c r="F24" s="380" t="s">
        <v>259</v>
      </c>
      <c r="G24" s="380"/>
      <c r="H24" s="380"/>
      <c r="I24" s="119" t="s">
        <v>260</v>
      </c>
      <c r="J24" s="119" t="s">
        <v>261</v>
      </c>
      <c r="K24" s="143"/>
    </row>
    <row r="25" spans="1:14" ht="11.25" customHeight="1" x14ac:dyDescent="0.2">
      <c r="A25" s="376" t="s">
        <v>271</v>
      </c>
      <c r="B25" s="376"/>
      <c r="C25" s="379">
        <f>J25/I25</f>
        <v>1.0832501475813692</v>
      </c>
      <c r="D25" s="379"/>
      <c r="E25" s="379"/>
      <c r="F25" s="379">
        <f>I25/J25</f>
        <v>0.92314780868735968</v>
      </c>
      <c r="G25" s="379"/>
      <c r="H25" s="379"/>
      <c r="I25" s="132">
        <v>37917.264610975799</v>
      </c>
      <c r="J25" s="132">
        <v>41073.882485721362</v>
      </c>
      <c r="K25" s="139"/>
    </row>
    <row r="26" spans="1:14" ht="11.25" customHeight="1" x14ac:dyDescent="0.2">
      <c r="A26" s="376" t="s">
        <v>272</v>
      </c>
      <c r="B26" s="376"/>
      <c r="C26" s="379">
        <f>J26/I26</f>
        <v>1.0650071362453364</v>
      </c>
      <c r="D26" s="379"/>
      <c r="E26" s="379"/>
      <c r="F26" s="379">
        <f>I26/J26</f>
        <v>0.93896084445544847</v>
      </c>
      <c r="G26" s="379"/>
      <c r="H26" s="379"/>
      <c r="I26" s="132">
        <v>36803.310532562304</v>
      </c>
      <c r="J26" s="132">
        <v>39195.788354632008</v>
      </c>
      <c r="K26" s="144">
        <f>ROUND(J26/J27,4)</f>
        <v>0.9758</v>
      </c>
    </row>
    <row r="27" spans="1:14" ht="11.25" customHeight="1" x14ac:dyDescent="0.2">
      <c r="A27" s="376" t="s">
        <v>273</v>
      </c>
      <c r="B27" s="376"/>
      <c r="C27" s="379">
        <f>J27/I27</f>
        <v>1.038968417580644</v>
      </c>
      <c r="D27" s="379"/>
      <c r="E27" s="379"/>
      <c r="F27" s="379">
        <f>I27/J27</f>
        <v>0.96249316444922706</v>
      </c>
      <c r="G27" s="379"/>
      <c r="H27" s="379"/>
      <c r="I27" s="132">
        <v>38660.055461927652</v>
      </c>
      <c r="J27" s="132">
        <v>40166.576646858906</v>
      </c>
      <c r="K27" s="139"/>
    </row>
    <row r="28" spans="1:14" ht="11.25" customHeight="1" x14ac:dyDescent="0.2">
      <c r="A28" s="376" t="s">
        <v>274</v>
      </c>
      <c r="B28" s="376"/>
      <c r="C28" s="379">
        <f>J28/I28</f>
        <v>0.9348443962279529</v>
      </c>
      <c r="D28" s="379"/>
      <c r="E28" s="379"/>
      <c r="F28" s="379">
        <f>I28/J28</f>
        <v>1.0696967367349546</v>
      </c>
      <c r="G28" s="379"/>
      <c r="H28" s="379"/>
      <c r="I28" s="132">
        <v>44656.228942849455</v>
      </c>
      <c r="J28" s="132">
        <v>41746.625383895334</v>
      </c>
      <c r="K28" s="139"/>
    </row>
    <row r="29" spans="1:14" x14ac:dyDescent="0.2">
      <c r="I29" s="145"/>
      <c r="J29" s="145"/>
      <c r="K29" s="146"/>
    </row>
    <row r="31" spans="1:14" x14ac:dyDescent="0.2">
      <c r="A31" s="381" t="s">
        <v>673</v>
      </c>
      <c r="B31" s="382"/>
      <c r="C31" s="382"/>
      <c r="D31" s="382"/>
      <c r="E31" s="382"/>
      <c r="F31" s="382"/>
      <c r="G31" s="382"/>
      <c r="H31" s="382"/>
      <c r="I31" s="382"/>
      <c r="J31" s="147" t="s">
        <v>674</v>
      </c>
      <c r="K31" s="147"/>
      <c r="L31" s="147"/>
      <c r="M31" s="147"/>
      <c r="N31" s="147"/>
    </row>
    <row r="32" spans="1:14" ht="52.5" customHeight="1" x14ac:dyDescent="0.2">
      <c r="A32" s="148" t="s">
        <v>137</v>
      </c>
      <c r="B32" s="142" t="s">
        <v>256</v>
      </c>
      <c r="C32" s="149" t="str">
        <f>A33</f>
        <v>"хрущевка"/"брежневка"</v>
      </c>
      <c r="D32" s="149" t="str">
        <f>A34</f>
        <v>97-я серия</v>
      </c>
      <c r="E32" s="149" t="str">
        <f>A35</f>
        <v>121-я серия</v>
      </c>
      <c r="F32" s="149" t="str">
        <f>A36</f>
        <v>97-я улучшенная / 121-Т</v>
      </c>
      <c r="G32" s="149" t="str">
        <f>A37</f>
        <v>ленинградский проект</v>
      </c>
      <c r="H32" s="149" t="str">
        <f>A38</f>
        <v>полнометражная</v>
      </c>
      <c r="I32" s="149" t="str">
        <f>A39</f>
        <v>элитная</v>
      </c>
      <c r="J32" s="149" t="str">
        <f>A40</f>
        <v>индивидуальный проект</v>
      </c>
      <c r="K32" s="149" t="str">
        <f>A41</f>
        <v>квартира-студия</v>
      </c>
      <c r="L32" s="149" t="str">
        <f>A42</f>
        <v>улучшенной планировки</v>
      </c>
      <c r="M32" s="150" t="s">
        <v>257</v>
      </c>
      <c r="N32" s="147"/>
    </row>
    <row r="33" spans="1:23" x14ac:dyDescent="0.2">
      <c r="A33" s="383" t="s">
        <v>262</v>
      </c>
      <c r="B33" s="383"/>
      <c r="C33" s="151">
        <f>ROUND(M33/$M$33,4)</f>
        <v>1</v>
      </c>
      <c r="D33" s="151">
        <f t="shared" ref="D33:D42" si="14">ROUND(M33/$M$34,4)</f>
        <v>1.0376000000000001</v>
      </c>
      <c r="E33" s="151">
        <f>ROUND($M33/$M$35,4)</f>
        <v>1.1373</v>
      </c>
      <c r="F33" s="151">
        <f>ROUND($M33/M36,4)</f>
        <v>0.96709999999999996</v>
      </c>
      <c r="G33" s="151">
        <f>ROUND($M33/$M$37,4)</f>
        <v>0.98089999999999999</v>
      </c>
      <c r="H33" s="151">
        <f>ROUND($M33/$M$38,4)</f>
        <v>0.998</v>
      </c>
      <c r="I33" s="151">
        <f>ROUND($M33/$M$39,4)</f>
        <v>0.98740000000000006</v>
      </c>
      <c r="J33" s="151">
        <f t="shared" ref="J33:J42" si="15">ROUND($M33/$M$40,4)</f>
        <v>1.1324000000000001</v>
      </c>
      <c r="K33" s="151">
        <f t="shared" ref="K33:K42" si="16">ROUND($M33/$M$41,4)</f>
        <v>0.95920000000000005</v>
      </c>
      <c r="L33" s="151">
        <f t="shared" ref="L33:L42" si="17">ROUND($M33/$M$42,4)</f>
        <v>0.96870000000000001</v>
      </c>
      <c r="M33" s="152">
        <v>46040.5</v>
      </c>
      <c r="N33" s="147"/>
    </row>
    <row r="34" spans="1:23" x14ac:dyDescent="0.2">
      <c r="A34" s="383" t="s">
        <v>263</v>
      </c>
      <c r="B34" s="383"/>
      <c r="C34" s="151">
        <f>ROUND(M34/$M$33,4)</f>
        <v>0.9637</v>
      </c>
      <c r="D34" s="151">
        <f t="shared" si="14"/>
        <v>1</v>
      </c>
      <c r="E34" s="151">
        <f>ROUND($M34/$M$35,4)</f>
        <v>1.0961000000000001</v>
      </c>
      <c r="F34" s="151">
        <f>ROUND(M34/M36,4)</f>
        <v>0.93200000000000005</v>
      </c>
      <c r="G34" s="151">
        <f>ROUND($M34/$M$37,4)</f>
        <v>0.94530000000000003</v>
      </c>
      <c r="H34" s="151">
        <f>ROUND($M34/$M$38,4)</f>
        <v>0.96179999999999999</v>
      </c>
      <c r="I34" s="151">
        <f>ROUND($M34/$M$39,4)</f>
        <v>0.9516</v>
      </c>
      <c r="J34" s="151">
        <f t="shared" si="15"/>
        <v>1.0912999999999999</v>
      </c>
      <c r="K34" s="151">
        <f t="shared" si="16"/>
        <v>0.9244</v>
      </c>
      <c r="L34" s="151">
        <f t="shared" si="17"/>
        <v>0.9335</v>
      </c>
      <c r="M34" s="152">
        <v>44370</v>
      </c>
      <c r="N34" s="147"/>
    </row>
    <row r="35" spans="1:23" x14ac:dyDescent="0.2">
      <c r="A35" s="383" t="s">
        <v>264</v>
      </c>
      <c r="B35" s="383"/>
      <c r="C35" s="151">
        <f>ROUND(M35/$M$33,4)</f>
        <v>0.87919999999999998</v>
      </c>
      <c r="D35" s="151">
        <f t="shared" si="14"/>
        <v>0.91239999999999999</v>
      </c>
      <c r="E35" s="151">
        <f>ROUND($M35/$M$35,4)</f>
        <v>1</v>
      </c>
      <c r="F35" s="151">
        <f>ROUND($M35/M36,4)</f>
        <v>0.85029999999999994</v>
      </c>
      <c r="G35" s="151">
        <f>ROUND($M35/$M$37,4)</f>
        <v>0.86250000000000004</v>
      </c>
      <c r="H35" s="151">
        <f>ROUND($M35/$M$38,4)</f>
        <v>0.87749999999999995</v>
      </c>
      <c r="I35" s="151">
        <f>ROUND($M35/$M$39,4)</f>
        <v>0.86819999999999997</v>
      </c>
      <c r="J35" s="151">
        <f t="shared" si="15"/>
        <v>0.99570000000000003</v>
      </c>
      <c r="K35" s="151">
        <f t="shared" si="16"/>
        <v>0.84340000000000004</v>
      </c>
      <c r="L35" s="151">
        <f t="shared" si="17"/>
        <v>0.85170000000000001</v>
      </c>
      <c r="M35" s="152">
        <v>40481</v>
      </c>
      <c r="N35" s="147"/>
    </row>
    <row r="36" spans="1:23" x14ac:dyDescent="0.2">
      <c r="A36" s="383" t="s">
        <v>265</v>
      </c>
      <c r="B36" s="383"/>
      <c r="C36" s="151">
        <f>ROUND(M36/M33,4)</f>
        <v>1.034</v>
      </c>
      <c r="D36" s="151">
        <f t="shared" si="14"/>
        <v>1.073</v>
      </c>
      <c r="E36" s="151">
        <f>ROUND(M36/$M$35,4)</f>
        <v>1.1759999999999999</v>
      </c>
      <c r="F36" s="151">
        <f>ROUND($M36/M36,4)</f>
        <v>1</v>
      </c>
      <c r="G36" s="151">
        <f>ROUND(M36/$M$37,4)</f>
        <v>1.0143</v>
      </c>
      <c r="H36" s="151">
        <f>ROUND(M36/$M$38,4)</f>
        <v>1.0319</v>
      </c>
      <c r="I36" s="151">
        <f>ROUND(M39/M36,4)</f>
        <v>0.97940000000000005</v>
      </c>
      <c r="J36" s="151">
        <f t="shared" si="15"/>
        <v>1.1709000000000001</v>
      </c>
      <c r="K36" s="151">
        <f t="shared" si="16"/>
        <v>0.9919</v>
      </c>
      <c r="L36" s="151">
        <f t="shared" si="17"/>
        <v>1.0016</v>
      </c>
      <c r="M36" s="152">
        <v>47607.5</v>
      </c>
      <c r="N36" s="147"/>
    </row>
    <row r="37" spans="1:23" x14ac:dyDescent="0.2">
      <c r="A37" s="383" t="s">
        <v>161</v>
      </c>
      <c r="B37" s="383"/>
      <c r="C37" s="151">
        <f t="shared" ref="C37:C42" si="18">ROUND(M37/$M$33,4)</f>
        <v>1.0195000000000001</v>
      </c>
      <c r="D37" s="151">
        <f t="shared" si="14"/>
        <v>1.0578000000000001</v>
      </c>
      <c r="E37" s="151">
        <f t="shared" ref="E37:E42" si="19">ROUND($M37/$M$35,4)</f>
        <v>1.1595</v>
      </c>
      <c r="F37" s="151">
        <f>ROUND($M37/M36,4)</f>
        <v>0.9859</v>
      </c>
      <c r="G37" s="151">
        <f t="shared" ref="G37:G42" si="20">ROUND($M37/$M$37,4)</f>
        <v>1</v>
      </c>
      <c r="H37" s="151">
        <f t="shared" ref="H37:H42" si="21">ROUND($M37/$M$38,4)</f>
        <v>1.0174000000000001</v>
      </c>
      <c r="I37" s="151">
        <f t="shared" ref="I37:I42" si="22">ROUND($M37/$M$39,4)</f>
        <v>1.0065999999999999</v>
      </c>
      <c r="J37" s="151">
        <f t="shared" si="15"/>
        <v>1.1544000000000001</v>
      </c>
      <c r="K37" s="151">
        <f t="shared" si="16"/>
        <v>0.97789999999999999</v>
      </c>
      <c r="L37" s="151">
        <f t="shared" si="17"/>
        <v>0.98750000000000004</v>
      </c>
      <c r="M37" s="152">
        <v>46936.5</v>
      </c>
      <c r="N37" s="147"/>
    </row>
    <row r="38" spans="1:23" x14ac:dyDescent="0.2">
      <c r="A38" s="383" t="s">
        <v>160</v>
      </c>
      <c r="B38" s="383"/>
      <c r="C38" s="151">
        <f t="shared" si="18"/>
        <v>1.002</v>
      </c>
      <c r="D38" s="151">
        <f t="shared" si="14"/>
        <v>1.0398000000000001</v>
      </c>
      <c r="E38" s="151">
        <f t="shared" si="19"/>
        <v>1.1395999999999999</v>
      </c>
      <c r="F38" s="151">
        <f>ROUND($M38/M36,4)</f>
        <v>0.96899999999999997</v>
      </c>
      <c r="G38" s="151">
        <f t="shared" si="20"/>
        <v>0.9829</v>
      </c>
      <c r="H38" s="151">
        <f t="shared" si="21"/>
        <v>1</v>
      </c>
      <c r="I38" s="151">
        <f t="shared" si="22"/>
        <v>0.98939999999999995</v>
      </c>
      <c r="J38" s="151">
        <f t="shared" si="15"/>
        <v>1.1347</v>
      </c>
      <c r="K38" s="151">
        <f t="shared" si="16"/>
        <v>0.96120000000000005</v>
      </c>
      <c r="L38" s="151">
        <f t="shared" si="17"/>
        <v>0.97060000000000002</v>
      </c>
      <c r="M38" s="152">
        <v>46134</v>
      </c>
      <c r="N38" s="147"/>
    </row>
    <row r="39" spans="1:23" x14ac:dyDescent="0.2">
      <c r="A39" s="383" t="s">
        <v>162</v>
      </c>
      <c r="B39" s="383"/>
      <c r="C39" s="151">
        <f t="shared" si="18"/>
        <v>1.0127999999999999</v>
      </c>
      <c r="D39" s="151">
        <f t="shared" si="14"/>
        <v>1.0508999999999999</v>
      </c>
      <c r="E39" s="151">
        <f t="shared" si="19"/>
        <v>1.1517999999999999</v>
      </c>
      <c r="F39" s="151">
        <f>ROUND($M39/M36,4)</f>
        <v>0.97940000000000005</v>
      </c>
      <c r="G39" s="151">
        <f t="shared" si="20"/>
        <v>0.99339999999999995</v>
      </c>
      <c r="H39" s="151">
        <f t="shared" si="21"/>
        <v>1.0106999999999999</v>
      </c>
      <c r="I39" s="151">
        <f t="shared" si="22"/>
        <v>1</v>
      </c>
      <c r="J39" s="151">
        <f t="shared" si="15"/>
        <v>1.1468</v>
      </c>
      <c r="K39" s="151">
        <f t="shared" si="16"/>
        <v>0.97150000000000003</v>
      </c>
      <c r="L39" s="151">
        <f t="shared" si="17"/>
        <v>0.98099999999999998</v>
      </c>
      <c r="M39" s="152">
        <v>46628</v>
      </c>
      <c r="N39" s="147"/>
    </row>
    <row r="40" spans="1:23" x14ac:dyDescent="0.2">
      <c r="A40" s="383" t="s">
        <v>393</v>
      </c>
      <c r="B40" s="383"/>
      <c r="C40" s="151">
        <f t="shared" si="18"/>
        <v>0.8831</v>
      </c>
      <c r="D40" s="151">
        <f t="shared" si="14"/>
        <v>0.9163</v>
      </c>
      <c r="E40" s="151">
        <f t="shared" si="19"/>
        <v>1.0044</v>
      </c>
      <c r="F40" s="151">
        <f>ROUND($M40/M37,4)</f>
        <v>0.86619999999999997</v>
      </c>
      <c r="G40" s="151">
        <f t="shared" si="20"/>
        <v>0.86619999999999997</v>
      </c>
      <c r="H40" s="151">
        <f t="shared" si="21"/>
        <v>0.88129999999999997</v>
      </c>
      <c r="I40" s="151">
        <f t="shared" si="22"/>
        <v>0.872</v>
      </c>
      <c r="J40" s="151">
        <f t="shared" si="15"/>
        <v>1</v>
      </c>
      <c r="K40" s="151">
        <f t="shared" si="16"/>
        <v>0.84709999999999996</v>
      </c>
      <c r="L40" s="151">
        <f t="shared" si="17"/>
        <v>0.85540000000000005</v>
      </c>
      <c r="M40" s="152">
        <v>40657.5</v>
      </c>
      <c r="N40" s="147"/>
    </row>
    <row r="41" spans="1:23" x14ac:dyDescent="0.2">
      <c r="A41" s="383" t="s">
        <v>675</v>
      </c>
      <c r="B41" s="383"/>
      <c r="C41" s="151">
        <f t="shared" si="18"/>
        <v>1.0425</v>
      </c>
      <c r="D41" s="151">
        <f t="shared" si="14"/>
        <v>1.0818000000000001</v>
      </c>
      <c r="E41" s="151">
        <f t="shared" si="19"/>
        <v>1.1857</v>
      </c>
      <c r="F41" s="151">
        <f>ROUND($M41/M38,4)</f>
        <v>1.0404</v>
      </c>
      <c r="G41" s="151">
        <f t="shared" si="20"/>
        <v>1.0226</v>
      </c>
      <c r="H41" s="151">
        <f t="shared" si="21"/>
        <v>1.0404</v>
      </c>
      <c r="I41" s="151">
        <f t="shared" si="22"/>
        <v>1.0294000000000001</v>
      </c>
      <c r="J41" s="151">
        <f t="shared" si="15"/>
        <v>1.1805000000000001</v>
      </c>
      <c r="K41" s="151">
        <f t="shared" si="16"/>
        <v>1</v>
      </c>
      <c r="L41" s="151">
        <f t="shared" si="17"/>
        <v>1.0098</v>
      </c>
      <c r="M41" s="152">
        <v>47997.5</v>
      </c>
      <c r="N41" s="147"/>
    </row>
    <row r="42" spans="1:23" x14ac:dyDescent="0.2">
      <c r="A42" s="383" t="s">
        <v>676</v>
      </c>
      <c r="B42" s="383"/>
      <c r="C42" s="151">
        <f t="shared" si="18"/>
        <v>1.0323</v>
      </c>
      <c r="D42" s="151">
        <f t="shared" si="14"/>
        <v>1.0711999999999999</v>
      </c>
      <c r="E42" s="151">
        <f t="shared" si="19"/>
        <v>1.1740999999999999</v>
      </c>
      <c r="F42" s="151">
        <f>ROUND($M42/M39,4)</f>
        <v>1.0193000000000001</v>
      </c>
      <c r="G42" s="151">
        <f t="shared" si="20"/>
        <v>1.0125999999999999</v>
      </c>
      <c r="H42" s="151">
        <f t="shared" si="21"/>
        <v>1.0302</v>
      </c>
      <c r="I42" s="151">
        <f t="shared" si="22"/>
        <v>1.0193000000000001</v>
      </c>
      <c r="J42" s="151">
        <f t="shared" si="15"/>
        <v>1.169</v>
      </c>
      <c r="K42" s="151">
        <f t="shared" si="16"/>
        <v>0.99019999999999997</v>
      </c>
      <c r="L42" s="151">
        <f t="shared" si="17"/>
        <v>1</v>
      </c>
      <c r="M42" s="152">
        <v>47529.5</v>
      </c>
      <c r="N42" s="147"/>
    </row>
    <row r="44" spans="1:23" x14ac:dyDescent="0.2">
      <c r="A44" s="153" t="s">
        <v>677</v>
      </c>
      <c r="B44" s="154"/>
      <c r="C44" s="154"/>
      <c r="D44" s="154"/>
      <c r="E44" s="154"/>
      <c r="F44" s="154"/>
      <c r="G44" s="154"/>
      <c r="H44" s="154"/>
      <c r="I44" s="10"/>
      <c r="L44" s="153" t="s">
        <v>678</v>
      </c>
      <c r="M44" s="154"/>
      <c r="N44" s="154"/>
      <c r="O44" s="154"/>
      <c r="P44" s="154"/>
      <c r="Q44" s="154"/>
      <c r="R44" s="154"/>
      <c r="S44" s="154"/>
    </row>
    <row r="45" spans="1:23" ht="39" customHeight="1" x14ac:dyDescent="0.2">
      <c r="A45" s="133" t="s">
        <v>137</v>
      </c>
      <c r="B45" s="134" t="s">
        <v>256</v>
      </c>
      <c r="C45" s="155" t="str">
        <f>A46</f>
        <v>1 этаж</v>
      </c>
      <c r="D45" s="155" t="str">
        <f>A47</f>
        <v>Средние этажи</v>
      </c>
      <c r="E45" s="156" t="str">
        <f>A48</f>
        <v xml:space="preserve">2, и "предкрайние" этажи </v>
      </c>
      <c r="F45" s="155" t="str">
        <f>A49</f>
        <v>Верхние этажи</v>
      </c>
      <c r="G45" s="384" t="s">
        <v>266</v>
      </c>
      <c r="H45" s="384"/>
      <c r="L45" s="133" t="s">
        <v>137</v>
      </c>
      <c r="M45" s="134" t="s">
        <v>256</v>
      </c>
      <c r="N45" s="156" t="str">
        <f>L46</f>
        <v>1 этаж</v>
      </c>
      <c r="O45" s="156" t="str">
        <f>L47</f>
        <v>Средние этажи</v>
      </c>
      <c r="P45" s="156" t="str">
        <f>L48</f>
        <v xml:space="preserve">2, и "предкрайние" этажи </v>
      </c>
      <c r="Q45" s="156" t="str">
        <f>L49</f>
        <v>Верхние этажи</v>
      </c>
      <c r="R45" s="384" t="s">
        <v>266</v>
      </c>
      <c r="S45" s="384"/>
    </row>
    <row r="46" spans="1:23" x14ac:dyDescent="0.2">
      <c r="A46" s="376" t="s">
        <v>267</v>
      </c>
      <c r="B46" s="376"/>
      <c r="C46" s="93" t="e">
        <f>G46/G46</f>
        <v>#REF!</v>
      </c>
      <c r="D46" s="93" t="e">
        <f>G46/$G$47</f>
        <v>#REF!</v>
      </c>
      <c r="E46" s="93" t="e">
        <f>G46/$G$48</f>
        <v>#REF!</v>
      </c>
      <c r="F46" s="93" t="e">
        <f>G46/$G$49</f>
        <v>#REF!</v>
      </c>
      <c r="G46" s="385" t="e">
        <v>#REF!</v>
      </c>
      <c r="H46" s="386"/>
      <c r="K46" s="139"/>
      <c r="L46" s="376" t="s">
        <v>267</v>
      </c>
      <c r="M46" s="376"/>
      <c r="N46" s="93" t="e">
        <f>R46/$R$46</f>
        <v>#REF!</v>
      </c>
      <c r="O46" s="93" t="e">
        <f>R46/$R$47</f>
        <v>#REF!</v>
      </c>
      <c r="P46" s="93" t="e">
        <f>R46/$R$48</f>
        <v>#REF!</v>
      </c>
      <c r="Q46" s="93" t="e">
        <f>R46/$R$49</f>
        <v>#REF!</v>
      </c>
      <c r="R46" s="385" t="e">
        <v>#REF!</v>
      </c>
      <c r="S46" s="386"/>
      <c r="U46" s="387"/>
      <c r="V46" s="387"/>
      <c r="W46" s="139"/>
    </row>
    <row r="47" spans="1:23" x14ac:dyDescent="0.2">
      <c r="A47" s="376" t="s">
        <v>268</v>
      </c>
      <c r="B47" s="376"/>
      <c r="C47" s="93" t="e">
        <f>G47/$G$46</f>
        <v>#REF!</v>
      </c>
      <c r="D47" s="93" t="e">
        <f>G47/$G$47</f>
        <v>#REF!</v>
      </c>
      <c r="E47" s="93" t="e">
        <f>G47/$G$48</f>
        <v>#REF!</v>
      </c>
      <c r="F47" s="93" t="e">
        <f>G47/$G$49</f>
        <v>#REF!</v>
      </c>
      <c r="G47" s="385" t="e">
        <v>#REF!</v>
      </c>
      <c r="H47" s="386"/>
      <c r="K47" s="139"/>
      <c r="L47" s="376" t="s">
        <v>268</v>
      </c>
      <c r="M47" s="376"/>
      <c r="N47" s="93" t="e">
        <f>R47/$R$46</f>
        <v>#REF!</v>
      </c>
      <c r="O47" s="93" t="e">
        <f>R47/$R$47</f>
        <v>#REF!</v>
      </c>
      <c r="P47" s="93" t="e">
        <f>R47/$R$48</f>
        <v>#REF!</v>
      </c>
      <c r="Q47" s="93" t="e">
        <f>R47/$R$49</f>
        <v>#REF!</v>
      </c>
      <c r="R47" s="385" t="e">
        <v>#REF!</v>
      </c>
      <c r="S47" s="386"/>
      <c r="U47" s="387"/>
      <c r="V47" s="387"/>
      <c r="W47" s="139"/>
    </row>
    <row r="48" spans="1:23" x14ac:dyDescent="0.2">
      <c r="A48" s="376" t="s">
        <v>521</v>
      </c>
      <c r="B48" s="376"/>
      <c r="C48" s="93" t="e">
        <f>G48/$G$46</f>
        <v>#REF!</v>
      </c>
      <c r="D48" s="93" t="e">
        <f>G48/$G$47</f>
        <v>#REF!</v>
      </c>
      <c r="E48" s="93" t="e">
        <f>G48/$G$48</f>
        <v>#REF!</v>
      </c>
      <c r="F48" s="93" t="e">
        <f>G48/$G$49</f>
        <v>#REF!</v>
      </c>
      <c r="G48" s="385" t="e">
        <v>#REF!</v>
      </c>
      <c r="H48" s="386"/>
      <c r="K48" s="139"/>
      <c r="L48" s="376" t="s">
        <v>521</v>
      </c>
      <c r="M48" s="376"/>
      <c r="N48" s="93" t="e">
        <f>R48/$R$46</f>
        <v>#REF!</v>
      </c>
      <c r="O48" s="93" t="e">
        <f>R48/$R$47</f>
        <v>#REF!</v>
      </c>
      <c r="P48" s="93" t="e">
        <f>R48/$R$48</f>
        <v>#REF!</v>
      </c>
      <c r="Q48" s="93" t="e">
        <f>R48/$R$49</f>
        <v>#REF!</v>
      </c>
      <c r="R48" s="385" t="e">
        <v>#REF!</v>
      </c>
      <c r="S48" s="386"/>
      <c r="U48" s="157"/>
      <c r="V48" s="157"/>
      <c r="W48" s="139"/>
    </row>
    <row r="49" spans="1:23" x14ac:dyDescent="0.2">
      <c r="A49" s="388" t="s">
        <v>522</v>
      </c>
      <c r="B49" s="376"/>
      <c r="C49" s="93" t="e">
        <f>G49/$G$46</f>
        <v>#REF!</v>
      </c>
      <c r="D49" s="93" t="e">
        <f>G49/$G$47</f>
        <v>#REF!</v>
      </c>
      <c r="E49" s="93" t="e">
        <f>G49/$G$48</f>
        <v>#REF!</v>
      </c>
      <c r="F49" s="93" t="e">
        <f>G49/$G$49</f>
        <v>#REF!</v>
      </c>
      <c r="G49" s="385" t="e">
        <v>#REF!</v>
      </c>
      <c r="H49" s="386"/>
      <c r="K49" s="139"/>
      <c r="L49" s="388" t="s">
        <v>522</v>
      </c>
      <c r="M49" s="376"/>
      <c r="N49" s="93" t="e">
        <f>R49/$R$46</f>
        <v>#REF!</v>
      </c>
      <c r="O49" s="93" t="e">
        <f>R49/$R$47</f>
        <v>#REF!</v>
      </c>
      <c r="P49" s="93" t="e">
        <f>R49/$R$48</f>
        <v>#REF!</v>
      </c>
      <c r="Q49" s="93" t="e">
        <f>R49/$R$49</f>
        <v>#REF!</v>
      </c>
      <c r="R49" s="385" t="e">
        <v>#REF!</v>
      </c>
      <c r="S49" s="386"/>
      <c r="U49" s="387"/>
      <c r="V49" s="387"/>
      <c r="W49" s="139"/>
    </row>
    <row r="50" spans="1:23" hidden="1" x14ac:dyDescent="0.2">
      <c r="A50" s="388" t="s">
        <v>523</v>
      </c>
      <c r="B50" s="376"/>
      <c r="C50" s="93" t="e">
        <f>H50/$G$46</f>
        <v>#REF!</v>
      </c>
      <c r="D50" s="93" t="e">
        <f>H50/$G$47</f>
        <v>#REF!</v>
      </c>
      <c r="E50" s="93" t="e">
        <f>H50/$G$48</f>
        <v>#REF!</v>
      </c>
      <c r="F50" s="93" t="e">
        <f>H50/$G$49</f>
        <v>#REF!</v>
      </c>
      <c r="G50" s="93" t="e">
        <f>H50/$H$50</f>
        <v>#REF!</v>
      </c>
      <c r="H50" s="385" t="e">
        <v>#REF!</v>
      </c>
      <c r="I50" s="386"/>
      <c r="L50" s="388" t="s">
        <v>523</v>
      </c>
      <c r="M50" s="376"/>
      <c r="N50" s="93" t="e">
        <f>R50/$R$46</f>
        <v>#REF!</v>
      </c>
      <c r="O50" s="93" t="e">
        <f>R50/$R$47</f>
        <v>#REF!</v>
      </c>
      <c r="P50" s="93" t="e">
        <f>R50/$R$48</f>
        <v>#REF!</v>
      </c>
      <c r="Q50" s="93" t="e">
        <f>R50/$R$49</f>
        <v>#REF!</v>
      </c>
      <c r="R50" s="385" t="e">
        <v>#REF!</v>
      </c>
      <c r="S50" s="386"/>
    </row>
    <row r="52" spans="1:23" hidden="1" x14ac:dyDescent="0.2">
      <c r="A52" s="389" t="s">
        <v>679</v>
      </c>
      <c r="B52" s="390"/>
      <c r="C52" s="390"/>
      <c r="D52" s="390"/>
      <c r="E52" s="390"/>
      <c r="F52" s="390"/>
      <c r="G52" s="390"/>
      <c r="H52" s="390"/>
      <c r="I52" s="390"/>
    </row>
    <row r="53" spans="1:23" ht="34.5" hidden="1" customHeight="1" x14ac:dyDescent="0.2">
      <c r="A53" s="133" t="s">
        <v>137</v>
      </c>
      <c r="B53" s="134" t="s">
        <v>256</v>
      </c>
      <c r="C53" s="391" t="str">
        <f>A54</f>
        <v>Без отделки / ремонта</v>
      </c>
      <c r="D53" s="392"/>
      <c r="E53" s="391" t="str">
        <f>A55</f>
        <v>Ремонт (простой)</v>
      </c>
      <c r="F53" s="392"/>
      <c r="G53" s="391" t="str">
        <f>A56</f>
        <v>Евроремонт</v>
      </c>
      <c r="H53" s="392"/>
      <c r="I53" s="393" t="s">
        <v>680</v>
      </c>
      <c r="J53" s="394"/>
      <c r="K53" t="s">
        <v>681</v>
      </c>
    </row>
    <row r="54" spans="1:23" hidden="1" x14ac:dyDescent="0.2">
      <c r="A54" s="395" t="s">
        <v>682</v>
      </c>
      <c r="B54" s="396"/>
      <c r="C54" s="397" t="e">
        <f>I54/$I$54</f>
        <v>#DIV/0!</v>
      </c>
      <c r="D54" s="398"/>
      <c r="E54" s="397" t="e">
        <f>$I54/$I$55</f>
        <v>#DIV/0!</v>
      </c>
      <c r="F54" s="398"/>
      <c r="G54" s="397" t="e">
        <f>$I54/$I$56</f>
        <v>#DIV/0!</v>
      </c>
      <c r="H54" s="398"/>
      <c r="I54" s="385"/>
      <c r="J54" s="386"/>
      <c r="K54" s="139"/>
      <c r="R54" s="157"/>
      <c r="S54" s="387"/>
      <c r="T54" s="387"/>
      <c r="U54" s="387"/>
      <c r="V54" s="387"/>
      <c r="W54" s="139"/>
    </row>
    <row r="55" spans="1:23" hidden="1" x14ac:dyDescent="0.2">
      <c r="A55" s="395" t="s">
        <v>683</v>
      </c>
      <c r="B55" s="396"/>
      <c r="C55" s="397" t="e">
        <f>I55/$I$54</f>
        <v>#DIV/0!</v>
      </c>
      <c r="D55" s="398"/>
      <c r="E55" s="397" t="e">
        <f>$I55/$I$55</f>
        <v>#DIV/0!</v>
      </c>
      <c r="F55" s="398"/>
      <c r="G55" s="397" t="e">
        <f>$I55/$I$56</f>
        <v>#DIV/0!</v>
      </c>
      <c r="H55" s="398"/>
      <c r="I55" s="385"/>
      <c r="J55" s="386"/>
      <c r="K55" s="139"/>
      <c r="R55" s="157"/>
      <c r="S55" s="387"/>
      <c r="T55" s="387"/>
      <c r="U55" s="387"/>
      <c r="V55" s="387"/>
      <c r="W55" s="139"/>
    </row>
    <row r="56" spans="1:23" hidden="1" x14ac:dyDescent="0.2">
      <c r="A56" s="395" t="s">
        <v>151</v>
      </c>
      <c r="B56" s="396"/>
      <c r="C56" s="397" t="e">
        <f>I56/$I$54</f>
        <v>#DIV/0!</v>
      </c>
      <c r="D56" s="398"/>
      <c r="E56" s="397" t="e">
        <f>$I56/$I$55</f>
        <v>#DIV/0!</v>
      </c>
      <c r="F56" s="398"/>
      <c r="G56" s="397" t="e">
        <f>$I56/$I$56</f>
        <v>#DIV/0!</v>
      </c>
      <c r="H56" s="398"/>
      <c r="I56" s="385"/>
      <c r="J56" s="386"/>
      <c r="K56" s="139"/>
      <c r="R56" s="157"/>
      <c r="S56" s="387"/>
      <c r="T56" s="387"/>
      <c r="U56" s="387"/>
      <c r="V56" s="387"/>
      <c r="W56" s="139"/>
    </row>
    <row r="57" spans="1:23" x14ac:dyDescent="0.2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</row>
    <row r="58" spans="1:23" x14ac:dyDescent="0.2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</row>
    <row r="59" spans="1:23" x14ac:dyDescent="0.2">
      <c r="A59" s="381" t="s">
        <v>684</v>
      </c>
      <c r="B59" s="382"/>
      <c r="C59" s="382"/>
      <c r="D59" s="382"/>
      <c r="E59" s="382"/>
      <c r="F59" s="382"/>
      <c r="G59" s="382"/>
      <c r="H59" s="382"/>
      <c r="I59" s="382"/>
      <c r="J59" s="147"/>
      <c r="K59" s="147"/>
      <c r="L59" s="147"/>
      <c r="M59" s="147"/>
      <c r="N59" s="147"/>
      <c r="O59" s="147"/>
      <c r="P59" s="147"/>
    </row>
    <row r="60" spans="1:23" ht="36.75" customHeight="1" x14ac:dyDescent="0.2">
      <c r="A60" s="148" t="s">
        <v>137</v>
      </c>
      <c r="B60" s="142" t="s">
        <v>256</v>
      </c>
      <c r="C60" s="399" t="str">
        <f>A61</f>
        <v>С балконом (лоджией)</v>
      </c>
      <c r="D60" s="399"/>
      <c r="E60" s="399" t="str">
        <f>A62</f>
        <v>Без балкона (лоджии)</v>
      </c>
      <c r="F60" s="399" t="s">
        <v>259</v>
      </c>
      <c r="G60" s="158"/>
      <c r="H60" s="158"/>
      <c r="I60" s="158"/>
      <c r="J60" s="158"/>
      <c r="K60" s="158"/>
      <c r="L60" s="158"/>
      <c r="M60" s="147"/>
      <c r="N60" s="147"/>
      <c r="O60" s="147"/>
      <c r="P60" s="147"/>
    </row>
    <row r="61" spans="1:23" x14ac:dyDescent="0.2">
      <c r="A61" s="400" t="s">
        <v>353</v>
      </c>
      <c r="B61" s="400"/>
      <c r="C61" s="401">
        <v>0</v>
      </c>
      <c r="D61" s="401"/>
      <c r="E61" s="402">
        <v>2.93E-2</v>
      </c>
      <c r="F61" s="402"/>
      <c r="G61" s="159"/>
      <c r="H61" s="159"/>
      <c r="I61" s="159"/>
      <c r="J61" s="159"/>
      <c r="K61" s="158"/>
      <c r="L61" s="158"/>
      <c r="M61" s="147"/>
      <c r="N61" s="147"/>
      <c r="O61" s="147"/>
      <c r="P61" s="147"/>
    </row>
    <row r="62" spans="1:23" x14ac:dyDescent="0.2">
      <c r="A62" s="400" t="s">
        <v>354</v>
      </c>
      <c r="B62" s="400"/>
      <c r="C62" s="401">
        <v>-2.93E-2</v>
      </c>
      <c r="D62" s="401"/>
      <c r="E62" s="401">
        <v>0</v>
      </c>
      <c r="F62" s="401"/>
      <c r="G62" s="159"/>
      <c r="H62" s="159"/>
      <c r="I62" s="159"/>
      <c r="J62" s="159"/>
      <c r="K62" s="158"/>
      <c r="L62" s="158"/>
      <c r="M62" s="147"/>
      <c r="N62" s="147"/>
      <c r="O62" s="147"/>
      <c r="P62" s="147"/>
    </row>
    <row r="63" spans="1:23" x14ac:dyDescent="0.2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58"/>
      <c r="L63" s="158"/>
      <c r="M63" s="147"/>
      <c r="N63" s="147"/>
      <c r="O63" s="147"/>
      <c r="P63" s="147"/>
    </row>
    <row r="64" spans="1:23" x14ac:dyDescent="0.2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58"/>
      <c r="L64" s="158"/>
      <c r="M64" s="147"/>
      <c r="N64" s="147"/>
      <c r="O64" s="147"/>
      <c r="P64" s="147"/>
    </row>
    <row r="65" spans="1:23" x14ac:dyDescent="0.2">
      <c r="A65" s="374" t="s">
        <v>685</v>
      </c>
      <c r="B65" s="375"/>
      <c r="C65" s="375"/>
      <c r="D65" s="375"/>
      <c r="E65" s="375"/>
      <c r="F65" s="375"/>
      <c r="G65" s="375"/>
      <c r="H65" s="375"/>
      <c r="I65" s="375"/>
      <c r="J65" s="375"/>
      <c r="K65" s="10"/>
    </row>
    <row r="66" spans="1:23" ht="29.25" customHeight="1" x14ac:dyDescent="0.2">
      <c r="A66" s="393" t="s">
        <v>269</v>
      </c>
      <c r="B66" s="411"/>
      <c r="C66" s="394"/>
      <c r="D66" s="393" t="s">
        <v>270</v>
      </c>
      <c r="E66" s="394"/>
      <c r="F66" s="393" t="s">
        <v>686</v>
      </c>
      <c r="G66" s="394"/>
      <c r="H66" s="393" t="s">
        <v>143</v>
      </c>
      <c r="I66" s="411"/>
      <c r="J66" s="394"/>
      <c r="K66" s="160"/>
    </row>
    <row r="67" spans="1:23" ht="12.75" customHeight="1" x14ac:dyDescent="0.2">
      <c r="A67" s="403" t="s">
        <v>687</v>
      </c>
      <c r="B67" s="404"/>
      <c r="C67" s="405"/>
      <c r="D67" s="406" t="s">
        <v>688</v>
      </c>
      <c r="E67" s="407"/>
      <c r="F67" s="406">
        <v>2.5000000000000001E-2</v>
      </c>
      <c r="G67" s="407"/>
      <c r="H67" s="408" t="s">
        <v>689</v>
      </c>
      <c r="I67" s="409"/>
      <c r="J67" s="410"/>
      <c r="K67" s="161"/>
    </row>
    <row r="68" spans="1:23" x14ac:dyDescent="0.2">
      <c r="A68" s="408" t="s">
        <v>690</v>
      </c>
      <c r="B68" s="409"/>
      <c r="C68" s="410"/>
      <c r="D68" s="406" t="s">
        <v>691</v>
      </c>
      <c r="E68" s="407"/>
      <c r="F68" s="406">
        <v>0.03</v>
      </c>
      <c r="G68" s="407"/>
      <c r="H68" s="408" t="s">
        <v>692</v>
      </c>
      <c r="I68" s="409"/>
      <c r="J68" s="410"/>
      <c r="K68" s="161"/>
    </row>
    <row r="69" spans="1:23" ht="12.75" customHeight="1" x14ac:dyDescent="0.2">
      <c r="A69" s="408" t="s">
        <v>693</v>
      </c>
      <c r="B69" s="409"/>
      <c r="C69" s="410"/>
      <c r="D69" s="406" t="s">
        <v>694</v>
      </c>
      <c r="E69" s="407"/>
      <c r="F69" s="406">
        <v>0.02</v>
      </c>
      <c r="G69" s="407"/>
      <c r="H69" s="408" t="s">
        <v>695</v>
      </c>
      <c r="I69" s="409"/>
      <c r="J69" s="410"/>
      <c r="K69" s="161">
        <f>(1.5+5)/2</f>
        <v>3.25</v>
      </c>
    </row>
    <row r="70" spans="1:23" ht="12.75" customHeight="1" x14ac:dyDescent="0.2">
      <c r="A70" s="420" t="s">
        <v>696</v>
      </c>
      <c r="B70" s="421"/>
      <c r="C70" s="422"/>
      <c r="D70" s="423">
        <v>0.03</v>
      </c>
      <c r="E70" s="424"/>
      <c r="F70" s="423">
        <v>0.03</v>
      </c>
      <c r="G70" s="424"/>
      <c r="H70" s="403" t="s">
        <v>697</v>
      </c>
      <c r="I70" s="404"/>
      <c r="J70" s="405"/>
      <c r="K70" s="161"/>
    </row>
    <row r="71" spans="1:23" ht="32.25" customHeight="1" x14ac:dyDescent="0.2">
      <c r="A71" s="412" t="s">
        <v>698</v>
      </c>
      <c r="B71" s="412"/>
      <c r="C71" s="412"/>
      <c r="D71" s="412"/>
      <c r="E71" s="412"/>
      <c r="F71" s="413">
        <f>AVERAGE(F67:G70)</f>
        <v>2.6249999999999999E-2</v>
      </c>
      <c r="G71" s="413"/>
      <c r="H71" s="414" t="s">
        <v>699</v>
      </c>
      <c r="I71" s="415"/>
      <c r="J71" s="415"/>
      <c r="K71" s="1"/>
    </row>
    <row r="72" spans="1:23" ht="24" customHeight="1" x14ac:dyDescent="0.2">
      <c r="A72" s="412" t="s">
        <v>700</v>
      </c>
      <c r="B72" s="412"/>
      <c r="C72" s="412"/>
      <c r="D72" s="412"/>
      <c r="E72" s="412"/>
      <c r="F72" s="418">
        <f>F71/2</f>
        <v>1.3125E-2</v>
      </c>
      <c r="G72" s="419"/>
      <c r="H72" s="416"/>
      <c r="I72" s="417"/>
      <c r="J72" s="417"/>
      <c r="K72" s="1"/>
    </row>
    <row r="75" spans="1:23" x14ac:dyDescent="0.2">
      <c r="A75" s="374" t="s">
        <v>701</v>
      </c>
      <c r="B75" s="375"/>
      <c r="C75" s="375"/>
      <c r="D75" s="375"/>
      <c r="E75" s="375"/>
      <c r="F75" s="375"/>
      <c r="G75" s="375"/>
      <c r="H75" s="375"/>
      <c r="I75" s="375"/>
      <c r="M75" s="374" t="s">
        <v>702</v>
      </c>
      <c r="N75" s="375"/>
      <c r="O75" s="375"/>
      <c r="P75" s="375"/>
      <c r="Q75" s="375"/>
      <c r="R75" s="375"/>
      <c r="S75" s="375"/>
      <c r="T75" s="375"/>
      <c r="U75" s="375"/>
    </row>
    <row r="76" spans="1:23" ht="42" customHeight="1" x14ac:dyDescent="0.2">
      <c r="A76" s="133" t="s">
        <v>137</v>
      </c>
      <c r="B76" s="162" t="s">
        <v>256</v>
      </c>
      <c r="C76" s="380" t="s">
        <v>69</v>
      </c>
      <c r="D76" s="380"/>
      <c r="E76" s="380" t="str">
        <f>A78</f>
        <v>Кирпичный + монолитный</v>
      </c>
      <c r="F76" s="380"/>
      <c r="G76" s="384" t="s">
        <v>428</v>
      </c>
      <c r="H76" s="384"/>
      <c r="I76" s="425" t="s">
        <v>703</v>
      </c>
      <c r="J76" s="425"/>
      <c r="K76" s="143"/>
      <c r="M76" s="133" t="s">
        <v>137</v>
      </c>
      <c r="N76" s="134" t="s">
        <v>256</v>
      </c>
      <c r="O76" s="380" t="s">
        <v>69</v>
      </c>
      <c r="P76" s="380"/>
      <c r="Q76" s="380" t="str">
        <f>M78</f>
        <v>Кирпичный + монолитный</v>
      </c>
      <c r="R76" s="380"/>
      <c r="S76" s="384" t="s">
        <v>428</v>
      </c>
      <c r="T76" s="384"/>
      <c r="U76" s="425" t="s">
        <v>703</v>
      </c>
      <c r="V76" s="425"/>
    </row>
    <row r="77" spans="1:23" ht="16.5" customHeight="1" x14ac:dyDescent="0.2">
      <c r="A77" s="430" t="str">
        <f>C76</f>
        <v>Панельный</v>
      </c>
      <c r="B77" s="431"/>
      <c r="C77" s="426">
        <v>1</v>
      </c>
      <c r="D77" s="426"/>
      <c r="E77" s="426" t="e">
        <f>G77/G78</f>
        <v>#REF!</v>
      </c>
      <c r="F77" s="426"/>
      <c r="G77" s="427" t="e">
        <v>#REF!</v>
      </c>
      <c r="H77" s="428"/>
      <c r="I77" s="429" t="e">
        <v>#REF!</v>
      </c>
      <c r="J77" s="429"/>
      <c r="K77" s="139" t="s">
        <v>665</v>
      </c>
      <c r="M77" s="430" t="str">
        <f>O76</f>
        <v>Панельный</v>
      </c>
      <c r="N77" s="431"/>
      <c r="O77" s="426">
        <v>1</v>
      </c>
      <c r="P77" s="426"/>
      <c r="Q77" s="426" t="e">
        <f>S77/S78</f>
        <v>#REF!</v>
      </c>
      <c r="R77" s="426"/>
      <c r="S77" s="427" t="e">
        <f>U77</f>
        <v>#REF!</v>
      </c>
      <c r="T77" s="428"/>
      <c r="U77" s="429" t="e">
        <v>#REF!</v>
      </c>
      <c r="V77" s="429"/>
      <c r="W77" t="s">
        <v>665</v>
      </c>
    </row>
    <row r="78" spans="1:23" ht="16.5" customHeight="1" x14ac:dyDescent="0.2">
      <c r="A78" s="430" t="s">
        <v>704</v>
      </c>
      <c r="B78" s="431"/>
      <c r="C78" s="426" t="e">
        <f>G78/G77</f>
        <v>#REF!</v>
      </c>
      <c r="D78" s="426"/>
      <c r="E78" s="426">
        <v>1</v>
      </c>
      <c r="F78" s="426"/>
      <c r="G78" s="427" t="e">
        <f>(I78+I79)/2</f>
        <v>#REF!</v>
      </c>
      <c r="H78" s="428"/>
      <c r="I78" s="429" t="e">
        <v>#REF!</v>
      </c>
      <c r="J78" s="429"/>
      <c r="K78" s="139" t="s">
        <v>705</v>
      </c>
      <c r="M78" s="430" t="str">
        <f>A78</f>
        <v>Кирпичный + монолитный</v>
      </c>
      <c r="N78" s="431"/>
      <c r="O78" s="426" t="e">
        <f>S78/S77</f>
        <v>#REF!</v>
      </c>
      <c r="P78" s="426"/>
      <c r="Q78" s="426">
        <v>1</v>
      </c>
      <c r="R78" s="426"/>
      <c r="S78" s="427" t="e">
        <f>(U79+U78)/2</f>
        <v>#REF!</v>
      </c>
      <c r="T78" s="428"/>
      <c r="U78" s="429" t="e">
        <v>#REF!</v>
      </c>
      <c r="V78" s="429"/>
      <c r="W78" s="140" t="s">
        <v>705</v>
      </c>
    </row>
    <row r="79" spans="1:23" x14ac:dyDescent="0.2">
      <c r="A79" s="435"/>
      <c r="B79" s="436"/>
      <c r="C79" s="387"/>
      <c r="D79" s="387"/>
      <c r="E79" s="387"/>
      <c r="F79" s="387"/>
      <c r="G79" s="387"/>
      <c r="H79" s="387"/>
      <c r="I79" s="429" t="e">
        <v>#REF!</v>
      </c>
      <c r="J79" s="429"/>
      <c r="K79" s="139" t="s">
        <v>706</v>
      </c>
      <c r="M79" s="435"/>
      <c r="N79" s="436"/>
      <c r="O79" s="387"/>
      <c r="P79" s="387"/>
      <c r="Q79" s="387"/>
      <c r="R79" s="387"/>
      <c r="S79" s="387"/>
      <c r="T79" s="387"/>
      <c r="U79" s="429" t="e">
        <v>#REF!</v>
      </c>
      <c r="V79" s="429"/>
      <c r="W79" t="s">
        <v>706</v>
      </c>
    </row>
    <row r="80" spans="1:23" x14ac:dyDescent="0.2">
      <c r="K80" s="139"/>
    </row>
    <row r="81" spans="1:23" x14ac:dyDescent="0.2">
      <c r="A81" s="432" t="s">
        <v>707</v>
      </c>
      <c r="B81" s="433"/>
      <c r="C81" s="375"/>
      <c r="D81" s="375"/>
      <c r="E81" s="375"/>
      <c r="F81" s="375"/>
      <c r="G81" s="375"/>
      <c r="H81" s="375"/>
      <c r="I81" s="375"/>
      <c r="W81" s="163"/>
    </row>
    <row r="82" spans="1:23" ht="35.25" customHeight="1" x14ac:dyDescent="0.2">
      <c r="A82" s="133" t="s">
        <v>137</v>
      </c>
      <c r="B82" s="162" t="s">
        <v>256</v>
      </c>
      <c r="C82" s="380" t="s">
        <v>69</v>
      </c>
      <c r="D82" s="380"/>
      <c r="E82" s="380" t="str">
        <f>A84</f>
        <v>Кирпичный + монолитный</v>
      </c>
      <c r="F82" s="380"/>
      <c r="G82" s="384" t="s">
        <v>428</v>
      </c>
      <c r="H82" s="384"/>
      <c r="I82" s="425"/>
      <c r="J82" s="425"/>
      <c r="N82" t="s">
        <v>499</v>
      </c>
      <c r="W82" s="163"/>
    </row>
    <row r="83" spans="1:23" ht="15" customHeight="1" x14ac:dyDescent="0.2">
      <c r="A83" s="430" t="str">
        <f>C82</f>
        <v>Панельный</v>
      </c>
      <c r="B83" s="430"/>
      <c r="C83" s="426">
        <v>1</v>
      </c>
      <c r="D83" s="426"/>
      <c r="E83" s="426" t="e">
        <f>G83/G84</f>
        <v>#REF!</v>
      </c>
      <c r="F83" s="426"/>
      <c r="G83" s="434" t="e">
        <f>(G77+S77)/2</f>
        <v>#REF!</v>
      </c>
      <c r="H83" s="434"/>
      <c r="I83" s="429"/>
      <c r="J83" s="429"/>
      <c r="K83" s="139"/>
    </row>
    <row r="84" spans="1:23" ht="15" customHeight="1" x14ac:dyDescent="0.2">
      <c r="A84" s="430" t="str">
        <f>A78</f>
        <v>Кирпичный + монолитный</v>
      </c>
      <c r="B84" s="430"/>
      <c r="C84" s="426" t="e">
        <f>G84/G83</f>
        <v>#REF!</v>
      </c>
      <c r="D84" s="426"/>
      <c r="E84" s="426">
        <v>1</v>
      </c>
      <c r="F84" s="426"/>
      <c r="G84" s="434" t="e">
        <f>(G78+S78)/2</f>
        <v>#REF!</v>
      </c>
      <c r="H84" s="434"/>
      <c r="I84" s="429"/>
      <c r="J84" s="429"/>
      <c r="K84" s="139"/>
    </row>
    <row r="85" spans="1:23" x14ac:dyDescent="0.2">
      <c r="A85" s="435"/>
      <c r="B85" s="435"/>
      <c r="C85" s="387"/>
      <c r="D85" s="387"/>
      <c r="E85" s="387"/>
      <c r="F85" s="387"/>
      <c r="G85" s="387"/>
      <c r="H85" s="387"/>
      <c r="I85" s="429"/>
      <c r="J85" s="429"/>
      <c r="K85" s="139"/>
    </row>
    <row r="88" spans="1:23" x14ac:dyDescent="0.2">
      <c r="A88" s="432" t="s">
        <v>708</v>
      </c>
      <c r="B88" s="433"/>
      <c r="C88" s="433"/>
      <c r="D88" s="433"/>
      <c r="E88" s="433"/>
      <c r="F88" s="433"/>
      <c r="G88" s="433"/>
      <c r="H88" s="433"/>
      <c r="I88" s="433"/>
    </row>
    <row r="89" spans="1:23" ht="72" customHeight="1" x14ac:dyDescent="0.2">
      <c r="A89" s="133" t="s">
        <v>137</v>
      </c>
      <c r="B89" s="134" t="s">
        <v>256</v>
      </c>
      <c r="C89" s="164" t="str">
        <f>A90</f>
        <v>Требуется капитальный ремонт ремонт</v>
      </c>
      <c r="D89" s="164" t="str">
        <f>A91</f>
        <v>Простой ремонт (удовлетворительное) / Требуется косметический ремонт</v>
      </c>
      <c r="E89" s="164" t="str">
        <f>A92</f>
        <v>Строительная отделка</v>
      </c>
      <c r="F89" s="164" t="str">
        <f>A93</f>
        <v>Простой ремонт (Косметический)</v>
      </c>
      <c r="G89" s="164" t="str">
        <f>A94</f>
        <v>Отделка улучшенного качества (Капитальный ремонт)</v>
      </c>
      <c r="H89" s="164" t="str">
        <f>A95</f>
        <v>Евроремонт</v>
      </c>
      <c r="I89" s="384" t="s">
        <v>709</v>
      </c>
      <c r="J89" s="384"/>
      <c r="K89" s="143"/>
    </row>
    <row r="90" spans="1:23" ht="18.75" customHeight="1" x14ac:dyDescent="0.2">
      <c r="A90" s="437" t="s">
        <v>710</v>
      </c>
      <c r="B90" s="437"/>
      <c r="C90" s="165">
        <v>0</v>
      </c>
      <c r="D90" s="165">
        <f>-I91</f>
        <v>-1800</v>
      </c>
      <c r="E90" s="438">
        <f>I90-I92</f>
        <v>-3600</v>
      </c>
      <c r="F90" s="438"/>
      <c r="G90" s="165">
        <f>-I94</f>
        <v>-5900</v>
      </c>
      <c r="H90" s="165">
        <f>-I95</f>
        <v>-7700</v>
      </c>
      <c r="I90" s="434">
        <v>0</v>
      </c>
      <c r="J90" s="434"/>
      <c r="K90" s="166"/>
    </row>
    <row r="91" spans="1:23" ht="29.25" customHeight="1" x14ac:dyDescent="0.2">
      <c r="A91" s="437" t="s">
        <v>711</v>
      </c>
      <c r="B91" s="437"/>
      <c r="C91" s="165">
        <f>I91</f>
        <v>1800</v>
      </c>
      <c r="D91" s="165">
        <v>0</v>
      </c>
      <c r="E91" s="438">
        <f>I91-I92</f>
        <v>-1800</v>
      </c>
      <c r="F91" s="438"/>
      <c r="G91" s="165">
        <f>I91-I94</f>
        <v>-4100</v>
      </c>
      <c r="H91" s="165">
        <f>I91-I95</f>
        <v>-5900</v>
      </c>
      <c r="I91" s="434">
        <v>1800</v>
      </c>
      <c r="J91" s="434"/>
      <c r="K91" s="166"/>
    </row>
    <row r="92" spans="1:23" ht="11.25" customHeight="1" x14ac:dyDescent="0.2">
      <c r="A92" s="437" t="s">
        <v>386</v>
      </c>
      <c r="B92" s="437"/>
      <c r="C92" s="438">
        <f>I92-I90</f>
        <v>3600</v>
      </c>
      <c r="D92" s="438">
        <f>I92-I91</f>
        <v>1800</v>
      </c>
      <c r="E92" s="438">
        <v>0</v>
      </c>
      <c r="F92" s="438"/>
      <c r="G92" s="438">
        <f>I92-I94</f>
        <v>-2300</v>
      </c>
      <c r="H92" s="438">
        <f>I92-I95</f>
        <v>-4100</v>
      </c>
      <c r="I92" s="434">
        <v>3600</v>
      </c>
      <c r="J92" s="434"/>
      <c r="K92" s="166"/>
    </row>
    <row r="93" spans="1:23" ht="18.75" customHeight="1" x14ac:dyDescent="0.2">
      <c r="A93" s="437" t="s">
        <v>712</v>
      </c>
      <c r="B93" s="437"/>
      <c r="C93" s="438"/>
      <c r="D93" s="438"/>
      <c r="E93" s="438"/>
      <c r="F93" s="438"/>
      <c r="G93" s="438"/>
      <c r="H93" s="438"/>
      <c r="I93" s="434"/>
      <c r="J93" s="434"/>
      <c r="K93" s="166"/>
      <c r="M93" s="167"/>
      <c r="N93" s="167"/>
      <c r="O93" s="168"/>
      <c r="P93" s="168"/>
      <c r="Q93" s="168"/>
      <c r="R93" s="169"/>
      <c r="S93" s="169"/>
    </row>
    <row r="94" spans="1:23" ht="18.75" customHeight="1" x14ac:dyDescent="0.2">
      <c r="A94" s="437" t="s">
        <v>713</v>
      </c>
      <c r="B94" s="437"/>
      <c r="C94" s="165">
        <f>I94-I90</f>
        <v>5900</v>
      </c>
      <c r="D94" s="165">
        <f>I94-I91</f>
        <v>4100</v>
      </c>
      <c r="E94" s="438">
        <f>I94-I92</f>
        <v>2300</v>
      </c>
      <c r="F94" s="438"/>
      <c r="G94" s="165">
        <f>I94-I94</f>
        <v>0</v>
      </c>
      <c r="H94" s="165">
        <f>I94-I95</f>
        <v>-1800</v>
      </c>
      <c r="I94" s="434">
        <v>5900</v>
      </c>
      <c r="J94" s="434"/>
      <c r="K94" s="166"/>
    </row>
    <row r="95" spans="1:23" ht="18.75" customHeight="1" x14ac:dyDescent="0.2">
      <c r="A95" s="437" t="s">
        <v>151</v>
      </c>
      <c r="B95" s="437"/>
      <c r="C95" s="165">
        <f>I95-I90</f>
        <v>7700</v>
      </c>
      <c r="D95" s="165">
        <f>I95-I91</f>
        <v>5900</v>
      </c>
      <c r="E95" s="438">
        <f>I95-I92</f>
        <v>4100</v>
      </c>
      <c r="F95" s="438"/>
      <c r="G95" s="165">
        <f>I95-I94</f>
        <v>1800</v>
      </c>
      <c r="H95" s="165">
        <v>0</v>
      </c>
      <c r="I95" s="434">
        <v>7700</v>
      </c>
      <c r="J95" s="434"/>
      <c r="K95" s="166"/>
    </row>
    <row r="96" spans="1:23" ht="18.75" customHeight="1" x14ac:dyDescent="0.2">
      <c r="A96" s="167"/>
      <c r="B96" s="167"/>
      <c r="C96" s="170"/>
      <c r="D96" s="170"/>
      <c r="E96" s="170"/>
      <c r="F96" s="170"/>
      <c r="G96" s="170"/>
      <c r="H96" s="170"/>
      <c r="I96" s="166"/>
      <c r="J96" s="166"/>
      <c r="K96" s="166"/>
      <c r="M96" s="171" t="s">
        <v>714</v>
      </c>
    </row>
    <row r="97" spans="1:20" ht="54" customHeight="1" x14ac:dyDescent="0.2">
      <c r="A97" s="167"/>
      <c r="B97" s="167"/>
      <c r="C97" s="170"/>
      <c r="D97" s="170"/>
      <c r="E97" s="170"/>
      <c r="F97" s="170"/>
      <c r="G97" s="170"/>
      <c r="H97" s="170"/>
      <c r="I97" s="166"/>
      <c r="J97" s="166"/>
      <c r="K97" s="166"/>
      <c r="M97" s="133" t="s">
        <v>137</v>
      </c>
      <c r="N97" s="134" t="s">
        <v>256</v>
      </c>
      <c r="O97" s="172" t="str">
        <f>M98</f>
        <v>Черновая / Без отделки</v>
      </c>
      <c r="P97" s="164" t="str">
        <f>M99</f>
        <v>Частичная отделка / Предчистовая</v>
      </c>
      <c r="Q97" s="164" t="str">
        <f>M100</f>
        <v>Чистовая отделка (Простой ремонт)</v>
      </c>
      <c r="R97" s="384" t="s">
        <v>715</v>
      </c>
      <c r="S97" s="384"/>
    </row>
    <row r="98" spans="1:20" ht="20.25" customHeight="1" x14ac:dyDescent="0.2">
      <c r="A98" s="167"/>
      <c r="B98" s="167"/>
      <c r="C98" s="170"/>
      <c r="D98" s="170"/>
      <c r="E98" s="170"/>
      <c r="F98" s="170"/>
      <c r="G98" s="170"/>
      <c r="H98" s="170"/>
      <c r="I98" s="166"/>
      <c r="J98" s="166"/>
      <c r="K98" s="166"/>
      <c r="M98" s="439" t="s">
        <v>716</v>
      </c>
      <c r="N98" s="439"/>
      <c r="O98" s="173">
        <v>0</v>
      </c>
      <c r="P98" s="173">
        <f>-R99</f>
        <v>-4000</v>
      </c>
      <c r="Q98" s="173">
        <f>R98-R100</f>
        <v>-7000</v>
      </c>
      <c r="R98" s="434">
        <v>0</v>
      </c>
      <c r="S98" s="434"/>
    </row>
    <row r="99" spans="1:20" ht="20.25" customHeight="1" x14ac:dyDescent="0.2">
      <c r="M99" s="440" t="s">
        <v>717</v>
      </c>
      <c r="N99" s="440"/>
      <c r="O99" s="173">
        <f>R99</f>
        <v>4000</v>
      </c>
      <c r="P99" s="173">
        <v>0</v>
      </c>
      <c r="Q99" s="173">
        <f>R99-R100</f>
        <v>-3000</v>
      </c>
      <c r="R99" s="434">
        <v>4000</v>
      </c>
      <c r="S99" s="434"/>
    </row>
    <row r="100" spans="1:20" ht="20.25" customHeight="1" x14ac:dyDescent="0.2">
      <c r="M100" s="440" t="s">
        <v>718</v>
      </c>
      <c r="N100" s="440"/>
      <c r="O100" s="173">
        <f>R100-R98</f>
        <v>7000</v>
      </c>
      <c r="P100" s="173">
        <f>R100-R99</f>
        <v>3000</v>
      </c>
      <c r="Q100" s="173">
        <v>0</v>
      </c>
      <c r="R100" s="434">
        <v>7000</v>
      </c>
      <c r="S100" s="434"/>
    </row>
    <row r="101" spans="1:20" x14ac:dyDescent="0.2">
      <c r="T101" s="79" t="s">
        <v>719</v>
      </c>
    </row>
    <row r="102" spans="1:20" x14ac:dyDescent="0.2">
      <c r="A102" s="432" t="s">
        <v>720</v>
      </c>
      <c r="B102" s="433"/>
      <c r="C102" s="433"/>
      <c r="D102" s="433"/>
      <c r="E102" s="433"/>
      <c r="F102" s="433"/>
      <c r="G102" s="433"/>
      <c r="H102" s="433"/>
      <c r="I102" s="433"/>
    </row>
    <row r="103" spans="1:20" x14ac:dyDescent="0.2">
      <c r="A103" s="441" t="s">
        <v>721</v>
      </c>
      <c r="B103" s="346"/>
      <c r="C103" s="443" t="s">
        <v>429</v>
      </c>
      <c r="D103" s="444"/>
      <c r="E103" s="444" t="s">
        <v>430</v>
      </c>
      <c r="F103" s="444"/>
      <c r="G103" s="444" t="s">
        <v>431</v>
      </c>
      <c r="H103" s="444"/>
      <c r="I103" s="444" t="s">
        <v>432</v>
      </c>
      <c r="J103" s="445"/>
      <c r="K103" s="174"/>
    </row>
    <row r="104" spans="1:20" x14ac:dyDescent="0.2">
      <c r="A104" s="442"/>
      <c r="B104" s="348"/>
      <c r="C104" s="446">
        <v>1481165.2288727148</v>
      </c>
      <c r="D104" s="447"/>
      <c r="E104" s="448">
        <v>2250393.5641510771</v>
      </c>
      <c r="F104" s="449"/>
      <c r="G104" s="448">
        <v>3224433.8349401811</v>
      </c>
      <c r="H104" s="449"/>
      <c r="I104" s="448">
        <v>5189030.7731683888</v>
      </c>
      <c r="J104" s="428"/>
      <c r="K104" s="166"/>
    </row>
    <row r="105" spans="1:20" ht="48" customHeight="1" x14ac:dyDescent="0.2">
      <c r="A105" s="450" t="s">
        <v>722</v>
      </c>
      <c r="B105" s="451"/>
      <c r="C105" s="449">
        <f>SUM(C106:C108)</f>
        <v>28363</v>
      </c>
      <c r="D105" s="452"/>
      <c r="E105" s="452">
        <f>SUM(E106:F108)</f>
        <v>38985.17</v>
      </c>
      <c r="F105" s="452"/>
      <c r="G105" s="452">
        <f>SUM(G106:G108)</f>
        <v>49607.34</v>
      </c>
      <c r="H105" s="452"/>
      <c r="I105" s="452">
        <f>SUM(I106:I108)</f>
        <v>60229.51</v>
      </c>
      <c r="J105" s="453"/>
      <c r="K105" s="166"/>
      <c r="O105" s="79" t="s">
        <v>723</v>
      </c>
    </row>
    <row r="106" spans="1:20" x14ac:dyDescent="0.2">
      <c r="A106" s="454" t="s">
        <v>433</v>
      </c>
      <c r="B106" s="455"/>
      <c r="C106" s="456">
        <v>17740.830000000002</v>
      </c>
      <c r="D106" s="457"/>
      <c r="E106" s="457">
        <f>C106</f>
        <v>17740.830000000002</v>
      </c>
      <c r="F106" s="457"/>
      <c r="G106" s="457">
        <f>E106</f>
        <v>17740.830000000002</v>
      </c>
      <c r="H106" s="457"/>
      <c r="I106" s="457">
        <f>G106</f>
        <v>17740.830000000002</v>
      </c>
      <c r="J106" s="458"/>
      <c r="K106" s="175"/>
    </row>
    <row r="107" spans="1:20" x14ac:dyDescent="0.2">
      <c r="A107" s="459" t="s">
        <v>434</v>
      </c>
      <c r="B107" s="460"/>
      <c r="C107" s="461"/>
      <c r="D107" s="462"/>
      <c r="E107" s="462">
        <v>10622.17</v>
      </c>
      <c r="F107" s="462"/>
      <c r="G107" s="462">
        <f>E107*2</f>
        <v>21244.34</v>
      </c>
      <c r="H107" s="462"/>
      <c r="I107" s="462">
        <f>E107*3</f>
        <v>31866.510000000002</v>
      </c>
      <c r="J107" s="463"/>
      <c r="K107" s="175"/>
    </row>
    <row r="108" spans="1:20" x14ac:dyDescent="0.2">
      <c r="A108" s="459" t="s">
        <v>435</v>
      </c>
      <c r="B108" s="460"/>
      <c r="C108" s="461">
        <v>10622.17</v>
      </c>
      <c r="D108" s="462"/>
      <c r="E108" s="462">
        <f>C108</f>
        <v>10622.17</v>
      </c>
      <c r="F108" s="462"/>
      <c r="G108" s="462">
        <f>E108</f>
        <v>10622.17</v>
      </c>
      <c r="H108" s="462"/>
      <c r="I108" s="462">
        <f>G108</f>
        <v>10622.17</v>
      </c>
      <c r="J108" s="463"/>
      <c r="K108" s="175"/>
    </row>
    <row r="109" spans="1:20" hidden="1" x14ac:dyDescent="0.2">
      <c r="A109" s="467"/>
      <c r="B109" s="468"/>
      <c r="C109" s="469"/>
      <c r="D109" s="470"/>
      <c r="E109" s="470"/>
      <c r="F109" s="470"/>
      <c r="G109" s="470"/>
      <c r="H109" s="470"/>
      <c r="I109" s="470"/>
      <c r="J109" s="471"/>
      <c r="K109" s="176"/>
    </row>
    <row r="110" spans="1:20" x14ac:dyDescent="0.2">
      <c r="A110" s="472" t="s">
        <v>436</v>
      </c>
      <c r="B110" s="473"/>
      <c r="C110" s="474">
        <f>C105/C104</f>
        <v>1.9149112770886819E-2</v>
      </c>
      <c r="D110" s="475"/>
      <c r="E110" s="475">
        <f>E105/E104</f>
        <v>1.7323712003551917E-2</v>
      </c>
      <c r="F110" s="475"/>
      <c r="G110" s="475">
        <f>G105/G104</f>
        <v>1.5384821813507704E-2</v>
      </c>
      <c r="H110" s="475"/>
      <c r="I110" s="475">
        <f>I105/I104</f>
        <v>1.16070828316218E-2</v>
      </c>
      <c r="J110" s="476"/>
      <c r="K110" s="176"/>
    </row>
    <row r="111" spans="1:20" x14ac:dyDescent="0.2">
      <c r="A111" s="431" t="s">
        <v>437</v>
      </c>
      <c r="B111" s="431"/>
      <c r="C111" s="431"/>
      <c r="D111" s="431"/>
      <c r="E111" s="431"/>
      <c r="F111" s="431"/>
      <c r="G111" s="464">
        <f>ROUND(AVERAGE(C110:J110),4)</f>
        <v>1.5900000000000001E-2</v>
      </c>
      <c r="H111" s="465"/>
      <c r="I111" s="465"/>
      <c r="J111" s="466"/>
      <c r="K111" s="177"/>
    </row>
  </sheetData>
  <mergeCells count="259">
    <mergeCell ref="A111:F111"/>
    <mergeCell ref="G111:J111"/>
    <mergeCell ref="A109:B109"/>
    <mergeCell ref="C109:D109"/>
    <mergeCell ref="E109:F109"/>
    <mergeCell ref="G109:H109"/>
    <mergeCell ref="I109:J109"/>
    <mergeCell ref="A110:B110"/>
    <mergeCell ref="C110:D110"/>
    <mergeCell ref="E110:F110"/>
    <mergeCell ref="G110:H110"/>
    <mergeCell ref="I110:J110"/>
    <mergeCell ref="A107:B107"/>
    <mergeCell ref="C107:D107"/>
    <mergeCell ref="E107:F107"/>
    <mergeCell ref="G107:H107"/>
    <mergeCell ref="I107:J107"/>
    <mergeCell ref="A108:B108"/>
    <mergeCell ref="C108:D108"/>
    <mergeCell ref="E108:F108"/>
    <mergeCell ref="G108:H108"/>
    <mergeCell ref="I108:J108"/>
    <mergeCell ref="A105:B105"/>
    <mergeCell ref="C105:D105"/>
    <mergeCell ref="E105:F105"/>
    <mergeCell ref="G105:H105"/>
    <mergeCell ref="I105:J105"/>
    <mergeCell ref="A106:B106"/>
    <mergeCell ref="C106:D106"/>
    <mergeCell ref="E106:F106"/>
    <mergeCell ref="G106:H106"/>
    <mergeCell ref="I106:J106"/>
    <mergeCell ref="A102:I102"/>
    <mergeCell ref="A103:B104"/>
    <mergeCell ref="C103:D103"/>
    <mergeCell ref="E103:F103"/>
    <mergeCell ref="G103:H103"/>
    <mergeCell ref="I103:J103"/>
    <mergeCell ref="C104:D104"/>
    <mergeCell ref="E104:F104"/>
    <mergeCell ref="G104:H104"/>
    <mergeCell ref="I104:J104"/>
    <mergeCell ref="R97:S97"/>
    <mergeCell ref="M98:N98"/>
    <mergeCell ref="R98:S98"/>
    <mergeCell ref="M99:N99"/>
    <mergeCell ref="R99:S99"/>
    <mergeCell ref="M100:N100"/>
    <mergeCell ref="R100:S100"/>
    <mergeCell ref="I92:J93"/>
    <mergeCell ref="A93:B93"/>
    <mergeCell ref="A94:B94"/>
    <mergeCell ref="E94:F94"/>
    <mergeCell ref="I94:J94"/>
    <mergeCell ref="A95:B95"/>
    <mergeCell ref="E95:F95"/>
    <mergeCell ref="I95:J95"/>
    <mergeCell ref="A92:B92"/>
    <mergeCell ref="C92:C93"/>
    <mergeCell ref="D92:D93"/>
    <mergeCell ref="E92:F93"/>
    <mergeCell ref="G92:G93"/>
    <mergeCell ref="H92:H93"/>
    <mergeCell ref="A91:B91"/>
    <mergeCell ref="E91:F91"/>
    <mergeCell ref="I91:J91"/>
    <mergeCell ref="A85:B85"/>
    <mergeCell ref="C85:D85"/>
    <mergeCell ref="E85:F85"/>
    <mergeCell ref="G85:H85"/>
    <mergeCell ref="I85:J85"/>
    <mergeCell ref="A88:I88"/>
    <mergeCell ref="A84:B84"/>
    <mergeCell ref="C84:D84"/>
    <mergeCell ref="E84:F84"/>
    <mergeCell ref="G84:H84"/>
    <mergeCell ref="I84:J84"/>
    <mergeCell ref="I89:J89"/>
    <mergeCell ref="A90:B90"/>
    <mergeCell ref="E90:F90"/>
    <mergeCell ref="I90:J90"/>
    <mergeCell ref="U79:V79"/>
    <mergeCell ref="A81:I81"/>
    <mergeCell ref="C82:D82"/>
    <mergeCell ref="E82:F82"/>
    <mergeCell ref="G82:H82"/>
    <mergeCell ref="I82:J82"/>
    <mergeCell ref="A83:B83"/>
    <mergeCell ref="C83:D83"/>
    <mergeCell ref="E83:F83"/>
    <mergeCell ref="G83:H83"/>
    <mergeCell ref="I83:J83"/>
    <mergeCell ref="A79:B79"/>
    <mergeCell ref="C79:D79"/>
    <mergeCell ref="E79:F79"/>
    <mergeCell ref="G79:H79"/>
    <mergeCell ref="I79:J79"/>
    <mergeCell ref="M79:N79"/>
    <mergeCell ref="O79:P79"/>
    <mergeCell ref="Q79:R79"/>
    <mergeCell ref="S79:T79"/>
    <mergeCell ref="O77:P77"/>
    <mergeCell ref="Q77:R77"/>
    <mergeCell ref="S77:T77"/>
    <mergeCell ref="U77:V77"/>
    <mergeCell ref="A78:B78"/>
    <mergeCell ref="C78:D78"/>
    <mergeCell ref="E78:F78"/>
    <mergeCell ref="G78:H78"/>
    <mergeCell ref="I78:J78"/>
    <mergeCell ref="M78:N78"/>
    <mergeCell ref="A77:B77"/>
    <mergeCell ref="C77:D77"/>
    <mergeCell ref="E77:F77"/>
    <mergeCell ref="G77:H77"/>
    <mergeCell ref="I77:J77"/>
    <mergeCell ref="M77:N77"/>
    <mergeCell ref="O78:P78"/>
    <mergeCell ref="Q78:R78"/>
    <mergeCell ref="S78:T78"/>
    <mergeCell ref="U78:V78"/>
    <mergeCell ref="M75:U75"/>
    <mergeCell ref="C76:D76"/>
    <mergeCell ref="E76:F76"/>
    <mergeCell ref="G76:H76"/>
    <mergeCell ref="I76:J76"/>
    <mergeCell ref="O76:P76"/>
    <mergeCell ref="Q76:R76"/>
    <mergeCell ref="S76:T76"/>
    <mergeCell ref="U76:V76"/>
    <mergeCell ref="A71:E71"/>
    <mergeCell ref="F71:G71"/>
    <mergeCell ref="H71:J72"/>
    <mergeCell ref="A72:E72"/>
    <mergeCell ref="F72:G72"/>
    <mergeCell ref="A75:I75"/>
    <mergeCell ref="A69:C69"/>
    <mergeCell ref="D69:E69"/>
    <mergeCell ref="F69:G69"/>
    <mergeCell ref="H69:J69"/>
    <mergeCell ref="A70:C70"/>
    <mergeCell ref="D70:E70"/>
    <mergeCell ref="F70:G70"/>
    <mergeCell ref="H70:J70"/>
    <mergeCell ref="A67:C67"/>
    <mergeCell ref="D67:E67"/>
    <mergeCell ref="F67:G67"/>
    <mergeCell ref="H67:J67"/>
    <mergeCell ref="A68:C68"/>
    <mergeCell ref="D68:E68"/>
    <mergeCell ref="F68:G68"/>
    <mergeCell ref="H68:J68"/>
    <mergeCell ref="A62:B62"/>
    <mergeCell ref="C62:D62"/>
    <mergeCell ref="E62:F62"/>
    <mergeCell ref="A65:J65"/>
    <mergeCell ref="A66:C66"/>
    <mergeCell ref="D66:E66"/>
    <mergeCell ref="F66:G66"/>
    <mergeCell ref="H66:J66"/>
    <mergeCell ref="U56:V56"/>
    <mergeCell ref="A59:I59"/>
    <mergeCell ref="C60:D60"/>
    <mergeCell ref="E60:F60"/>
    <mergeCell ref="A61:B61"/>
    <mergeCell ref="C61:D61"/>
    <mergeCell ref="E61:F61"/>
    <mergeCell ref="A56:B56"/>
    <mergeCell ref="C56:D56"/>
    <mergeCell ref="E56:F56"/>
    <mergeCell ref="G56:H56"/>
    <mergeCell ref="I56:J56"/>
    <mergeCell ref="S56:T56"/>
    <mergeCell ref="S54:T54"/>
    <mergeCell ref="U54:V54"/>
    <mergeCell ref="A55:B55"/>
    <mergeCell ref="C55:D55"/>
    <mergeCell ref="E55:F55"/>
    <mergeCell ref="G55:H55"/>
    <mergeCell ref="I55:J55"/>
    <mergeCell ref="S55:T55"/>
    <mergeCell ref="U55:V55"/>
    <mergeCell ref="A52:I52"/>
    <mergeCell ref="C53:D53"/>
    <mergeCell ref="E53:F53"/>
    <mergeCell ref="G53:H53"/>
    <mergeCell ref="I53:J53"/>
    <mergeCell ref="A54:B54"/>
    <mergeCell ref="C54:D54"/>
    <mergeCell ref="E54:F54"/>
    <mergeCell ref="G54:H54"/>
    <mergeCell ref="I54:J54"/>
    <mergeCell ref="A49:B49"/>
    <mergeCell ref="G49:H49"/>
    <mergeCell ref="L49:M49"/>
    <mergeCell ref="R49:S49"/>
    <mergeCell ref="U49:V49"/>
    <mergeCell ref="A50:B50"/>
    <mergeCell ref="H50:I50"/>
    <mergeCell ref="L50:M50"/>
    <mergeCell ref="R50:S50"/>
    <mergeCell ref="A47:B47"/>
    <mergeCell ref="G47:H47"/>
    <mergeCell ref="L47:M47"/>
    <mergeCell ref="R47:S47"/>
    <mergeCell ref="U47:V47"/>
    <mergeCell ref="A48:B48"/>
    <mergeCell ref="G48:H48"/>
    <mergeCell ref="L48:M48"/>
    <mergeCell ref="R48:S48"/>
    <mergeCell ref="R45:S45"/>
    <mergeCell ref="A46:B46"/>
    <mergeCell ref="G46:H46"/>
    <mergeCell ref="L46:M46"/>
    <mergeCell ref="R46:S46"/>
    <mergeCell ref="U46:V46"/>
    <mergeCell ref="A38:B38"/>
    <mergeCell ref="A39:B39"/>
    <mergeCell ref="A40:B40"/>
    <mergeCell ref="A41:B41"/>
    <mergeCell ref="A42:B42"/>
    <mergeCell ref="G45:H45"/>
    <mergeCell ref="A31:I31"/>
    <mergeCell ref="A33:B33"/>
    <mergeCell ref="A34:B34"/>
    <mergeCell ref="A35:B35"/>
    <mergeCell ref="A36:B36"/>
    <mergeCell ref="A37:B37"/>
    <mergeCell ref="A27:B27"/>
    <mergeCell ref="C27:E27"/>
    <mergeCell ref="F27:H27"/>
    <mergeCell ref="A28:B28"/>
    <mergeCell ref="C28:E28"/>
    <mergeCell ref="F28:H28"/>
    <mergeCell ref="A25:B25"/>
    <mergeCell ref="C25:E25"/>
    <mergeCell ref="F25:H25"/>
    <mergeCell ref="A26:B26"/>
    <mergeCell ref="C26:E26"/>
    <mergeCell ref="F26:H26"/>
    <mergeCell ref="A17:B17"/>
    <mergeCell ref="A18:B18"/>
    <mergeCell ref="A19:B19"/>
    <mergeCell ref="A20:B20"/>
    <mergeCell ref="A23:I23"/>
    <mergeCell ref="C24:E24"/>
    <mergeCell ref="F24:H24"/>
    <mergeCell ref="A9:B9"/>
    <mergeCell ref="A10:B10"/>
    <mergeCell ref="A12:I12"/>
    <mergeCell ref="A14:B14"/>
    <mergeCell ref="A15:B15"/>
    <mergeCell ref="A16:B16"/>
    <mergeCell ref="A2:I2"/>
    <mergeCell ref="A4:B4"/>
    <mergeCell ref="A5:B5"/>
    <mergeCell ref="A6:B6"/>
    <mergeCell ref="A7:B7"/>
    <mergeCell ref="A8:B8"/>
  </mergeCells>
  <hyperlinks>
    <hyperlink ref="O105" r:id="rId1" xr:uid="{00000000-0004-0000-0600-000000000000}"/>
    <hyperlink ref="H67" r:id="rId2" xr:uid="{00000000-0004-0000-0600-000001000000}"/>
    <hyperlink ref="H68" r:id="rId3" xr:uid="{00000000-0004-0000-0600-000002000000}"/>
    <hyperlink ref="H69" r:id="rId4" xr:uid="{00000000-0004-0000-0600-000003000000}"/>
    <hyperlink ref="H70" r:id="rId5" xr:uid="{00000000-0004-0000-0600-000004000000}"/>
    <hyperlink ref="T101" r:id="rId6" xr:uid="{00000000-0004-0000-0600-000005000000}"/>
  </hyperlinks>
  <pageMargins left="0.75" right="0.75" top="0.51" bottom="1" header="0.5" footer="0.5"/>
  <pageSetup paperSize="9" orientation="portrait" r:id="rId7"/>
  <headerFooter alignWithMargins="0"/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15"/>
  <dimension ref="A1:U69"/>
  <sheetViews>
    <sheetView workbookViewId="0">
      <selection activeCell="Q25" sqref="A25:Q26"/>
    </sheetView>
  </sheetViews>
  <sheetFormatPr defaultRowHeight="12.75" x14ac:dyDescent="0.2"/>
  <cols>
    <col min="1" max="1" width="11.140625" customWidth="1"/>
    <col min="2" max="2" width="9.28515625" customWidth="1"/>
    <col min="3" max="4" width="8.5703125" customWidth="1"/>
    <col min="5" max="5" width="9.5703125" hidden="1" customWidth="1"/>
    <col min="6" max="6" width="8.5703125" customWidth="1"/>
    <col min="7" max="7" width="8.28515625" hidden="1" customWidth="1"/>
    <col min="8" max="8" width="8.42578125" customWidth="1"/>
    <col min="9" max="9" width="8.5703125" customWidth="1"/>
    <col min="10" max="10" width="12.42578125" customWidth="1"/>
    <col min="13" max="13" width="10.85546875" customWidth="1"/>
    <col min="14" max="14" width="9.42578125" customWidth="1"/>
    <col min="15" max="15" width="8.28515625" customWidth="1"/>
    <col min="16" max="16" width="11.7109375" hidden="1" customWidth="1"/>
    <col min="17" max="17" width="8.28515625" customWidth="1"/>
    <col min="18" max="18" width="9.140625" hidden="1" customWidth="1"/>
    <col min="19" max="19" width="9.7109375" customWidth="1"/>
    <col min="20" max="20" width="6.7109375" customWidth="1"/>
  </cols>
  <sheetData>
    <row r="1" spans="1:21" x14ac:dyDescent="0.2">
      <c r="A1" s="486" t="s">
        <v>677</v>
      </c>
      <c r="B1" s="487"/>
      <c r="C1" s="487"/>
      <c r="D1" s="487"/>
      <c r="E1" s="487"/>
      <c r="F1" s="120" t="s">
        <v>665</v>
      </c>
      <c r="G1" s="120"/>
      <c r="H1" s="120"/>
      <c r="I1" s="120"/>
      <c r="L1" s="488" t="s">
        <v>678</v>
      </c>
      <c r="M1" s="489"/>
      <c r="N1" s="485"/>
      <c r="O1" s="485"/>
      <c r="P1" s="485"/>
      <c r="Q1" s="485"/>
      <c r="R1" s="489"/>
      <c r="S1" s="489"/>
      <c r="T1" s="489"/>
      <c r="U1" t="s">
        <v>665</v>
      </c>
    </row>
    <row r="2" spans="1:21" ht="35.25" customHeight="1" x14ac:dyDescent="0.2">
      <c r="A2" s="121" t="s">
        <v>137</v>
      </c>
      <c r="B2" s="122" t="s">
        <v>256</v>
      </c>
      <c r="C2" s="123" t="str">
        <f>A3</f>
        <v>1 этаж</v>
      </c>
      <c r="D2" s="119" t="str">
        <f>A4</f>
        <v>Средние этажи</v>
      </c>
      <c r="E2" s="119" t="str">
        <f>A5</f>
        <v xml:space="preserve">2, и "предкрайние" этажи </v>
      </c>
      <c r="F2" s="119" t="str">
        <f>A6</f>
        <v>Верхние этажи</v>
      </c>
      <c r="G2" s="393" t="s">
        <v>266</v>
      </c>
      <c r="H2" s="411"/>
      <c r="I2" s="394"/>
      <c r="L2" s="121" t="s">
        <v>137</v>
      </c>
      <c r="M2" s="122" t="s">
        <v>256</v>
      </c>
      <c r="N2" s="123" t="str">
        <f>L3</f>
        <v>1 этаж</v>
      </c>
      <c r="O2" s="119" t="str">
        <f>L4</f>
        <v>Средние этажи</v>
      </c>
      <c r="P2" s="119" t="str">
        <f>L5</f>
        <v xml:space="preserve">2 и "предкрайние" этажи </v>
      </c>
      <c r="Q2" s="119" t="str">
        <f>L6</f>
        <v>Верхние этажи</v>
      </c>
      <c r="R2" s="384" t="s">
        <v>266</v>
      </c>
      <c r="S2" s="384"/>
      <c r="T2" s="384"/>
    </row>
    <row r="3" spans="1:21" ht="14.25" customHeight="1" x14ac:dyDescent="0.2">
      <c r="A3" s="395" t="s">
        <v>267</v>
      </c>
      <c r="B3" s="396"/>
      <c r="C3" s="124">
        <f>G3/$G$3</f>
        <v>1</v>
      </c>
      <c r="D3" s="124">
        <f>G3/$G$4</f>
        <v>0.98231926711839745</v>
      </c>
      <c r="E3" s="124">
        <f>G3/$G$5</f>
        <v>0.99141753392865206</v>
      </c>
      <c r="F3" s="124">
        <f>G3/$G$6</f>
        <v>0.9766524454735509</v>
      </c>
      <c r="G3" s="427">
        <v>34627.661933166317</v>
      </c>
      <c r="H3" s="477"/>
      <c r="I3" s="428"/>
      <c r="L3" s="377" t="s">
        <v>267</v>
      </c>
      <c r="M3" s="377"/>
      <c r="N3" s="124" t="e">
        <f>R3/$R$3</f>
        <v>#REF!</v>
      </c>
      <c r="O3" s="124" t="e">
        <f>R3/$R$4</f>
        <v>#REF!</v>
      </c>
      <c r="P3" s="124" t="e">
        <f>R3/$R$5</f>
        <v>#REF!</v>
      </c>
      <c r="Q3" s="124" t="e">
        <f>R3/$R$6</f>
        <v>#REF!</v>
      </c>
      <c r="R3" s="434" t="e">
        <v>#REF!</v>
      </c>
      <c r="S3" s="434"/>
      <c r="T3" s="434"/>
    </row>
    <row r="4" spans="1:21" ht="14.25" customHeight="1" x14ac:dyDescent="0.2">
      <c r="A4" s="395" t="s">
        <v>268</v>
      </c>
      <c r="B4" s="396"/>
      <c r="C4" s="124">
        <f>G4/$G$3</f>
        <v>1.0179989678238404</v>
      </c>
      <c r="D4" s="124">
        <f>G4/$G$4</f>
        <v>1</v>
      </c>
      <c r="E4" s="124">
        <f>G4/$G$5</f>
        <v>1.009262026221825</v>
      </c>
      <c r="F4" s="124">
        <f>G4/$G$6</f>
        <v>0.99423118141470446</v>
      </c>
      <c r="G4" s="427">
        <v>35250.924106116203</v>
      </c>
      <c r="H4" s="477"/>
      <c r="I4" s="428"/>
      <c r="L4" s="376" t="s">
        <v>268</v>
      </c>
      <c r="M4" s="376"/>
      <c r="N4" s="124" t="e">
        <f>R4/$R$3</f>
        <v>#REF!</v>
      </c>
      <c r="O4" s="124" t="e">
        <f>R4/$R$4</f>
        <v>#REF!</v>
      </c>
      <c r="P4" s="124" t="e">
        <f>R4/$R$5</f>
        <v>#REF!</v>
      </c>
      <c r="Q4" s="124" t="e">
        <f>R4/$R$6</f>
        <v>#REF!</v>
      </c>
      <c r="R4" s="434" t="e">
        <v>#REF!</v>
      </c>
      <c r="S4" s="434"/>
      <c r="T4" s="434"/>
    </row>
    <row r="5" spans="1:21" ht="14.25" hidden="1" customHeight="1" x14ac:dyDescent="0.2">
      <c r="A5" s="395" t="s">
        <v>521</v>
      </c>
      <c r="B5" s="396"/>
      <c r="C5" s="124">
        <f>G5/$G$3</f>
        <v>1.0086567624412881</v>
      </c>
      <c r="D5" s="124">
        <f>G5/$G$4</f>
        <v>0.9908229716553415</v>
      </c>
      <c r="E5" s="124">
        <f>G5/$G$5</f>
        <v>1</v>
      </c>
      <c r="F5" s="124">
        <f>G5/$G$6</f>
        <v>0.98510709368171845</v>
      </c>
      <c r="G5" s="427">
        <v>34927.425376418971</v>
      </c>
      <c r="H5" s="477"/>
      <c r="I5" s="428"/>
      <c r="L5" s="376" t="s">
        <v>666</v>
      </c>
      <c r="M5" s="376"/>
      <c r="N5" s="124" t="e">
        <f>R5/$R$3</f>
        <v>#REF!</v>
      </c>
      <c r="O5" s="124" t="e">
        <f>R5/$R$4</f>
        <v>#REF!</v>
      </c>
      <c r="P5" s="124" t="e">
        <f>R5/$R$5</f>
        <v>#REF!</v>
      </c>
      <c r="Q5" s="124" t="e">
        <f>R5/$R$6</f>
        <v>#REF!</v>
      </c>
      <c r="R5" s="434" t="e">
        <v>#REF!</v>
      </c>
      <c r="S5" s="434"/>
      <c r="T5" s="434"/>
    </row>
    <row r="6" spans="1:21" ht="14.25" customHeight="1" x14ac:dyDescent="0.2">
      <c r="A6" s="482" t="s">
        <v>522</v>
      </c>
      <c r="B6" s="483"/>
      <c r="C6" s="124">
        <f>G6/$G$3</f>
        <v>1.0239056940210993</v>
      </c>
      <c r="D6" s="124">
        <f>G6/$G$4</f>
        <v>1.0058022909491604</v>
      </c>
      <c r="E6" s="124">
        <f>G6/$G$5</f>
        <v>1.0151180581419033</v>
      </c>
      <c r="F6" s="124">
        <f>G6/$G$6</f>
        <v>1</v>
      </c>
      <c r="G6" s="427">
        <v>35455.46022400666</v>
      </c>
      <c r="H6" s="477"/>
      <c r="I6" s="428"/>
      <c r="L6" s="388" t="s">
        <v>522</v>
      </c>
      <c r="M6" s="388"/>
      <c r="N6" s="124" t="e">
        <f>R6/$R$3</f>
        <v>#REF!</v>
      </c>
      <c r="O6" s="124" t="e">
        <f>R6/$R$4</f>
        <v>#REF!</v>
      </c>
      <c r="P6" s="124" t="e">
        <f>R6/$R$5</f>
        <v>#REF!</v>
      </c>
      <c r="Q6" s="124" t="e">
        <f>R6/$R$6</f>
        <v>#REF!</v>
      </c>
      <c r="R6" s="434" t="e">
        <v>#REF!</v>
      </c>
      <c r="S6" s="434"/>
      <c r="T6" s="434"/>
    </row>
    <row r="8" spans="1:21" x14ac:dyDescent="0.2">
      <c r="A8" s="484" t="s">
        <v>726</v>
      </c>
      <c r="B8" s="485"/>
      <c r="C8" s="485"/>
      <c r="D8" s="485"/>
      <c r="E8" s="485"/>
      <c r="F8" s="485"/>
      <c r="G8" s="485"/>
      <c r="H8" s="485"/>
      <c r="I8" s="485"/>
      <c r="L8" s="484" t="s">
        <v>727</v>
      </c>
      <c r="M8" s="485"/>
      <c r="N8" s="485"/>
      <c r="O8" s="485"/>
      <c r="P8" s="485"/>
      <c r="Q8" s="485"/>
      <c r="R8" s="485"/>
      <c r="S8" s="485"/>
      <c r="T8" s="485"/>
    </row>
    <row r="9" spans="1:21" ht="33" customHeight="1" x14ac:dyDescent="0.2">
      <c r="A9" s="121" t="s">
        <v>137</v>
      </c>
      <c r="B9" s="122" t="s">
        <v>256</v>
      </c>
      <c r="C9" s="123" t="str">
        <f>A10</f>
        <v>1 этаж</v>
      </c>
      <c r="D9" s="119" t="str">
        <f>A11</f>
        <v>Средние этажи</v>
      </c>
      <c r="E9" s="119" t="str">
        <f>A12</f>
        <v xml:space="preserve">2, и "предкрайние" этажи </v>
      </c>
      <c r="F9" s="119" t="str">
        <f>A13</f>
        <v>Верхние этажи</v>
      </c>
      <c r="G9" s="384" t="str">
        <f>A13</f>
        <v>Верхние этажи</v>
      </c>
      <c r="H9" s="384" t="s">
        <v>266</v>
      </c>
      <c r="I9" s="384"/>
      <c r="L9" s="121" t="s">
        <v>137</v>
      </c>
      <c r="M9" s="122" t="s">
        <v>256</v>
      </c>
      <c r="N9" s="123" t="str">
        <f>L10</f>
        <v>1 этаж</v>
      </c>
      <c r="O9" s="119" t="str">
        <f>L11</f>
        <v>Средние этажи</v>
      </c>
      <c r="P9" s="119" t="str">
        <f>L12</f>
        <v xml:space="preserve">2 и "предкрайние" этажи </v>
      </c>
      <c r="Q9" s="119" t="str">
        <f>L13</f>
        <v>Верхние этажи</v>
      </c>
      <c r="R9" s="384" t="str">
        <f>L13</f>
        <v>Верхние этажи</v>
      </c>
      <c r="S9" s="384" t="s">
        <v>266</v>
      </c>
      <c r="T9" s="384"/>
    </row>
    <row r="10" spans="1:21" ht="15" customHeight="1" x14ac:dyDescent="0.2">
      <c r="A10" s="376" t="s">
        <v>267</v>
      </c>
      <c r="B10" s="376"/>
      <c r="C10" s="124">
        <f>H10/$H$10</f>
        <v>1</v>
      </c>
      <c r="D10" s="124">
        <f>H10/$H$11</f>
        <v>0.74431804892428333</v>
      </c>
      <c r="E10" s="124">
        <f>H10/$H$12</f>
        <v>0.77101059558323348</v>
      </c>
      <c r="F10" s="124">
        <f>H10/$H$13</f>
        <v>0.75680777582608161</v>
      </c>
      <c r="G10" s="124" t="e">
        <f>H10/$H$14</f>
        <v>#REF!</v>
      </c>
      <c r="H10" s="427">
        <v>34268.120401334811</v>
      </c>
      <c r="I10" s="428"/>
      <c r="L10" s="376" t="s">
        <v>267</v>
      </c>
      <c r="M10" s="376"/>
      <c r="N10" s="124" t="e">
        <f>S10/$S$10</f>
        <v>#REF!</v>
      </c>
      <c r="O10" s="124" t="e">
        <f>S10/$S$11</f>
        <v>#REF!</v>
      </c>
      <c r="P10" s="124" t="e">
        <f>S10/$S$12</f>
        <v>#REF!</v>
      </c>
      <c r="Q10" s="124" t="e">
        <f>S10/$S$13</f>
        <v>#REF!</v>
      </c>
      <c r="R10" s="124" t="e">
        <f>S10/$S$14</f>
        <v>#REF!</v>
      </c>
      <c r="S10" s="427" t="e">
        <v>#REF!</v>
      </c>
      <c r="T10" s="428"/>
    </row>
    <row r="11" spans="1:21" ht="15" customHeight="1" x14ac:dyDescent="0.2">
      <c r="A11" s="376" t="s">
        <v>268</v>
      </c>
      <c r="B11" s="376"/>
      <c r="C11" s="124">
        <f>H11/$H$10</f>
        <v>1.3435116902582678</v>
      </c>
      <c r="D11" s="124">
        <f>H11/$H$11</f>
        <v>1</v>
      </c>
      <c r="E11" s="124">
        <f>H11/$H$12</f>
        <v>1.0358617484790638</v>
      </c>
      <c r="F11" s="124">
        <f>H11/$H$13</f>
        <v>1.016780094100699</v>
      </c>
      <c r="G11" s="124" t="e">
        <f>H11/$H$14</f>
        <v>#REF!</v>
      </c>
      <c r="H11" s="427">
        <v>46039.620362371163</v>
      </c>
      <c r="I11" s="428"/>
      <c r="L11" s="376" t="s">
        <v>268</v>
      </c>
      <c r="M11" s="376"/>
      <c r="N11" s="124" t="e">
        <f>S11/$S$10</f>
        <v>#REF!</v>
      </c>
      <c r="O11" s="124" t="e">
        <f>S11/$S$11</f>
        <v>#REF!</v>
      </c>
      <c r="P11" s="124" t="e">
        <f>S11/$S$12</f>
        <v>#REF!</v>
      </c>
      <c r="Q11" s="124" t="e">
        <f>S11/$S$13</f>
        <v>#REF!</v>
      </c>
      <c r="R11" s="124" t="e">
        <f>S11/$S$14</f>
        <v>#REF!</v>
      </c>
      <c r="S11" s="427" t="e">
        <v>#REF!</v>
      </c>
      <c r="T11" s="428"/>
    </row>
    <row r="12" spans="1:21" ht="15" hidden="1" customHeight="1" x14ac:dyDescent="0.2">
      <c r="A12" s="376" t="s">
        <v>521</v>
      </c>
      <c r="B12" s="376"/>
      <c r="C12" s="124">
        <f>H12/$H$10</f>
        <v>1.2969990370152393</v>
      </c>
      <c r="D12" s="124">
        <f>H12/$H$11</f>
        <v>0.96537979268785734</v>
      </c>
      <c r="E12" s="124">
        <f>H12/$H$12</f>
        <v>1</v>
      </c>
      <c r="F12" s="124">
        <f>H12/$H$13</f>
        <v>0.98157895645207305</v>
      </c>
      <c r="G12" s="124" t="e">
        <f>H12/$H$14</f>
        <v>#REF!</v>
      </c>
      <c r="H12" s="427">
        <v>44445.719160853529</v>
      </c>
      <c r="I12" s="428"/>
      <c r="L12" s="376" t="s">
        <v>666</v>
      </c>
      <c r="M12" s="376"/>
      <c r="N12" s="124" t="e">
        <f>S12/$S$10</f>
        <v>#REF!</v>
      </c>
      <c r="O12" s="124" t="e">
        <f>S12/$S$11</f>
        <v>#REF!</v>
      </c>
      <c r="P12" s="124" t="e">
        <f>S12/$S$12</f>
        <v>#REF!</v>
      </c>
      <c r="Q12" s="124" t="e">
        <f>S12/$S$13</f>
        <v>#REF!</v>
      </c>
      <c r="R12" s="124" t="e">
        <f>S12/$S$14</f>
        <v>#REF!</v>
      </c>
      <c r="S12" s="427" t="e">
        <v>#REF!</v>
      </c>
      <c r="T12" s="428"/>
    </row>
    <row r="13" spans="1:21" ht="15" customHeight="1" x14ac:dyDescent="0.2">
      <c r="A13" s="388" t="s">
        <v>522</v>
      </c>
      <c r="B13" s="376"/>
      <c r="C13" s="124">
        <f>H13/$H$10</f>
        <v>1.3213394892890282</v>
      </c>
      <c r="D13" s="124">
        <f>H13/$H$11</f>
        <v>0.98349683063421844</v>
      </c>
      <c r="E13" s="124">
        <f>H13/$H$12</f>
        <v>1.0187667466043793</v>
      </c>
      <c r="F13" s="124">
        <f>H13/$H$13</f>
        <v>1</v>
      </c>
      <c r="G13" s="124" t="e">
        <f>H13/$H$14</f>
        <v>#REF!</v>
      </c>
      <c r="H13" s="427">
        <v>45279.820709994667</v>
      </c>
      <c r="I13" s="428"/>
      <c r="L13" s="388" t="s">
        <v>522</v>
      </c>
      <c r="M13" s="376"/>
      <c r="N13" s="124" t="e">
        <f>S13/$S$10</f>
        <v>#REF!</v>
      </c>
      <c r="O13" s="124" t="e">
        <f>S13/$S$11</f>
        <v>#REF!</v>
      </c>
      <c r="P13" s="124" t="e">
        <f>S13/$S$12</f>
        <v>#REF!</v>
      </c>
      <c r="Q13" s="124" t="e">
        <f>S13/$S$13</f>
        <v>#REF!</v>
      </c>
      <c r="R13" s="124" t="e">
        <f>S13/$S$14</f>
        <v>#REF!</v>
      </c>
      <c r="S13" s="427" t="e">
        <v>#REF!</v>
      </c>
      <c r="T13" s="428"/>
    </row>
    <row r="14" spans="1:21" ht="12.75" hidden="1" customHeight="1" x14ac:dyDescent="0.2">
      <c r="A14" s="388" t="s">
        <v>523</v>
      </c>
      <c r="B14" s="376"/>
      <c r="C14" s="93" t="e">
        <f>H14/$H$10</f>
        <v>#REF!</v>
      </c>
      <c r="D14" s="93" t="e">
        <f>H14/$H$11</f>
        <v>#REF!</v>
      </c>
      <c r="E14" s="93" t="e">
        <f>H14/$H$12</f>
        <v>#REF!</v>
      </c>
      <c r="F14" s="93" t="e">
        <f>H14/$H$13</f>
        <v>#REF!</v>
      </c>
      <c r="G14" s="93" t="e">
        <f>H14/$H$14</f>
        <v>#REF!</v>
      </c>
      <c r="H14" s="385" t="e">
        <v>#REF!</v>
      </c>
      <c r="I14" s="386"/>
      <c r="L14" s="388" t="s">
        <v>523</v>
      </c>
      <c r="M14" s="376"/>
      <c r="N14" s="93" t="e">
        <f>S14/$S$10</f>
        <v>#REF!</v>
      </c>
      <c r="O14" s="93" t="e">
        <f>S14/$S$11</f>
        <v>#REF!</v>
      </c>
      <c r="P14" s="93" t="e">
        <f>S14/$S$12</f>
        <v>#REF!</v>
      </c>
      <c r="Q14" s="93" t="e">
        <f>S14/$S$13</f>
        <v>#REF!</v>
      </c>
      <c r="R14" s="93" t="e">
        <f>S14/$S$14</f>
        <v>#REF!</v>
      </c>
      <c r="S14" s="385" t="e">
        <v>#REF!</v>
      </c>
      <c r="T14" s="386"/>
    </row>
    <row r="16" spans="1:21" x14ac:dyDescent="0.2">
      <c r="A16" s="484" t="s">
        <v>728</v>
      </c>
      <c r="B16" s="485"/>
      <c r="C16" s="485"/>
      <c r="D16" s="485"/>
      <c r="E16" s="485"/>
      <c r="F16" s="485"/>
      <c r="G16" s="485"/>
      <c r="H16" s="485"/>
      <c r="I16" s="485"/>
      <c r="L16" s="484" t="s">
        <v>729</v>
      </c>
      <c r="M16" s="485"/>
      <c r="N16" s="485"/>
      <c r="O16" s="485"/>
      <c r="P16" s="485"/>
      <c r="Q16" s="485"/>
      <c r="R16" s="485"/>
      <c r="S16" s="485"/>
      <c r="T16" s="485"/>
    </row>
    <row r="17" spans="1:20" ht="35.25" customHeight="1" x14ac:dyDescent="0.2">
      <c r="A17" s="121" t="s">
        <v>137</v>
      </c>
      <c r="B17" s="122" t="s">
        <v>256</v>
      </c>
      <c r="C17" s="123" t="str">
        <f>A18</f>
        <v>1 этаж</v>
      </c>
      <c r="D17" s="119" t="str">
        <f>A19</f>
        <v>Средние этажи</v>
      </c>
      <c r="E17" s="119" t="str">
        <f>A20</f>
        <v xml:space="preserve">2, и "предкрайние" этажи </v>
      </c>
      <c r="F17" s="119" t="str">
        <f>A21</f>
        <v>Верхние этажи</v>
      </c>
      <c r="G17" s="384" t="str">
        <f>A21</f>
        <v>Верхние этажи</v>
      </c>
      <c r="H17" s="384" t="s">
        <v>266</v>
      </c>
      <c r="I17" s="384"/>
      <c r="L17" s="121" t="s">
        <v>137</v>
      </c>
      <c r="M17" s="122" t="s">
        <v>256</v>
      </c>
      <c r="N17" s="123" t="str">
        <f>L18</f>
        <v>1 этаж</v>
      </c>
      <c r="O17" s="119" t="str">
        <f>L19</f>
        <v>Средние этажи</v>
      </c>
      <c r="P17" s="119" t="str">
        <f>L20</f>
        <v xml:space="preserve">2 и "предкрайние" этажи </v>
      </c>
      <c r="Q17" s="119" t="str">
        <f>L21</f>
        <v>Верхние этажи</v>
      </c>
      <c r="R17" s="384" t="str">
        <f>L21</f>
        <v>Верхние этажи</v>
      </c>
      <c r="S17" s="384" t="s">
        <v>266</v>
      </c>
      <c r="T17" s="384"/>
    </row>
    <row r="18" spans="1:20" ht="15" customHeight="1" x14ac:dyDescent="0.2">
      <c r="A18" s="376" t="s">
        <v>267</v>
      </c>
      <c r="B18" s="376"/>
      <c r="C18" s="124">
        <f>H18/$H$18</f>
        <v>1</v>
      </c>
      <c r="D18" s="124">
        <f>H18/$H$19</f>
        <v>0.85405360964841903</v>
      </c>
      <c r="E18" s="124">
        <f>H18/$H$20</f>
        <v>0.87958638013147317</v>
      </c>
      <c r="F18" s="124">
        <f>H18/$H$21</f>
        <v>0.83466723025202094</v>
      </c>
      <c r="G18" s="124" t="e">
        <f>H18/$H$22</f>
        <v>#REF!</v>
      </c>
      <c r="H18" s="427">
        <v>37205.184548970756</v>
      </c>
      <c r="I18" s="428"/>
      <c r="L18" s="395" t="s">
        <v>267</v>
      </c>
      <c r="M18" s="396"/>
      <c r="N18" s="124" t="e">
        <f>S18/$S$18</f>
        <v>#REF!</v>
      </c>
      <c r="O18" s="124" t="e">
        <f>S18/$S$19</f>
        <v>#REF!</v>
      </c>
      <c r="P18" s="124" t="e">
        <f>S18/$S$20</f>
        <v>#REF!</v>
      </c>
      <c r="Q18" s="124" t="e">
        <f>S18/$S$21</f>
        <v>#REF!</v>
      </c>
      <c r="R18" s="124" t="e">
        <f>S18/$S$22</f>
        <v>#REF!</v>
      </c>
      <c r="S18" s="427" t="e">
        <v>#REF!</v>
      </c>
      <c r="T18" s="428"/>
    </row>
    <row r="19" spans="1:20" ht="15" customHeight="1" x14ac:dyDescent="0.2">
      <c r="A19" s="376" t="s">
        <v>268</v>
      </c>
      <c r="B19" s="376"/>
      <c r="C19" s="124">
        <f>H19/$H$18</f>
        <v>1.1708866852183453</v>
      </c>
      <c r="D19" s="124">
        <f>H19/$H$19</f>
        <v>1</v>
      </c>
      <c r="E19" s="124">
        <f>H19/$H$20</f>
        <v>1.0298959809953441</v>
      </c>
      <c r="F19" s="124">
        <f>H19/$H$21</f>
        <v>0.97730074649016618</v>
      </c>
      <c r="G19" s="124" t="e">
        <f>H19/$H$22</f>
        <v>#REF!</v>
      </c>
      <c r="H19" s="427">
        <v>43563.055209481165</v>
      </c>
      <c r="I19" s="428"/>
      <c r="L19" s="395" t="s">
        <v>268</v>
      </c>
      <c r="M19" s="396"/>
      <c r="N19" s="124" t="e">
        <f>S19/$S$18</f>
        <v>#REF!</v>
      </c>
      <c r="O19" s="124" t="e">
        <f>S19/$S$19</f>
        <v>#REF!</v>
      </c>
      <c r="P19" s="124" t="e">
        <f>S19/$S$20</f>
        <v>#REF!</v>
      </c>
      <c r="Q19" s="124" t="e">
        <f>S19/$S$21</f>
        <v>#REF!</v>
      </c>
      <c r="R19" s="124" t="e">
        <f>S19/$S$22</f>
        <v>#REF!</v>
      </c>
      <c r="S19" s="427" t="e">
        <v>#REF!</v>
      </c>
      <c r="T19" s="428"/>
    </row>
    <row r="20" spans="1:20" ht="15" customHeight="1" x14ac:dyDescent="0.2">
      <c r="A20" s="376" t="s">
        <v>521</v>
      </c>
      <c r="B20" s="376"/>
      <c r="C20" s="124">
        <f>H20/$H$18</f>
        <v>1.1368980040942975</v>
      </c>
      <c r="D20" s="124">
        <f>H20/$H$19</f>
        <v>0.97097184419881799</v>
      </c>
      <c r="E20" s="124">
        <f>H20/$H$20</f>
        <v>1</v>
      </c>
      <c r="F20" s="124">
        <f>H20/$H$21</f>
        <v>0.94893150815643812</v>
      </c>
      <c r="G20" s="124" t="e">
        <f>H20/$H$22</f>
        <v>#REF!</v>
      </c>
      <c r="H20" s="427">
        <v>42298.500055684854</v>
      </c>
      <c r="I20" s="428"/>
      <c r="L20" s="395" t="s">
        <v>666</v>
      </c>
      <c r="M20" s="396"/>
      <c r="N20" s="124" t="e">
        <f>S20/$S$18</f>
        <v>#REF!</v>
      </c>
      <c r="O20" s="124" t="e">
        <f>S20/$S$19</f>
        <v>#REF!</v>
      </c>
      <c r="P20" s="124" t="e">
        <f>S20/$S$20</f>
        <v>#REF!</v>
      </c>
      <c r="Q20" s="124" t="e">
        <f>S20/$S$21</f>
        <v>#REF!</v>
      </c>
      <c r="R20" s="124" t="e">
        <f>S20/$S$22</f>
        <v>#REF!</v>
      </c>
      <c r="S20" s="427" t="e">
        <v>#REF!</v>
      </c>
      <c r="T20" s="428"/>
    </row>
    <row r="21" spans="1:20" ht="15" customHeight="1" x14ac:dyDescent="0.2">
      <c r="A21" s="388" t="s">
        <v>522</v>
      </c>
      <c r="B21" s="376"/>
      <c r="C21" s="124">
        <f>H21/$H$18</f>
        <v>1.1980822581210697</v>
      </c>
      <c r="D21" s="124">
        <f>H21/$H$19</f>
        <v>1.0232264772040285</v>
      </c>
      <c r="E21" s="124">
        <f>H21/$H$20</f>
        <v>1.053816836520453</v>
      </c>
      <c r="F21" s="124">
        <f>H21/$H$21</f>
        <v>1</v>
      </c>
      <c r="G21" s="124" t="e">
        <f>H21/$H$22</f>
        <v>#REF!</v>
      </c>
      <c r="H21" s="427">
        <v>44574.871518242013</v>
      </c>
      <c r="I21" s="428"/>
      <c r="L21" s="482" t="s">
        <v>522</v>
      </c>
      <c r="M21" s="483"/>
      <c r="N21" s="124" t="e">
        <f>S21/$S$18</f>
        <v>#REF!</v>
      </c>
      <c r="O21" s="124" t="e">
        <f>S21/$S$19</f>
        <v>#REF!</v>
      </c>
      <c r="P21" s="124" t="e">
        <f>S21/$S$20</f>
        <v>#REF!</v>
      </c>
      <c r="Q21" s="124" t="e">
        <f>S21/$S$21</f>
        <v>#REF!</v>
      </c>
      <c r="R21" s="124" t="e">
        <f>S21/$S$22</f>
        <v>#REF!</v>
      </c>
      <c r="S21" s="427" t="e">
        <v>#REF!</v>
      </c>
      <c r="T21" s="428"/>
    </row>
    <row r="22" spans="1:20" ht="12.75" hidden="1" customHeight="1" x14ac:dyDescent="0.2">
      <c r="A22" s="388" t="s">
        <v>523</v>
      </c>
      <c r="B22" s="376"/>
      <c r="C22" s="93" t="e">
        <f>H22/$H$18</f>
        <v>#REF!</v>
      </c>
      <c r="D22" s="93" t="e">
        <f>H22/$H$19</f>
        <v>#REF!</v>
      </c>
      <c r="E22" s="93" t="e">
        <f>H22/$H$20</f>
        <v>#REF!</v>
      </c>
      <c r="F22" s="93" t="e">
        <f>H22/$H$21</f>
        <v>#REF!</v>
      </c>
      <c r="G22" s="93" t="e">
        <f>H22/$H$22</f>
        <v>#REF!</v>
      </c>
      <c r="H22" s="385" t="e">
        <v>#REF!</v>
      </c>
      <c r="I22" s="386"/>
      <c r="L22" s="482" t="s">
        <v>523</v>
      </c>
      <c r="M22" s="483"/>
      <c r="N22" s="93" t="e">
        <f>S22/$S$18</f>
        <v>#REF!</v>
      </c>
      <c r="O22" s="93" t="e">
        <f>S22/$S$19</f>
        <v>#REF!</v>
      </c>
      <c r="P22" s="93" t="e">
        <f>S22/$S$20</f>
        <v>#REF!</v>
      </c>
      <c r="Q22" s="93" t="e">
        <f>S22/$S$21</f>
        <v>#REF!</v>
      </c>
      <c r="R22" s="93" t="e">
        <f>S22/$S$22</f>
        <v>#REF!</v>
      </c>
      <c r="S22" s="385" t="e">
        <v>#REF!</v>
      </c>
      <c r="T22" s="386"/>
    </row>
    <row r="27" spans="1:20" x14ac:dyDescent="0.2">
      <c r="A27" s="478" t="s">
        <v>677</v>
      </c>
      <c r="B27" s="479"/>
      <c r="C27" s="480"/>
      <c r="D27" s="480"/>
      <c r="E27" s="480"/>
      <c r="F27" s="480"/>
      <c r="G27" s="479"/>
      <c r="H27" s="479"/>
      <c r="L27" s="481" t="s">
        <v>678</v>
      </c>
      <c r="M27" s="480"/>
      <c r="N27" s="480"/>
      <c r="O27" s="480"/>
      <c r="P27" s="480"/>
      <c r="Q27" s="480"/>
      <c r="R27" s="479"/>
      <c r="S27" s="479"/>
    </row>
    <row r="28" spans="1:20" ht="36.75" customHeight="1" x14ac:dyDescent="0.2">
      <c r="A28" s="121" t="s">
        <v>137</v>
      </c>
      <c r="B28" s="122" t="s">
        <v>256</v>
      </c>
      <c r="C28" s="123" t="str">
        <f>A29</f>
        <v>1 этаж</v>
      </c>
      <c r="D28" s="119" t="str">
        <f>A30</f>
        <v>Средние этажи</v>
      </c>
      <c r="E28" s="119" t="str">
        <f>A31</f>
        <v xml:space="preserve">2, и "предкрайние" этажи </v>
      </c>
      <c r="F28" s="119" t="str">
        <f>A32</f>
        <v>Верхние этажи</v>
      </c>
      <c r="G28" s="384" t="s">
        <v>266</v>
      </c>
      <c r="H28" s="384"/>
      <c r="I28" s="384"/>
      <c r="L28" s="121" t="s">
        <v>137</v>
      </c>
      <c r="M28" s="122" t="s">
        <v>256</v>
      </c>
      <c r="N28" s="123" t="str">
        <f>L29</f>
        <v>1 этаж</v>
      </c>
      <c r="O28" s="119" t="str">
        <f>L30</f>
        <v>Средние этажи</v>
      </c>
      <c r="P28" s="119" t="str">
        <f>L31</f>
        <v xml:space="preserve">2 и "предкрайние" этажи </v>
      </c>
      <c r="Q28" s="119" t="str">
        <f>L32</f>
        <v>Верхние этажи</v>
      </c>
      <c r="R28" s="384" t="s">
        <v>266</v>
      </c>
      <c r="S28" s="384"/>
      <c r="T28" s="384"/>
    </row>
    <row r="29" spans="1:20" ht="14.25" customHeight="1" x14ac:dyDescent="0.2">
      <c r="A29" s="377" t="s">
        <v>267</v>
      </c>
      <c r="B29" s="377"/>
      <c r="C29" s="124">
        <f>G29/G29</f>
        <v>1</v>
      </c>
      <c r="D29" s="124">
        <f>G29/$G$30</f>
        <v>0.88499616029745898</v>
      </c>
      <c r="E29" s="124" t="e">
        <f>G29/$G$31</f>
        <v>#REF!</v>
      </c>
      <c r="F29" s="124">
        <f>G29/$G$32</f>
        <v>0.90243369380514682</v>
      </c>
      <c r="G29" s="434">
        <v>34669.521203442848</v>
      </c>
      <c r="H29" s="434"/>
      <c r="I29" s="434"/>
      <c r="L29" s="376" t="s">
        <v>267</v>
      </c>
      <c r="M29" s="376"/>
      <c r="N29" s="124">
        <v>1</v>
      </c>
      <c r="O29" s="124" t="e">
        <f>R29/R30</f>
        <v>#REF!</v>
      </c>
      <c r="P29" s="124" t="e">
        <f>R29/$R$31</f>
        <v>#REF!</v>
      </c>
      <c r="Q29" s="124" t="e">
        <f>R29/$R$32</f>
        <v>#REF!</v>
      </c>
      <c r="R29" s="434" t="e">
        <v>#REF!</v>
      </c>
      <c r="S29" s="434"/>
      <c r="T29" s="434"/>
    </row>
    <row r="30" spans="1:20" ht="14.25" customHeight="1" x14ac:dyDescent="0.2">
      <c r="A30" s="376" t="s">
        <v>268</v>
      </c>
      <c r="B30" s="376"/>
      <c r="C30" s="124">
        <f>G30/$G$29</f>
        <v>1.1299484052720485</v>
      </c>
      <c r="D30" s="124">
        <v>1</v>
      </c>
      <c r="E30" s="124" t="e">
        <f>G30/$G$31</f>
        <v>#REF!</v>
      </c>
      <c r="F30" s="124">
        <f>G30/$G$32</f>
        <v>1.0197035131788899</v>
      </c>
      <c r="G30" s="434">
        <v>39174.770195375721</v>
      </c>
      <c r="H30" s="434"/>
      <c r="I30" s="434"/>
      <c r="L30" s="376" t="s">
        <v>268</v>
      </c>
      <c r="M30" s="376"/>
      <c r="N30" s="124" t="e">
        <f>R30/$R$29</f>
        <v>#REF!</v>
      </c>
      <c r="O30" s="124">
        <v>1</v>
      </c>
      <c r="P30" s="124" t="e">
        <f>R30/$R$31</f>
        <v>#REF!</v>
      </c>
      <c r="Q30" s="124" t="e">
        <f>R30/$R$32</f>
        <v>#REF!</v>
      </c>
      <c r="R30" s="434" t="e">
        <v>#REF!</v>
      </c>
      <c r="S30" s="434"/>
      <c r="T30" s="434"/>
    </row>
    <row r="31" spans="1:20" ht="14.25" hidden="1" customHeight="1" x14ac:dyDescent="0.2">
      <c r="A31" s="376" t="s">
        <v>521</v>
      </c>
      <c r="B31" s="376"/>
      <c r="C31" s="124" t="e">
        <f>G31/$G$29</f>
        <v>#REF!</v>
      </c>
      <c r="D31" s="124" t="e">
        <f>G31/$G$30</f>
        <v>#REF!</v>
      </c>
      <c r="E31" s="124">
        <v>1</v>
      </c>
      <c r="F31" s="124" t="e">
        <f>G31/$G$32</f>
        <v>#REF!</v>
      </c>
      <c r="G31" s="427" t="e">
        <v>#REF!</v>
      </c>
      <c r="H31" s="477"/>
      <c r="I31" s="428"/>
      <c r="L31" s="376" t="s">
        <v>666</v>
      </c>
      <c r="M31" s="376"/>
      <c r="N31" s="124" t="e">
        <f>R31/$R$29</f>
        <v>#REF!</v>
      </c>
      <c r="O31" s="124" t="e">
        <f>R31/$R$30</f>
        <v>#REF!</v>
      </c>
      <c r="P31" s="124">
        <v>1</v>
      </c>
      <c r="Q31" s="124" t="e">
        <f>R31/$R$32</f>
        <v>#REF!</v>
      </c>
      <c r="R31" s="427" t="e">
        <v>#REF!</v>
      </c>
      <c r="S31" s="477"/>
      <c r="T31" s="428"/>
    </row>
    <row r="32" spans="1:20" ht="14.25" customHeight="1" x14ac:dyDescent="0.2">
      <c r="A32" s="388" t="s">
        <v>522</v>
      </c>
      <c r="B32" s="376"/>
      <c r="C32" s="124">
        <f>G32/$G$29</f>
        <v>1.1081146535912916</v>
      </c>
      <c r="D32" s="124">
        <f>G32/$G$30</f>
        <v>0.98067721359764193</v>
      </c>
      <c r="E32" s="124" t="e">
        <f>G32/$G$31</f>
        <v>#REF!</v>
      </c>
      <c r="F32" s="124">
        <v>1</v>
      </c>
      <c r="G32" s="434">
        <v>38417.804478529011</v>
      </c>
      <c r="H32" s="434"/>
      <c r="I32" s="434"/>
      <c r="L32" s="388" t="s">
        <v>522</v>
      </c>
      <c r="M32" s="376"/>
      <c r="N32" s="124" t="e">
        <f>R32/$R$29</f>
        <v>#REF!</v>
      </c>
      <c r="O32" s="124" t="e">
        <f>R32/$R$30</f>
        <v>#REF!</v>
      </c>
      <c r="P32" s="124" t="e">
        <f>R32/$R$31</f>
        <v>#REF!</v>
      </c>
      <c r="Q32" s="124">
        <v>1</v>
      </c>
      <c r="R32" s="434" t="e">
        <v>#REF!</v>
      </c>
      <c r="S32" s="434"/>
      <c r="T32" s="434"/>
    </row>
    <row r="33" spans="3:6" x14ac:dyDescent="0.2">
      <c r="C33" s="125"/>
      <c r="D33" s="125"/>
      <c r="E33" s="125"/>
      <c r="F33" s="125"/>
    </row>
    <row r="69" spans="6:6" x14ac:dyDescent="0.2">
      <c r="F69" t="e">
        <f>'Корректировка на этаж'!Q4\</f>
        <v>#NAME?</v>
      </c>
    </row>
  </sheetData>
  <mergeCells count="88">
    <mergeCell ref="A1:E1"/>
    <mergeCell ref="L1:T1"/>
    <mergeCell ref="G2:I2"/>
    <mergeCell ref="R2:T2"/>
    <mergeCell ref="A3:B3"/>
    <mergeCell ref="G3:I3"/>
    <mergeCell ref="L3:M3"/>
    <mergeCell ref="R3:T3"/>
    <mergeCell ref="A4:B4"/>
    <mergeCell ref="G4:I4"/>
    <mergeCell ref="L4:M4"/>
    <mergeCell ref="R4:T4"/>
    <mergeCell ref="A5:B5"/>
    <mergeCell ref="G5:I5"/>
    <mergeCell ref="L5:M5"/>
    <mergeCell ref="R5:T5"/>
    <mergeCell ref="A6:B6"/>
    <mergeCell ref="G6:I6"/>
    <mergeCell ref="L6:M6"/>
    <mergeCell ref="R6:T6"/>
    <mergeCell ref="A8:I8"/>
    <mergeCell ref="L8:T8"/>
    <mergeCell ref="G9:I9"/>
    <mergeCell ref="R9:T9"/>
    <mergeCell ref="A10:B10"/>
    <mergeCell ref="H10:I10"/>
    <mergeCell ref="L10:M10"/>
    <mergeCell ref="S10:T10"/>
    <mergeCell ref="A11:B11"/>
    <mergeCell ref="H11:I11"/>
    <mergeCell ref="L11:M11"/>
    <mergeCell ref="S11:T11"/>
    <mergeCell ref="A12:B12"/>
    <mergeCell ref="H12:I12"/>
    <mergeCell ref="L12:M12"/>
    <mergeCell ref="S12:T12"/>
    <mergeCell ref="A13:B13"/>
    <mergeCell ref="H13:I13"/>
    <mergeCell ref="L13:M13"/>
    <mergeCell ref="S13:T13"/>
    <mergeCell ref="A14:B14"/>
    <mergeCell ref="H14:I14"/>
    <mergeCell ref="L14:M14"/>
    <mergeCell ref="S14:T14"/>
    <mergeCell ref="A16:I16"/>
    <mergeCell ref="L16:T16"/>
    <mergeCell ref="G17:I17"/>
    <mergeCell ref="R17:T17"/>
    <mergeCell ref="A18:B18"/>
    <mergeCell ref="H18:I18"/>
    <mergeCell ref="L18:M18"/>
    <mergeCell ref="S18:T18"/>
    <mergeCell ref="A19:B19"/>
    <mergeCell ref="H19:I19"/>
    <mergeCell ref="L19:M19"/>
    <mergeCell ref="S19:T19"/>
    <mergeCell ref="A20:B20"/>
    <mergeCell ref="H20:I20"/>
    <mergeCell ref="L20:M20"/>
    <mergeCell ref="S20:T20"/>
    <mergeCell ref="A21:B21"/>
    <mergeCell ref="H21:I21"/>
    <mergeCell ref="L21:M21"/>
    <mergeCell ref="S21:T21"/>
    <mergeCell ref="A22:B22"/>
    <mergeCell ref="H22:I22"/>
    <mergeCell ref="L22:M22"/>
    <mergeCell ref="S22:T22"/>
    <mergeCell ref="A27:H27"/>
    <mergeCell ref="L27:S27"/>
    <mergeCell ref="G28:I28"/>
    <mergeCell ref="R28:T28"/>
    <mergeCell ref="A29:B29"/>
    <mergeCell ref="G29:I29"/>
    <mergeCell ref="L29:M29"/>
    <mergeCell ref="R29:T29"/>
    <mergeCell ref="A32:B32"/>
    <mergeCell ref="G32:I32"/>
    <mergeCell ref="L32:M32"/>
    <mergeCell ref="R32:T32"/>
    <mergeCell ref="A30:B30"/>
    <mergeCell ref="G30:I30"/>
    <mergeCell ref="L30:M30"/>
    <mergeCell ref="R30:T30"/>
    <mergeCell ref="A31:B31"/>
    <mergeCell ref="G31:I31"/>
    <mergeCell ref="L31:M31"/>
    <mergeCell ref="R31:T3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>
    <pageSetUpPr fitToPage="1"/>
  </sheetPr>
  <dimension ref="A1:BJ65"/>
  <sheetViews>
    <sheetView showGridLines="0" zoomScale="80" zoomScaleNormal="80" workbookViewId="0">
      <selection sqref="A1:L1"/>
    </sheetView>
  </sheetViews>
  <sheetFormatPr defaultRowHeight="10.5" outlineLevelRow="1" x14ac:dyDescent="0.15"/>
  <cols>
    <col min="1" max="1" width="20.7109375" style="1" customWidth="1"/>
    <col min="2" max="2" width="7.140625" style="1" customWidth="1"/>
    <col min="3" max="3" width="4.7109375" style="1" customWidth="1"/>
    <col min="4" max="4" width="3.7109375" style="1" customWidth="1"/>
    <col min="5" max="5" width="4.28515625" style="1" customWidth="1"/>
    <col min="6" max="6" width="4.5703125" style="1" customWidth="1"/>
    <col min="7" max="7" width="6.85546875" style="1" customWidth="1"/>
    <col min="8" max="8" width="8.140625" style="1" customWidth="1"/>
    <col min="9" max="9" width="7.5703125" style="1" customWidth="1"/>
    <col min="10" max="10" width="22.7109375" style="1" customWidth="1"/>
    <col min="11" max="11" width="2.140625" style="1" hidden="1" customWidth="1"/>
    <col min="12" max="12" width="24.85546875" style="1" customWidth="1"/>
    <col min="13" max="14" width="9.140625" style="1"/>
    <col min="15" max="15" width="26.7109375" style="1" customWidth="1"/>
    <col min="16" max="24" width="9.140625" style="1"/>
    <col min="25" max="25" width="32.42578125" style="1" customWidth="1"/>
    <col min="26" max="26" width="28.5703125" style="1" customWidth="1"/>
    <col min="27" max="27" width="20.85546875" style="1" customWidth="1"/>
    <col min="28" max="36" width="9.140625" style="1"/>
    <col min="37" max="37" width="37.42578125" style="1" customWidth="1"/>
    <col min="38" max="16384" width="9.140625" style="1"/>
  </cols>
  <sheetData>
    <row r="1" spans="1:50" ht="15.75" customHeight="1" x14ac:dyDescent="0.15">
      <c r="A1" s="521" t="s">
        <v>205</v>
      </c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521"/>
      <c r="M1" s="7"/>
      <c r="N1" s="7"/>
      <c r="O1" s="7"/>
      <c r="AA1" s="27"/>
      <c r="AB1" s="503"/>
      <c r="AC1" s="510"/>
      <c r="AD1" s="510"/>
      <c r="AE1" s="510"/>
      <c r="AF1" s="510"/>
      <c r="AG1" s="510"/>
      <c r="AH1" s="510"/>
      <c r="AI1" s="510"/>
      <c r="AJ1" s="510"/>
      <c r="AK1" s="510"/>
      <c r="AL1" s="508"/>
      <c r="AN1" s="503"/>
      <c r="AO1" s="510"/>
      <c r="AP1" s="510"/>
      <c r="AQ1" s="510"/>
      <c r="AR1" s="510"/>
      <c r="AS1" s="510"/>
      <c r="AT1" s="510"/>
      <c r="AU1" s="510"/>
      <c r="AV1" s="510"/>
      <c r="AW1" s="510"/>
      <c r="AX1" s="508"/>
    </row>
    <row r="2" spans="1:50" ht="24" customHeight="1" x14ac:dyDescent="0.15">
      <c r="A2" s="301" t="s">
        <v>0</v>
      </c>
      <c r="B2" s="301" t="s">
        <v>1</v>
      </c>
      <c r="C2" s="301"/>
      <c r="D2" s="301"/>
      <c r="E2" s="301" t="s">
        <v>532</v>
      </c>
      <c r="F2" s="301"/>
      <c r="G2" s="301"/>
      <c r="H2" s="301" t="s">
        <v>2</v>
      </c>
      <c r="I2" s="301"/>
      <c r="J2" s="522" t="s">
        <v>759</v>
      </c>
      <c r="K2" s="523"/>
      <c r="L2" s="203" t="s">
        <v>3</v>
      </c>
      <c r="M2" s="507" t="s">
        <v>175</v>
      </c>
      <c r="N2" s="507"/>
      <c r="O2" s="507"/>
      <c r="P2" s="507"/>
      <c r="Q2" s="507"/>
      <c r="R2" s="507"/>
      <c r="AA2" s="28"/>
      <c r="AB2" s="504"/>
      <c r="AC2" s="511"/>
      <c r="AD2" s="511"/>
      <c r="AE2" s="511"/>
      <c r="AF2" s="511"/>
      <c r="AG2" s="511"/>
      <c r="AH2" s="511"/>
      <c r="AI2" s="511"/>
      <c r="AJ2" s="511"/>
      <c r="AK2" s="511"/>
      <c r="AL2" s="509"/>
      <c r="AM2" s="28"/>
      <c r="AN2" s="504"/>
      <c r="AO2" s="511"/>
      <c r="AP2" s="511"/>
      <c r="AQ2" s="511"/>
      <c r="AR2" s="511"/>
      <c r="AS2" s="511"/>
      <c r="AT2" s="511"/>
      <c r="AU2" s="511"/>
      <c r="AV2" s="511"/>
      <c r="AW2" s="511"/>
      <c r="AX2" s="509"/>
    </row>
    <row r="3" spans="1:50" ht="23.25" customHeight="1" x14ac:dyDescent="0.15">
      <c r="A3" s="301"/>
      <c r="B3" s="304">
        <f>Описание_формуляр!H41</f>
        <v>0</v>
      </c>
      <c r="C3" s="304"/>
      <c r="D3" s="304"/>
      <c r="E3" s="304">
        <f>Описание_формуляр!H49</f>
        <v>0</v>
      </c>
      <c r="F3" s="304"/>
      <c r="G3" s="304"/>
      <c r="H3" s="304">
        <f>Описание_формуляр!H44</f>
        <v>0</v>
      </c>
      <c r="I3" s="304"/>
      <c r="J3" s="524">
        <f>Описание_формуляр!H46</f>
        <v>0</v>
      </c>
      <c r="K3" s="525"/>
      <c r="L3" s="21">
        <f>Описание_формуляр!H48</f>
        <v>0</v>
      </c>
      <c r="M3" s="507"/>
      <c r="N3" s="507"/>
      <c r="O3" s="507"/>
      <c r="P3" s="507"/>
      <c r="Q3" s="507"/>
      <c r="R3" s="507"/>
    </row>
    <row r="4" spans="1:50" ht="24.75" customHeight="1" x14ac:dyDescent="0.15">
      <c r="A4" s="301"/>
      <c r="B4" s="301" t="s">
        <v>4</v>
      </c>
      <c r="C4" s="301"/>
      <c r="D4" s="301"/>
      <c r="E4" s="301"/>
      <c r="F4" s="301"/>
      <c r="G4" s="301"/>
      <c r="H4" s="301" t="s">
        <v>5</v>
      </c>
      <c r="I4" s="301"/>
      <c r="J4" s="301" t="s">
        <v>6</v>
      </c>
      <c r="K4" s="301"/>
      <c r="L4" s="203" t="s">
        <v>641</v>
      </c>
      <c r="M4" s="507" t="s">
        <v>175</v>
      </c>
      <c r="N4" s="507"/>
      <c r="O4" s="507"/>
      <c r="P4" s="507"/>
      <c r="Q4" s="507"/>
      <c r="R4" s="507"/>
    </row>
    <row r="5" spans="1:50" ht="22.5" customHeight="1" x14ac:dyDescent="0.15">
      <c r="A5" s="301"/>
      <c r="B5" s="531">
        <f>Описание_формуляр!H59</f>
        <v>0</v>
      </c>
      <c r="C5" s="304"/>
      <c r="D5" s="304"/>
      <c r="E5" s="304"/>
      <c r="F5" s="304"/>
      <c r="G5" s="304"/>
      <c r="H5" s="304">
        <f>'Задание на оценку'!C38</f>
        <v>0</v>
      </c>
      <c r="I5" s="304"/>
      <c r="J5" s="531">
        <f>'Задание на оценку'!C39</f>
        <v>0</v>
      </c>
      <c r="K5" s="531"/>
      <c r="L5" s="21">
        <f>Описание_формуляр!$H$9</f>
        <v>0</v>
      </c>
      <c r="M5" s="507"/>
      <c r="N5" s="507"/>
      <c r="O5" s="507"/>
      <c r="P5" s="507"/>
      <c r="Q5" s="507"/>
      <c r="R5" s="507"/>
    </row>
    <row r="6" spans="1:50" ht="37.5" customHeight="1" x14ac:dyDescent="0.15">
      <c r="A6" s="301" t="s">
        <v>8</v>
      </c>
      <c r="B6" s="301" t="s">
        <v>732</v>
      </c>
      <c r="C6" s="301"/>
      <c r="D6" s="301"/>
      <c r="E6" s="301" t="s">
        <v>9</v>
      </c>
      <c r="F6" s="301"/>
      <c r="G6" s="301"/>
      <c r="H6" s="301" t="str">
        <f>Описание_формуляр!A23</f>
        <v>Год ввода в эксплуатацию (год постройки)</v>
      </c>
      <c r="I6" s="301"/>
      <c r="J6" s="203" t="s">
        <v>10</v>
      </c>
      <c r="K6" s="301" t="s">
        <v>11</v>
      </c>
      <c r="L6" s="301"/>
      <c r="M6" s="507" t="s">
        <v>177</v>
      </c>
      <c r="N6" s="507"/>
      <c r="O6" s="507"/>
      <c r="P6" s="507"/>
      <c r="Q6" s="507"/>
      <c r="R6" s="507"/>
    </row>
    <row r="7" spans="1:50" ht="26.25" customHeight="1" x14ac:dyDescent="0.15">
      <c r="A7" s="301"/>
      <c r="B7" s="304">
        <f>Сравнительный!B19</f>
        <v>0</v>
      </c>
      <c r="C7" s="304"/>
      <c r="D7" s="304"/>
      <c r="E7" s="304">
        <f>Описание_формуляр!H21</f>
        <v>0</v>
      </c>
      <c r="F7" s="304"/>
      <c r="G7" s="304"/>
      <c r="H7" s="304">
        <f>Описание_формуляр!H23</f>
        <v>0</v>
      </c>
      <c r="I7" s="304"/>
      <c r="J7" s="110">
        <f>Описание_формуляр!H24</f>
        <v>0</v>
      </c>
      <c r="K7" s="516">
        <f>Описание_формуляр!H27</f>
        <v>0</v>
      </c>
      <c r="L7" s="517"/>
      <c r="M7" s="507"/>
      <c r="N7" s="507"/>
      <c r="O7" s="507"/>
      <c r="P7" s="507"/>
      <c r="Q7" s="507"/>
      <c r="R7" s="507"/>
    </row>
    <row r="8" spans="1:50" ht="31.5" customHeight="1" x14ac:dyDescent="0.15">
      <c r="A8" s="301" t="s">
        <v>12</v>
      </c>
      <c r="B8" s="301" t="s">
        <v>13</v>
      </c>
      <c r="C8" s="301"/>
      <c r="D8" s="301"/>
      <c r="E8" s="301" t="s">
        <v>49</v>
      </c>
      <c r="F8" s="301"/>
      <c r="G8" s="301"/>
      <c r="H8" s="301" t="str">
        <f>Описание_формуляр!A6</f>
        <v>Административный район</v>
      </c>
      <c r="I8" s="301"/>
      <c r="J8" s="301" t="s">
        <v>14</v>
      </c>
      <c r="K8" s="301"/>
      <c r="L8" s="301"/>
      <c r="M8" s="507" t="s">
        <v>177</v>
      </c>
      <c r="N8" s="507"/>
      <c r="O8" s="507"/>
      <c r="P8" s="507"/>
      <c r="Q8" s="507"/>
      <c r="R8" s="507"/>
    </row>
    <row r="9" spans="1:50" ht="26.25" customHeight="1" x14ac:dyDescent="0.15">
      <c r="A9" s="301"/>
      <c r="B9" s="304">
        <f>Описание_формуляр!H3</f>
        <v>0</v>
      </c>
      <c r="C9" s="304"/>
      <c r="D9" s="304"/>
      <c r="E9" s="304">
        <f>Описание_формуляр!H5</f>
        <v>0</v>
      </c>
      <c r="F9" s="304"/>
      <c r="G9" s="304"/>
      <c r="H9" s="304">
        <f>Описание_формуляр!H6</f>
        <v>0</v>
      </c>
      <c r="I9" s="304"/>
      <c r="J9" s="304">
        <f>Описание_формуляр!H8</f>
        <v>0</v>
      </c>
      <c r="K9" s="304"/>
      <c r="L9" s="304"/>
      <c r="M9" s="507"/>
      <c r="N9" s="507"/>
      <c r="O9" s="507"/>
      <c r="P9" s="507"/>
      <c r="Q9" s="507"/>
      <c r="R9" s="507"/>
    </row>
    <row r="10" spans="1:50" ht="39" customHeight="1" x14ac:dyDescent="0.15">
      <c r="A10" s="203" t="s">
        <v>15</v>
      </c>
      <c r="B10" s="304" t="str">
        <f>'Задание на оценку'!C87&amp;"
"&amp;'Задание на оценку'!C88</f>
        <v xml:space="preserve">
</v>
      </c>
      <c r="C10" s="304"/>
      <c r="D10" s="304"/>
      <c r="E10" s="304"/>
      <c r="F10" s="304"/>
      <c r="G10" s="304"/>
      <c r="H10" s="304"/>
      <c r="I10" s="304"/>
      <c r="J10" s="304"/>
      <c r="K10" s="304"/>
      <c r="L10" s="304"/>
      <c r="M10" s="507" t="s">
        <v>238</v>
      </c>
      <c r="N10" s="507"/>
      <c r="O10" s="507"/>
      <c r="P10" s="507"/>
      <c r="Q10" s="507"/>
      <c r="R10" s="507"/>
    </row>
    <row r="11" spans="1:50" ht="16.5" customHeight="1" x14ac:dyDescent="0.15">
      <c r="A11" s="301" t="s">
        <v>16</v>
      </c>
      <c r="B11" s="518">
        <f>'Задание на оценку'!C77</f>
        <v>0</v>
      </c>
      <c r="C11" s="518"/>
      <c r="D11" s="518"/>
      <c r="E11" s="518"/>
      <c r="F11" s="518"/>
      <c r="G11" s="518"/>
      <c r="H11" s="518"/>
      <c r="I11" s="518"/>
      <c r="J11" s="518"/>
      <c r="K11" s="518"/>
      <c r="L11" s="518"/>
      <c r="M11" s="507"/>
      <c r="N11" s="507"/>
      <c r="O11" s="507"/>
      <c r="P11" s="507"/>
      <c r="Q11" s="507"/>
      <c r="R11" s="507"/>
    </row>
    <row r="12" spans="1:50" ht="24.75" hidden="1" customHeight="1" x14ac:dyDescent="0.15">
      <c r="A12" s="301"/>
      <c r="B12" s="528" t="str">
        <f>'Задание на оценку'!B78&amp;": "&amp;'Задание на оценку'!C78</f>
        <v xml:space="preserve">Паспортные данные, адрес, контактная информация: </v>
      </c>
      <c r="C12" s="529"/>
      <c r="D12" s="529"/>
      <c r="E12" s="529"/>
      <c r="F12" s="529"/>
      <c r="G12" s="529"/>
      <c r="H12" s="529"/>
      <c r="I12" s="529"/>
      <c r="J12" s="529"/>
      <c r="K12" s="529"/>
      <c r="L12" s="530"/>
      <c r="M12" s="507"/>
      <c r="N12" s="507"/>
      <c r="O12" s="507"/>
      <c r="P12" s="507"/>
      <c r="Q12" s="507"/>
      <c r="R12" s="507"/>
    </row>
    <row r="13" spans="1:50" ht="16.5" hidden="1" customHeight="1" outlineLevel="1" x14ac:dyDescent="0.15">
      <c r="A13" s="301"/>
      <c r="B13" s="304" t="s">
        <v>806</v>
      </c>
      <c r="C13" s="304"/>
      <c r="D13" s="304"/>
      <c r="E13" s="304"/>
      <c r="F13" s="304"/>
      <c r="G13" s="304"/>
      <c r="H13" s="304"/>
      <c r="I13" s="304"/>
      <c r="J13" s="304"/>
      <c r="K13" s="304"/>
      <c r="L13" s="304"/>
      <c r="M13" s="507"/>
      <c r="N13" s="507"/>
      <c r="O13" s="507"/>
      <c r="P13" s="507"/>
      <c r="Q13" s="507"/>
      <c r="R13" s="507"/>
    </row>
    <row r="14" spans="1:50" ht="16.5" customHeight="1" collapsed="1" x14ac:dyDescent="0.15">
      <c r="A14" s="203" t="s">
        <v>17</v>
      </c>
      <c r="B14" s="519" t="s">
        <v>174</v>
      </c>
      <c r="C14" s="520"/>
      <c r="D14" s="520"/>
      <c r="E14" s="520"/>
      <c r="F14" s="520"/>
      <c r="G14" s="255" t="s">
        <v>172</v>
      </c>
      <c r="H14" s="201">
        <f>'Задание на оценку'!C85</f>
        <v>0</v>
      </c>
      <c r="I14" s="201" t="s">
        <v>173</v>
      </c>
      <c r="J14" s="526">
        <f>'Задание на оценку'!C86</f>
        <v>0</v>
      </c>
      <c r="K14" s="526"/>
      <c r="L14" s="527"/>
      <c r="M14" s="507"/>
      <c r="N14" s="507"/>
      <c r="O14" s="507"/>
      <c r="P14" s="507"/>
      <c r="Q14" s="507"/>
      <c r="R14" s="507"/>
    </row>
    <row r="15" spans="1:50" ht="31.5" customHeight="1" x14ac:dyDescent="0.15">
      <c r="A15" s="301" t="s">
        <v>18</v>
      </c>
      <c r="B15" s="203" t="s">
        <v>19</v>
      </c>
      <c r="C15" s="301" t="s">
        <v>20</v>
      </c>
      <c r="D15" s="301"/>
      <c r="E15" s="301"/>
      <c r="F15" s="301"/>
      <c r="G15" s="301"/>
      <c r="H15" s="301" t="s">
        <v>21</v>
      </c>
      <c r="I15" s="301"/>
      <c r="J15" s="301"/>
      <c r="K15" s="301"/>
      <c r="L15" s="203" t="s">
        <v>22</v>
      </c>
    </row>
    <row r="16" spans="1:50" ht="30.75" customHeight="1" x14ac:dyDescent="0.15">
      <c r="A16" s="301"/>
      <c r="B16" s="110" t="s">
        <v>164</v>
      </c>
      <c r="C16" s="304" t="s">
        <v>165</v>
      </c>
      <c r="D16" s="304"/>
      <c r="E16" s="304"/>
      <c r="F16" s="304"/>
      <c r="G16" s="304"/>
      <c r="H16" s="304" t="s">
        <v>801</v>
      </c>
      <c r="I16" s="304"/>
      <c r="J16" s="304"/>
      <c r="K16" s="304"/>
      <c r="L16" s="110" t="s">
        <v>525</v>
      </c>
    </row>
    <row r="17" spans="1:62" x14ac:dyDescent="0.15">
      <c r="A17" s="301" t="s">
        <v>23</v>
      </c>
      <c r="B17" s="301" t="s">
        <v>24</v>
      </c>
      <c r="C17" s="301" t="s">
        <v>26</v>
      </c>
      <c r="D17" s="301"/>
      <c r="E17" s="301" t="s">
        <v>27</v>
      </c>
      <c r="F17" s="301"/>
      <c r="G17" s="301"/>
      <c r="H17" s="301" t="s">
        <v>28</v>
      </c>
      <c r="I17" s="301"/>
      <c r="J17" s="301"/>
      <c r="K17" s="301"/>
      <c r="L17" s="301"/>
    </row>
    <row r="18" spans="1:62" ht="6.75" customHeight="1" x14ac:dyDescent="0.15">
      <c r="A18" s="301"/>
      <c r="B18" s="301" t="s">
        <v>25</v>
      </c>
      <c r="C18" s="301"/>
      <c r="D18" s="301"/>
      <c r="E18" s="301"/>
      <c r="F18" s="301"/>
      <c r="G18" s="301"/>
      <c r="H18" s="301"/>
      <c r="I18" s="301"/>
      <c r="J18" s="301"/>
      <c r="K18" s="301"/>
      <c r="L18" s="301"/>
    </row>
    <row r="19" spans="1:62" x14ac:dyDescent="0.15">
      <c r="A19" s="301"/>
      <c r="B19" s="301"/>
      <c r="C19" s="301"/>
      <c r="D19" s="301"/>
      <c r="E19" s="301"/>
      <c r="F19" s="301"/>
      <c r="G19" s="301"/>
      <c r="H19" s="301" t="s">
        <v>29</v>
      </c>
      <c r="I19" s="301"/>
      <c r="J19" s="301" t="s">
        <v>30</v>
      </c>
      <c r="K19" s="301"/>
      <c r="L19" s="301" t="s">
        <v>42</v>
      </c>
    </row>
    <row r="20" spans="1:62" ht="27.75" customHeight="1" x14ac:dyDescent="0.15">
      <c r="A20" s="301"/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</row>
    <row r="21" spans="1:62" ht="42" customHeight="1" x14ac:dyDescent="0.15">
      <c r="A21" s="256" t="str">
        <f>'Задание на оценку'!Y4</f>
        <v>Томилов Сергей Михайлович</v>
      </c>
      <c r="B21" s="304" t="str">
        <f>IF($A$21=O56,P56,IF($A$21=O58,P58,IF($A$21=O60,P60,IF($A$21=O62,P62,IF($A$21=O64,P64)))))</f>
        <v>с 2007 года</v>
      </c>
      <c r="C21" s="304" t="str">
        <f>IF($A$21=O56,Q56,IF($A$21=O58,Q58,IF($A$21=O60,Q60,IF($A$21=O62,Q62,IF($A$21=O64,Q64)))))</f>
        <v>366</v>
      </c>
      <c r="D21" s="304"/>
      <c r="E21" s="304" t="str">
        <f>IF($A$21=O56,S56,IF($A$21=O58,S58,IF($A$21=O60,S60,IF($A$21=O62,S62,IF($A$21=O64,S64)))))</f>
        <v>Некоммерческое партнерство саморегулируемая организация «Свободный Оценочный Департамент»</v>
      </c>
      <c r="F21" s="304"/>
      <c r="G21" s="304"/>
      <c r="H21" s="304" t="str">
        <f>IF($A$21=O56,V56,IF($A$21=O58,V58,IF($A$21=O60,V60,IF($A$21=O62,V62,IF($A$21=O64,V64)))))</f>
        <v>Свидетельство № 366 от 22.08.2013</v>
      </c>
      <c r="I21" s="304"/>
      <c r="J21" s="304">
        <f>IF($A$21=O56,X56,IF($A$21=O58,X58,IF($A$21=O60,X60,IF($A$21=O62,X62,IF($A$21=O64,X64)))))</f>
        <v>0</v>
      </c>
      <c r="K21" s="304"/>
      <c r="L21" s="304" t="str">
        <f>IF($A$21=O56,Z56,IF($A$21=O58,Z58,IF($A$21=O60,Z60,IF($A$21=O62,Z62,IF($A$21=O64,Z64)))))</f>
        <v>Диплом ПП-I № 107859 от 11 июня 2010 года о профессиональной переподготовке, выдан ГОУ ВПО «ЮУрГУ».</v>
      </c>
      <c r="AA21" s="27" t="s">
        <v>311</v>
      </c>
      <c r="AB21" s="503" t="s">
        <v>496</v>
      </c>
      <c r="AC21" s="501" t="s">
        <v>503</v>
      </c>
      <c r="AD21" s="501"/>
      <c r="AE21" s="510" t="s">
        <v>501</v>
      </c>
      <c r="AF21" s="510"/>
      <c r="AG21" s="510"/>
      <c r="AH21" s="510" t="s">
        <v>502</v>
      </c>
      <c r="AI21" s="510"/>
      <c r="AJ21" s="512">
        <f>Инф_О_Заказчике!B18</f>
        <v>0</v>
      </c>
      <c r="AK21" s="510"/>
      <c r="AL21" s="508" t="s">
        <v>497</v>
      </c>
      <c r="AM21" s="1" t="s">
        <v>453</v>
      </c>
      <c r="AN21" s="503" t="s">
        <v>466</v>
      </c>
      <c r="AO21" s="510">
        <v>6592</v>
      </c>
      <c r="AP21" s="510"/>
      <c r="AQ21" s="510" t="s">
        <v>454</v>
      </c>
      <c r="AR21" s="510"/>
      <c r="AS21" s="510"/>
      <c r="AT21" s="510" t="s">
        <v>500</v>
      </c>
      <c r="AU21" s="510"/>
      <c r="AV21" s="512">
        <f>Инф_О_Заказчике!B48</f>
        <v>0</v>
      </c>
      <c r="AW21" s="510"/>
      <c r="AX21" s="508" t="s">
        <v>455</v>
      </c>
      <c r="AY21" s="27" t="s">
        <v>506</v>
      </c>
      <c r="AZ21" s="503" t="s">
        <v>496</v>
      </c>
      <c r="BA21" s="501" t="s">
        <v>503</v>
      </c>
      <c r="BB21" s="501"/>
      <c r="BC21" s="510" t="s">
        <v>501</v>
      </c>
      <c r="BD21" s="510"/>
      <c r="BE21" s="510"/>
      <c r="BF21" s="510" t="s">
        <v>502</v>
      </c>
      <c r="BG21" s="510"/>
      <c r="BH21" s="512">
        <f>Инф_О_Заказчике!Z18</f>
        <v>0</v>
      </c>
      <c r="BI21" s="510"/>
      <c r="BJ21" s="508" t="s">
        <v>497</v>
      </c>
    </row>
    <row r="22" spans="1:62" ht="81.75" customHeight="1" x14ac:dyDescent="0.15">
      <c r="A22" s="257" t="str">
        <f>IF($A$21=O56,O57,IF($A$21=O58,O59,IF($A$21=O60,O61,IF($A$21=O62,O63,IF($A$21=O64,O65)))))</f>
        <v>Паспорт 7500 215511, выдан УВД Центрального района г.Челябинска 28.06.2000</v>
      </c>
      <c r="B22" s="304"/>
      <c r="C22" s="304"/>
      <c r="D22" s="304"/>
      <c r="E22" s="304"/>
      <c r="F22" s="304"/>
      <c r="G22" s="304"/>
      <c r="H22" s="304"/>
      <c r="I22" s="304"/>
      <c r="J22" s="304"/>
      <c r="K22" s="304"/>
      <c r="L22" s="304"/>
      <c r="AA22" s="28" t="s">
        <v>498</v>
      </c>
      <c r="AB22" s="504"/>
      <c r="AC22" s="502"/>
      <c r="AD22" s="502"/>
      <c r="AE22" s="511"/>
      <c r="AF22" s="511"/>
      <c r="AG22" s="511"/>
      <c r="AH22" s="511"/>
      <c r="AI22" s="511"/>
      <c r="AJ22" s="511"/>
      <c r="AK22" s="511"/>
      <c r="AL22" s="509"/>
      <c r="AM22" s="28" t="s">
        <v>456</v>
      </c>
      <c r="AN22" s="504"/>
      <c r="AO22" s="511"/>
      <c r="AP22" s="511"/>
      <c r="AQ22" s="511"/>
      <c r="AR22" s="511"/>
      <c r="AS22" s="511"/>
      <c r="AT22" s="511"/>
      <c r="AU22" s="511"/>
      <c r="AV22" s="511"/>
      <c r="AW22" s="511"/>
      <c r="AX22" s="509"/>
      <c r="AY22" s="28" t="s">
        <v>508</v>
      </c>
      <c r="AZ22" s="504"/>
      <c r="BA22" s="502"/>
      <c r="BB22" s="502"/>
      <c r="BC22" s="511"/>
      <c r="BD22" s="511"/>
      <c r="BE22" s="511"/>
      <c r="BF22" s="511"/>
      <c r="BG22" s="511"/>
      <c r="BH22" s="511"/>
      <c r="BI22" s="511"/>
      <c r="BJ22" s="509"/>
    </row>
    <row r="23" spans="1:62" ht="41.25" hidden="1" customHeight="1" x14ac:dyDescent="0.15">
      <c r="A23" s="203" t="s">
        <v>167</v>
      </c>
      <c r="B23" s="304" t="s">
        <v>373</v>
      </c>
      <c r="C23" s="304">
        <v>1738</v>
      </c>
      <c r="D23" s="304"/>
      <c r="E23" s="304" t="s">
        <v>166</v>
      </c>
      <c r="F23" s="304"/>
      <c r="G23" s="304"/>
      <c r="H23" s="304" t="s">
        <v>241</v>
      </c>
      <c r="I23" s="304"/>
      <c r="J23" s="304" t="s">
        <v>374</v>
      </c>
      <c r="K23" s="304"/>
      <c r="L23" s="304" t="s">
        <v>169</v>
      </c>
      <c r="AA23" s="27" t="s">
        <v>167</v>
      </c>
      <c r="AB23" s="503" t="s">
        <v>465</v>
      </c>
      <c r="AC23" s="510">
        <v>1738</v>
      </c>
      <c r="AD23" s="510"/>
      <c r="AE23" s="510" t="s">
        <v>166</v>
      </c>
      <c r="AF23" s="510"/>
      <c r="AG23" s="510"/>
      <c r="AH23" s="510" t="s">
        <v>241</v>
      </c>
      <c r="AI23" s="510"/>
      <c r="AJ23" s="512">
        <f>Инф_О_Заказчике!B42</f>
        <v>0</v>
      </c>
      <c r="AK23" s="510"/>
      <c r="AL23" s="508" t="s">
        <v>169</v>
      </c>
    </row>
    <row r="24" spans="1:62" ht="41.25" hidden="1" customHeight="1" x14ac:dyDescent="0.15">
      <c r="A24" s="203" t="s">
        <v>168</v>
      </c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AA24" s="28" t="s">
        <v>168</v>
      </c>
      <c r="AB24" s="504"/>
      <c r="AC24" s="511"/>
      <c r="AD24" s="511"/>
      <c r="AE24" s="511"/>
      <c r="AF24" s="511"/>
      <c r="AG24" s="511"/>
      <c r="AH24" s="511"/>
      <c r="AI24" s="511"/>
      <c r="AJ24" s="511"/>
      <c r="AK24" s="511"/>
      <c r="AL24" s="509"/>
    </row>
    <row r="25" spans="1:62" ht="15" customHeight="1" x14ac:dyDescent="0.15">
      <c r="A25" s="301" t="s">
        <v>31</v>
      </c>
      <c r="B25" s="301" t="s">
        <v>32</v>
      </c>
      <c r="C25" s="301"/>
      <c r="D25" s="301"/>
      <c r="E25" s="301"/>
      <c r="F25" s="301"/>
      <c r="G25" s="301"/>
      <c r="H25" s="301" t="s">
        <v>33</v>
      </c>
      <c r="I25" s="301"/>
      <c r="J25" s="301"/>
      <c r="K25" s="301" t="s">
        <v>34</v>
      </c>
      <c r="L25" s="301"/>
      <c r="M25" s="507" t="s">
        <v>238</v>
      </c>
      <c r="N25" s="507"/>
      <c r="O25" s="507"/>
      <c r="P25" s="507"/>
      <c r="Q25" s="507"/>
      <c r="R25" s="507"/>
      <c r="AA25" s="27"/>
      <c r="AB25" s="503"/>
      <c r="AC25" s="501"/>
      <c r="AD25" s="501"/>
      <c r="AE25" s="510"/>
      <c r="AF25" s="510"/>
      <c r="AG25" s="510"/>
      <c r="AH25" s="510"/>
      <c r="AI25" s="510"/>
      <c r="AJ25" s="512"/>
      <c r="AK25" s="510"/>
      <c r="AL25" s="508"/>
    </row>
    <row r="26" spans="1:62" ht="18" customHeight="1" x14ac:dyDescent="0.15">
      <c r="A26" s="301"/>
      <c r="B26" s="505">
        <f>'Задание на оценку'!C90</f>
        <v>0</v>
      </c>
      <c r="C26" s="505"/>
      <c r="D26" s="505"/>
      <c r="E26" s="505"/>
      <c r="F26" s="505"/>
      <c r="G26" s="505"/>
      <c r="H26" s="505">
        <f>'Задание на оценку'!C91</f>
        <v>0</v>
      </c>
      <c r="I26" s="505"/>
      <c r="J26" s="505"/>
      <c r="K26" s="505">
        <f>'Задание на оценку'!C93</f>
        <v>0</v>
      </c>
      <c r="L26" s="505"/>
      <c r="M26" s="507"/>
      <c r="N26" s="507"/>
      <c r="O26" s="507"/>
      <c r="P26" s="507"/>
      <c r="Q26" s="507"/>
      <c r="R26" s="507"/>
      <c r="AA26" s="28"/>
      <c r="AB26" s="504"/>
      <c r="AC26" s="502"/>
      <c r="AD26" s="502"/>
      <c r="AE26" s="511"/>
      <c r="AF26" s="511"/>
      <c r="AG26" s="511"/>
      <c r="AH26" s="511"/>
      <c r="AI26" s="511"/>
      <c r="AJ26" s="511"/>
      <c r="AK26" s="511"/>
      <c r="AL26" s="509"/>
    </row>
    <row r="27" spans="1:62" ht="24.75" customHeight="1" x14ac:dyDescent="0.15">
      <c r="A27" s="301" t="s">
        <v>35</v>
      </c>
      <c r="B27" s="301" t="s">
        <v>36</v>
      </c>
      <c r="C27" s="301"/>
      <c r="D27" s="301"/>
      <c r="E27" s="301"/>
      <c r="F27" s="301"/>
      <c r="G27" s="301"/>
      <c r="H27" s="301" t="s">
        <v>37</v>
      </c>
      <c r="I27" s="301"/>
      <c r="J27" s="301"/>
      <c r="K27" s="301" t="s">
        <v>38</v>
      </c>
      <c r="L27" s="301"/>
      <c r="M27" s="507"/>
      <c r="N27" s="507"/>
      <c r="O27" s="507"/>
      <c r="P27" s="507"/>
      <c r="Q27" s="507"/>
      <c r="R27" s="507"/>
    </row>
    <row r="28" spans="1:62" ht="15" customHeight="1" x14ac:dyDescent="0.15">
      <c r="A28" s="301"/>
      <c r="B28" s="506" t="e">
        <f>Сравнительный!B96</f>
        <v>#DIV/0!</v>
      </c>
      <c r="C28" s="506"/>
      <c r="D28" s="506"/>
      <c r="E28" s="506"/>
      <c r="F28" s="506"/>
      <c r="G28" s="506"/>
      <c r="H28" s="304" t="s">
        <v>144</v>
      </c>
      <c r="I28" s="304"/>
      <c r="J28" s="304"/>
      <c r="K28" s="304" t="s">
        <v>144</v>
      </c>
      <c r="L28" s="304"/>
      <c r="M28" s="507"/>
      <c r="N28" s="507"/>
      <c r="O28" s="507"/>
      <c r="P28" s="507"/>
      <c r="Q28" s="507"/>
      <c r="R28" s="507"/>
    </row>
    <row r="29" spans="1:62" ht="17.25" customHeight="1" x14ac:dyDescent="0.15">
      <c r="A29" s="513" t="s">
        <v>39</v>
      </c>
      <c r="B29" s="301" t="s">
        <v>40</v>
      </c>
      <c r="C29" s="301"/>
      <c r="D29" s="301"/>
      <c r="E29" s="301"/>
      <c r="F29" s="301"/>
      <c r="G29" s="301"/>
      <c r="H29" s="301"/>
      <c r="I29" s="301"/>
      <c r="J29" s="301" t="s">
        <v>811</v>
      </c>
      <c r="K29" s="301"/>
      <c r="L29" s="301"/>
      <c r="M29" s="507"/>
      <c r="N29" s="507"/>
      <c r="O29" s="507"/>
      <c r="P29" s="507"/>
      <c r="Q29" s="507"/>
      <c r="R29" s="507"/>
    </row>
    <row r="30" spans="1:62" ht="17.25" customHeight="1" x14ac:dyDescent="0.15">
      <c r="A30" s="514"/>
      <c r="B30" s="506" t="e">
        <f>ROUND(B28,-3)</f>
        <v>#DIV/0!</v>
      </c>
      <c r="C30" s="506"/>
      <c r="D30" s="506"/>
      <c r="E30" s="506"/>
      <c r="F30" s="506"/>
      <c r="G30" s="506"/>
      <c r="H30" s="506"/>
      <c r="I30" s="506"/>
      <c r="J30" s="506" t="e">
        <f>РасчетЛиквидационнойСтоимости!C8</f>
        <v>#DIV/0!</v>
      </c>
      <c r="K30" s="506"/>
      <c r="L30" s="506"/>
      <c r="M30" s="507"/>
      <c r="N30" s="507"/>
      <c r="O30" s="507"/>
      <c r="P30" s="507"/>
      <c r="Q30" s="507"/>
      <c r="R30" s="507"/>
    </row>
    <row r="31" spans="1:62" ht="17.25" customHeight="1" x14ac:dyDescent="0.15">
      <c r="A31" s="515"/>
      <c r="B31" s="506" t="e">
        <f>IF((J30)&lt;=0,"Сумма прописью:_______________________________________",FirstLetter(CurText(B30)))</f>
        <v>#DIV/0!</v>
      </c>
      <c r="C31" s="506"/>
      <c r="D31" s="506"/>
      <c r="E31" s="506"/>
      <c r="F31" s="506"/>
      <c r="G31" s="506"/>
      <c r="H31" s="506"/>
      <c r="I31" s="506"/>
      <c r="J31" s="506" t="e">
        <f>IF((J30)&lt;=0,"Сумма прописью:_______________________________________",FirstLetter(CurText(J30)))</f>
        <v>#DIV/0!</v>
      </c>
      <c r="K31" s="506"/>
      <c r="L31" s="506"/>
      <c r="M31" s="53"/>
      <c r="N31" s="53"/>
      <c r="O31" s="53"/>
      <c r="P31" s="53"/>
      <c r="Q31" s="53"/>
      <c r="R31" s="53"/>
    </row>
    <row r="32" spans="1:62" ht="16.5" customHeight="1" x14ac:dyDescent="0.15">
      <c r="A32" s="258" t="s">
        <v>367</v>
      </c>
      <c r="B32" s="259"/>
      <c r="C32" s="260"/>
      <c r="D32" s="260"/>
      <c r="E32" s="260"/>
      <c r="F32" s="260"/>
      <c r="G32" s="260"/>
      <c r="H32" s="260"/>
      <c r="I32" s="260"/>
      <c r="J32" s="260"/>
      <c r="K32" s="260"/>
      <c r="L32" s="261"/>
    </row>
    <row r="33" spans="1:12" ht="16.5" customHeight="1" x14ac:dyDescent="0.15">
      <c r="A33" s="203" t="str">
        <f>Сравнительный!A98</f>
        <v>Ф.И.О. собственника</v>
      </c>
      <c r="B33" s="492" t="str">
        <f>Сравнительный!B98</f>
        <v>Доля в праве</v>
      </c>
      <c r="C33" s="492"/>
      <c r="D33" s="492"/>
      <c r="E33" s="493" t="str">
        <f>Сравнительный!C98</f>
        <v>Стоимость доли в праве, руб.</v>
      </c>
      <c r="F33" s="494"/>
      <c r="G33" s="494"/>
      <c r="H33" s="494"/>
      <c r="I33" s="494"/>
      <c r="J33" s="494"/>
      <c r="K33" s="494"/>
      <c r="L33" s="495"/>
    </row>
    <row r="34" spans="1:12" ht="22.5" customHeight="1" x14ac:dyDescent="0.15">
      <c r="A34" s="11">
        <f>Сравнительный!A99</f>
        <v>0</v>
      </c>
      <c r="B34" s="498">
        <f>Сравнительный!B99</f>
        <v>0</v>
      </c>
      <c r="C34" s="498"/>
      <c r="D34" s="498"/>
      <c r="E34" s="496" t="e">
        <f>Сравнительный!C99</f>
        <v>#DIV/0!</v>
      </c>
      <c r="F34" s="497"/>
      <c r="G34" s="497"/>
      <c r="H34" s="368" t="e">
        <f>Сравнительный!D99</f>
        <v>#DIV/0!</v>
      </c>
      <c r="I34" s="368"/>
      <c r="J34" s="368"/>
      <c r="K34" s="368"/>
      <c r="L34" s="369"/>
    </row>
    <row r="35" spans="1:12" ht="16.5" customHeight="1" x14ac:dyDescent="0.15">
      <c r="A35" s="11">
        <f>Сравнительный!A100</f>
        <v>0</v>
      </c>
      <c r="B35" s="498">
        <f>Сравнительный!B100</f>
        <v>0</v>
      </c>
      <c r="C35" s="498"/>
      <c r="D35" s="498"/>
      <c r="E35" s="496" t="e">
        <f>Сравнительный!C100</f>
        <v>#DIV/0!</v>
      </c>
      <c r="F35" s="497"/>
      <c r="G35" s="497"/>
      <c r="H35" s="368" t="e">
        <f>Сравнительный!D100</f>
        <v>#DIV/0!</v>
      </c>
      <c r="I35" s="368"/>
      <c r="J35" s="368"/>
      <c r="K35" s="368"/>
      <c r="L35" s="369"/>
    </row>
    <row r="36" spans="1:12" ht="16.5" hidden="1" customHeight="1" outlineLevel="1" x14ac:dyDescent="0.15">
      <c r="A36" s="11" t="str">
        <f>CONCATENATE('Задание на оценку'!C61," - 1/4 доли")</f>
        <v xml:space="preserve"> - 1/4 доли</v>
      </c>
      <c r="B36" s="499" t="e">
        <f>Сравнительный!D102</f>
        <v>#DIV/0!</v>
      </c>
      <c r="C36" s="499"/>
      <c r="D36" s="499"/>
      <c r="E36" s="500"/>
      <c r="F36" s="490"/>
      <c r="G36" s="490"/>
      <c r="H36" s="490"/>
      <c r="I36" s="490" t="e">
        <f>J30*'Задание на оценку'!C64</f>
        <v>#DIV/0!</v>
      </c>
      <c r="J36" s="490"/>
      <c r="K36" s="490"/>
      <c r="L36" s="491"/>
    </row>
    <row r="37" spans="1:12" collapsed="1" x14ac:dyDescent="0.15"/>
    <row r="56" spans="15:28" ht="36" customHeight="1" x14ac:dyDescent="0.15">
      <c r="O56" s="27" t="s">
        <v>311</v>
      </c>
      <c r="P56" s="503" t="s">
        <v>496</v>
      </c>
      <c r="Q56" s="501" t="s">
        <v>503</v>
      </c>
      <c r="R56" s="501"/>
      <c r="S56" s="510" t="s">
        <v>658</v>
      </c>
      <c r="T56" s="510"/>
      <c r="U56" s="510"/>
      <c r="V56" s="510" t="s">
        <v>502</v>
      </c>
      <c r="W56" s="510"/>
      <c r="X56" s="512">
        <f>Инф_О_Заказчике!B18</f>
        <v>0</v>
      </c>
      <c r="Y56" s="510"/>
      <c r="Z56" s="508" t="s">
        <v>497</v>
      </c>
      <c r="AB56" s="254" t="s">
        <v>479</v>
      </c>
    </row>
    <row r="57" spans="15:28" ht="36" customHeight="1" x14ac:dyDescent="0.15">
      <c r="O57" s="28" t="s">
        <v>498</v>
      </c>
      <c r="P57" s="504"/>
      <c r="Q57" s="502"/>
      <c r="R57" s="502"/>
      <c r="S57" s="511"/>
      <c r="T57" s="511"/>
      <c r="U57" s="511"/>
      <c r="V57" s="511"/>
      <c r="W57" s="511"/>
      <c r="X57" s="511"/>
      <c r="Y57" s="511"/>
      <c r="Z57" s="509"/>
      <c r="AB57" s="254" t="s">
        <v>480</v>
      </c>
    </row>
    <row r="58" spans="15:28" ht="36" customHeight="1" x14ac:dyDescent="0.15">
      <c r="O58" s="27" t="s">
        <v>453</v>
      </c>
      <c r="P58" s="503" t="s">
        <v>466</v>
      </c>
      <c r="Q58" s="510">
        <v>6592</v>
      </c>
      <c r="R58" s="510"/>
      <c r="S58" s="510" t="s">
        <v>454</v>
      </c>
      <c r="T58" s="510"/>
      <c r="U58" s="510"/>
      <c r="V58" s="510" t="s">
        <v>500</v>
      </c>
      <c r="W58" s="510"/>
      <c r="X58" s="512">
        <f>Инф_О_Заказчике!B48</f>
        <v>0</v>
      </c>
      <c r="Y58" s="510"/>
      <c r="Z58" s="508" t="s">
        <v>455</v>
      </c>
      <c r="AB58" s="254" t="s">
        <v>481</v>
      </c>
    </row>
    <row r="59" spans="15:28" ht="36" customHeight="1" x14ac:dyDescent="0.15">
      <c r="O59" s="28" t="s">
        <v>456</v>
      </c>
      <c r="P59" s="504"/>
      <c r="Q59" s="511"/>
      <c r="R59" s="511"/>
      <c r="S59" s="511"/>
      <c r="T59" s="511"/>
      <c r="U59" s="511"/>
      <c r="V59" s="511"/>
      <c r="W59" s="511"/>
      <c r="X59" s="511"/>
      <c r="Y59" s="511"/>
      <c r="Z59" s="509"/>
      <c r="AB59" s="254" t="s">
        <v>464</v>
      </c>
    </row>
    <row r="60" spans="15:28" ht="36" customHeight="1" x14ac:dyDescent="0.15">
      <c r="O60" s="118">
        <f>Инф_О_Заказчике!A38</f>
        <v>0</v>
      </c>
      <c r="P60" s="503" t="s">
        <v>657</v>
      </c>
      <c r="Q60" s="510">
        <v>941</v>
      </c>
      <c r="R60" s="510"/>
      <c r="S60" s="510" t="s">
        <v>658</v>
      </c>
      <c r="T60" s="510"/>
      <c r="U60" s="510"/>
      <c r="V60" s="510" t="s">
        <v>659</v>
      </c>
      <c r="W60" s="510"/>
      <c r="X60" s="512">
        <f>Инф_О_Заказчике!B42</f>
        <v>0</v>
      </c>
      <c r="Y60" s="510"/>
      <c r="Z60" s="508" t="s">
        <v>660</v>
      </c>
      <c r="AB60" s="254" t="s">
        <v>482</v>
      </c>
    </row>
    <row r="61" spans="15:28" ht="36" customHeight="1" x14ac:dyDescent="0.15">
      <c r="O61" s="28" t="s">
        <v>661</v>
      </c>
      <c r="P61" s="504"/>
      <c r="Q61" s="511"/>
      <c r="R61" s="511"/>
      <c r="S61" s="511"/>
      <c r="T61" s="511"/>
      <c r="U61" s="511"/>
      <c r="V61" s="511"/>
      <c r="W61" s="511"/>
      <c r="X61" s="511"/>
      <c r="Y61" s="511"/>
      <c r="Z61" s="509"/>
      <c r="AB61" s="254" t="s">
        <v>483</v>
      </c>
    </row>
    <row r="62" spans="15:28" ht="36" customHeight="1" x14ac:dyDescent="0.15">
      <c r="O62" s="27" t="s">
        <v>506</v>
      </c>
      <c r="P62" s="503" t="s">
        <v>496</v>
      </c>
      <c r="Q62" s="501" t="s">
        <v>511</v>
      </c>
      <c r="R62" s="501"/>
      <c r="S62" s="510" t="s">
        <v>539</v>
      </c>
      <c r="T62" s="510"/>
      <c r="U62" s="510"/>
      <c r="V62" s="510" t="s">
        <v>540</v>
      </c>
      <c r="W62" s="510"/>
      <c r="X62" s="512">
        <f>Инф_О_Заказчике!B36</f>
        <v>0</v>
      </c>
      <c r="Y62" s="510"/>
      <c r="Z62" s="508" t="s">
        <v>512</v>
      </c>
    </row>
    <row r="63" spans="15:28" ht="50.25" customHeight="1" x14ac:dyDescent="0.15">
      <c r="O63" s="28" t="s">
        <v>541</v>
      </c>
      <c r="P63" s="504"/>
      <c r="Q63" s="502"/>
      <c r="R63" s="502"/>
      <c r="S63" s="511"/>
      <c r="T63" s="511"/>
      <c r="U63" s="511"/>
      <c r="V63" s="511"/>
      <c r="W63" s="511"/>
      <c r="X63" s="511"/>
      <c r="Y63" s="511"/>
      <c r="Z63" s="509"/>
    </row>
    <row r="64" spans="15:28" ht="24.75" customHeight="1" x14ac:dyDescent="0.15">
      <c r="O64" s="27" t="s">
        <v>505</v>
      </c>
      <c r="P64" s="503" t="s">
        <v>514</v>
      </c>
      <c r="Q64" s="501" t="s">
        <v>510</v>
      </c>
      <c r="R64" s="501"/>
      <c r="S64" s="510" t="s">
        <v>618</v>
      </c>
      <c r="T64" s="510"/>
      <c r="U64" s="510"/>
      <c r="V64" s="510" t="s">
        <v>619</v>
      </c>
      <c r="W64" s="510"/>
      <c r="X64" s="512">
        <f>Инф_О_Заказчике!B30</f>
        <v>0</v>
      </c>
      <c r="Y64" s="510"/>
      <c r="Z64" s="508" t="s">
        <v>513</v>
      </c>
    </row>
    <row r="65" spans="15:26" ht="51" customHeight="1" x14ac:dyDescent="0.15">
      <c r="O65" s="28" t="s">
        <v>509</v>
      </c>
      <c r="P65" s="504"/>
      <c r="Q65" s="502"/>
      <c r="R65" s="502"/>
      <c r="S65" s="511"/>
      <c r="T65" s="511"/>
      <c r="U65" s="511"/>
      <c r="V65" s="511"/>
      <c r="W65" s="511"/>
      <c r="X65" s="511"/>
      <c r="Y65" s="511"/>
      <c r="Z65" s="509"/>
    </row>
  </sheetData>
  <customSheetViews>
    <customSheetView guid="{BF874629-29E4-4E42-B267-D30BB270BE2E}" scale="115" fitToPage="1" hiddenRows="1" topLeftCell="A37">
      <selection activeCell="AB57" sqref="AB57"/>
      <pageMargins left="0.98425196850393704" right="0.59055118110236227" top="0.85" bottom="0.78" header="0.51181102362204722" footer="0.51181102362204722"/>
      <pageSetup paperSize="9" scale="13" orientation="portrait" verticalDpi="300" r:id="rId1"/>
      <headerFooter alignWithMargins="0"/>
    </customSheetView>
  </customSheetViews>
  <mergeCells count="176">
    <mergeCell ref="X64:Y65"/>
    <mergeCell ref="Z64:Z65"/>
    <mergeCell ref="P62:P63"/>
    <mergeCell ref="Q62:R63"/>
    <mergeCell ref="S62:U63"/>
    <mergeCell ref="V62:W63"/>
    <mergeCell ref="X62:Y63"/>
    <mergeCell ref="Z62:Z63"/>
    <mergeCell ref="Q64:R65"/>
    <mergeCell ref="S64:U65"/>
    <mergeCell ref="P64:P65"/>
    <mergeCell ref="V64:W65"/>
    <mergeCell ref="BA21:BB22"/>
    <mergeCell ref="BC21:BE22"/>
    <mergeCell ref="X60:Y61"/>
    <mergeCell ref="Z60:Z61"/>
    <mergeCell ref="P58:P59"/>
    <mergeCell ref="Q58:R59"/>
    <mergeCell ref="S58:U59"/>
    <mergeCell ref="V58:W59"/>
    <mergeCell ref="X58:Y59"/>
    <mergeCell ref="Z58:Z59"/>
    <mergeCell ref="V56:W57"/>
    <mergeCell ref="X56:Y57"/>
    <mergeCell ref="Z56:Z57"/>
    <mergeCell ref="P60:P61"/>
    <mergeCell ref="Q60:R61"/>
    <mergeCell ref="S60:U61"/>
    <mergeCell ref="P56:P57"/>
    <mergeCell ref="Q56:R57"/>
    <mergeCell ref="S56:U57"/>
    <mergeCell ref="V60:W61"/>
    <mergeCell ref="AE21:AG22"/>
    <mergeCell ref="AC23:AD24"/>
    <mergeCell ref="AE23:AG24"/>
    <mergeCell ref="AH23:AI24"/>
    <mergeCell ref="BF21:BG22"/>
    <mergeCell ref="BH21:BI22"/>
    <mergeCell ref="BJ21:BJ22"/>
    <mergeCell ref="AB25:AB26"/>
    <mergeCell ref="AC25:AD26"/>
    <mergeCell ref="AE25:AG26"/>
    <mergeCell ref="AH25:AI26"/>
    <mergeCell ref="AJ25:AK26"/>
    <mergeCell ref="AX1:AX2"/>
    <mergeCell ref="AJ1:AK2"/>
    <mergeCell ref="AL1:AL2"/>
    <mergeCell ref="AN1:AN2"/>
    <mergeCell ref="AO1:AP2"/>
    <mergeCell ref="AV1:AW2"/>
    <mergeCell ref="AT1:AU2"/>
    <mergeCell ref="AQ1:AS2"/>
    <mergeCell ref="AH1:AI2"/>
    <mergeCell ref="AC1:AD2"/>
    <mergeCell ref="AB1:AB2"/>
    <mergeCell ref="AZ21:AZ22"/>
    <mergeCell ref="AL25:AL26"/>
    <mergeCell ref="AV21:AW22"/>
    <mergeCell ref="AL23:AL24"/>
    <mergeCell ref="AJ21:AK22"/>
    <mergeCell ref="B2:D2"/>
    <mergeCell ref="E2:G2"/>
    <mergeCell ref="B3:D3"/>
    <mergeCell ref="B4:G4"/>
    <mergeCell ref="E3:G3"/>
    <mergeCell ref="B5:G5"/>
    <mergeCell ref="M4:R5"/>
    <mergeCell ref="H5:I5"/>
    <mergeCell ref="H4:I4"/>
    <mergeCell ref="H3:I3"/>
    <mergeCell ref="J4:K4"/>
    <mergeCell ref="J5:K5"/>
    <mergeCell ref="A1:L1"/>
    <mergeCell ref="H2:I2"/>
    <mergeCell ref="M2:R3"/>
    <mergeCell ref="AE1:AG2"/>
    <mergeCell ref="A2:A5"/>
    <mergeCell ref="J2:K2"/>
    <mergeCell ref="J3:K3"/>
    <mergeCell ref="J9:L9"/>
    <mergeCell ref="J14:L14"/>
    <mergeCell ref="B12:L12"/>
    <mergeCell ref="B13:L13"/>
    <mergeCell ref="H9:I9"/>
    <mergeCell ref="B8:D8"/>
    <mergeCell ref="A6:A7"/>
    <mergeCell ref="B6:D6"/>
    <mergeCell ref="B7:D7"/>
    <mergeCell ref="A8:A9"/>
    <mergeCell ref="E7:G7"/>
    <mergeCell ref="M6:R7"/>
    <mergeCell ref="K6:L6"/>
    <mergeCell ref="M10:R14"/>
    <mergeCell ref="M8:R9"/>
    <mergeCell ref="H6:I6"/>
    <mergeCell ref="E6:G6"/>
    <mergeCell ref="A15:A16"/>
    <mergeCell ref="A11:A13"/>
    <mergeCell ref="C15:G15"/>
    <mergeCell ref="A17:A20"/>
    <mergeCell ref="K7:L7"/>
    <mergeCell ref="B9:D9"/>
    <mergeCell ref="E8:G8"/>
    <mergeCell ref="H17:L18"/>
    <mergeCell ref="L19:L20"/>
    <mergeCell ref="J8:L8"/>
    <mergeCell ref="B11:L11"/>
    <mergeCell ref="B10:L10"/>
    <mergeCell ref="H8:I8"/>
    <mergeCell ref="H7:I7"/>
    <mergeCell ref="C16:G16"/>
    <mergeCell ref="B14:F14"/>
    <mergeCell ref="E9:G9"/>
    <mergeCell ref="H16:K16"/>
    <mergeCell ref="H15:K15"/>
    <mergeCell ref="H19:I20"/>
    <mergeCell ref="E17:G20"/>
    <mergeCell ref="C17:D20"/>
    <mergeCell ref="J19:K20"/>
    <mergeCell ref="B17:B20"/>
    <mergeCell ref="AX21:AX22"/>
    <mergeCell ref="AN21:AN22"/>
    <mergeCell ref="AO21:AP22"/>
    <mergeCell ref="AQ21:AS22"/>
    <mergeCell ref="AT21:AU22"/>
    <mergeCell ref="AL21:AL22"/>
    <mergeCell ref="AH21:AI22"/>
    <mergeCell ref="AJ23:AK24"/>
    <mergeCell ref="A29:A31"/>
    <mergeCell ref="B21:B22"/>
    <mergeCell ref="B23:B24"/>
    <mergeCell ref="C23:D24"/>
    <mergeCell ref="H21:I22"/>
    <mergeCell ref="J21:K22"/>
    <mergeCell ref="C21:D22"/>
    <mergeCell ref="B28:G28"/>
    <mergeCell ref="K25:L25"/>
    <mergeCell ref="H25:J25"/>
    <mergeCell ref="B26:G26"/>
    <mergeCell ref="B25:G25"/>
    <mergeCell ref="L23:L24"/>
    <mergeCell ref="J23:K24"/>
    <mergeCell ref="H23:I24"/>
    <mergeCell ref="B30:I30"/>
    <mergeCell ref="B31:I31"/>
    <mergeCell ref="J29:L29"/>
    <mergeCell ref="J30:L30"/>
    <mergeCell ref="J31:L31"/>
    <mergeCell ref="H26:J26"/>
    <mergeCell ref="M25:R30"/>
    <mergeCell ref="H27:J27"/>
    <mergeCell ref="E21:G22"/>
    <mergeCell ref="K27:L27"/>
    <mergeCell ref="H28:J28"/>
    <mergeCell ref="E23:G24"/>
    <mergeCell ref="B27:G27"/>
    <mergeCell ref="AC21:AD22"/>
    <mergeCell ref="AB21:AB22"/>
    <mergeCell ref="AB23:AB24"/>
    <mergeCell ref="L21:L22"/>
    <mergeCell ref="K26:L26"/>
    <mergeCell ref="K28:L28"/>
    <mergeCell ref="A27:A28"/>
    <mergeCell ref="A25:A26"/>
    <mergeCell ref="B29:I29"/>
    <mergeCell ref="I36:L36"/>
    <mergeCell ref="B33:D33"/>
    <mergeCell ref="E33:L33"/>
    <mergeCell ref="E34:G34"/>
    <mergeCell ref="E35:G35"/>
    <mergeCell ref="H34:L34"/>
    <mergeCell ref="H35:L35"/>
    <mergeCell ref="B35:D35"/>
    <mergeCell ref="B36:D36"/>
    <mergeCell ref="E36:H36"/>
    <mergeCell ref="B34:D34"/>
  </mergeCells>
  <phoneticPr fontId="3" type="noConversion"/>
  <pageMargins left="0.98425196850393704" right="0.59055118110236227" top="0.85" bottom="0.78" header="0.51181102362204722" footer="0.51181102362204722"/>
  <pageSetup paperSize="9" scale="13" orientation="portrait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6</vt:i4>
      </vt:variant>
    </vt:vector>
  </HeadingPairs>
  <TitlesOfParts>
    <vt:vector size="18" baseType="lpstr">
      <vt:lpstr>Описание_формуляр</vt:lpstr>
      <vt:lpstr>Расчет износа</vt:lpstr>
      <vt:lpstr>Задание на оценку</vt:lpstr>
      <vt:lpstr>Инф_О_Заказчике</vt:lpstr>
      <vt:lpstr>Сравнительный</vt:lpstr>
      <vt:lpstr>Проверка на норм распр</vt:lpstr>
      <vt:lpstr>Корректировки</vt:lpstr>
      <vt:lpstr>Корректировка на этаж</vt:lpstr>
      <vt:lpstr>ФормаАИЖК</vt:lpstr>
      <vt:lpstr>РасчетЛиквидационнойСтоимости</vt:lpstr>
      <vt:lpstr>Обложка отчета</vt:lpstr>
      <vt:lpstr>В отчет</vt:lpstr>
      <vt:lpstr>'Задание на оценку'!ДатаОтчета</vt:lpstr>
      <vt:lpstr>'Задание на оценку'!Область_печати</vt:lpstr>
      <vt:lpstr>Корректировки!Область_печати</vt:lpstr>
      <vt:lpstr>Описание_формуляр!Область_печати</vt:lpstr>
      <vt:lpstr>Сравнительный!Область_печати</vt:lpstr>
      <vt:lpstr>ФормаАИЖК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alk</cp:lastModifiedBy>
  <cp:lastPrinted>2013-07-19T08:07:26Z</cp:lastPrinted>
  <dcterms:created xsi:type="dcterms:W3CDTF">2009-11-24T12:43:34Z</dcterms:created>
  <dcterms:modified xsi:type="dcterms:W3CDTF">2023-06-30T16:36:09Z</dcterms:modified>
</cp:coreProperties>
</file>