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\Documents\GitHub\arun-krishnaraj.github.io\Rmd-Repo\"/>
    </mc:Choice>
  </mc:AlternateContent>
  <xr:revisionPtr revIDLastSave="0" documentId="8_{E15AB430-2582-41F8-9BF4-66E9D85D8E3B}" xr6:coauthVersionLast="45" xr6:coauthVersionMax="45" xr10:uidLastSave="{00000000-0000-0000-0000-000000000000}"/>
  <bookViews>
    <workbookView xWindow="-120" yWindow="-120" windowWidth="29040" windowHeight="15840" xr2:uid="{20E5DBA4-6F28-4B38-8EB4-07C7B84E6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7" i="1"/>
  <c r="AF4" i="1"/>
  <c r="AE4" i="1"/>
  <c r="X16" i="1"/>
  <c r="Y3" i="1"/>
  <c r="T39" i="1"/>
  <c r="U39" i="1" s="1"/>
  <c r="Q44" i="1"/>
  <c r="Q43" i="1"/>
  <c r="Q42" i="1"/>
  <c r="T38" i="1"/>
  <c r="T31" i="1"/>
  <c r="S31" i="1"/>
  <c r="S38" i="1" s="1"/>
  <c r="T15" i="1"/>
  <c r="S15" i="1"/>
  <c r="T3" i="1"/>
  <c r="S3" i="1"/>
  <c r="R36" i="1"/>
  <c r="R35" i="1"/>
  <c r="R34" i="1"/>
  <c r="R33" i="1"/>
  <c r="R32" i="1"/>
  <c r="R31" i="1"/>
  <c r="R30" i="1"/>
  <c r="R29" i="1"/>
  <c r="R28" i="1"/>
  <c r="F20" i="1"/>
  <c r="F8" i="1"/>
  <c r="F19" i="1"/>
  <c r="D14" i="1"/>
  <c r="C14" i="1" s="1"/>
  <c r="D15" i="1"/>
  <c r="C15" i="1" s="1"/>
  <c r="D16" i="1"/>
  <c r="C16" i="1" s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N32" i="1"/>
  <c r="N30" i="1"/>
  <c r="N20" i="1"/>
  <c r="N19" i="1"/>
  <c r="N18" i="1"/>
  <c r="N11" i="1"/>
  <c r="N10" i="1"/>
  <c r="N3" i="1"/>
  <c r="N27" i="1"/>
  <c r="N26" i="1"/>
  <c r="N25" i="1"/>
  <c r="N24" i="1"/>
  <c r="N23" i="1"/>
  <c r="N22" i="1"/>
  <c r="N21" i="1"/>
  <c r="N29" i="1"/>
  <c r="L9" i="1"/>
  <c r="L8" i="1"/>
  <c r="L16" i="1"/>
  <c r="L17" i="1"/>
  <c r="L15" i="1"/>
  <c r="L14" i="1"/>
  <c r="L13" i="1"/>
  <c r="L12" i="1"/>
  <c r="L11" i="1"/>
  <c r="L7" i="1"/>
  <c r="L6" i="1"/>
  <c r="L5" i="1"/>
  <c r="L4" i="1"/>
  <c r="L3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0" i="1"/>
  <c r="J9" i="1"/>
  <c r="J8" i="1"/>
  <c r="J7" i="1"/>
  <c r="J6" i="1"/>
  <c r="J5" i="1"/>
  <c r="J4" i="1"/>
  <c r="J3" i="1"/>
  <c r="C41" i="1"/>
  <c r="E41" i="1" s="1"/>
  <c r="D44" i="1"/>
  <c r="D43" i="1"/>
  <c r="C44" i="1" s="1"/>
  <c r="E44" i="1" s="1"/>
  <c r="D42" i="1"/>
  <c r="C43" i="1" s="1"/>
  <c r="E43" i="1" s="1"/>
  <c r="D41" i="1"/>
  <c r="C42" i="1" s="1"/>
  <c r="E42" i="1" s="1"/>
  <c r="D40" i="1"/>
  <c r="C40" i="1"/>
  <c r="C29" i="1"/>
  <c r="D26" i="1"/>
  <c r="C26" i="1" s="1"/>
  <c r="D25" i="1"/>
  <c r="C25" i="1" s="1"/>
  <c r="D24" i="1"/>
  <c r="C24" i="1" s="1"/>
  <c r="D23" i="1"/>
  <c r="C23" i="1" s="1"/>
  <c r="D22" i="1"/>
  <c r="C22" i="1" s="1"/>
  <c r="D21" i="1"/>
  <c r="C21" i="1" s="1"/>
  <c r="D20" i="1"/>
  <c r="C20" i="1" s="1"/>
  <c r="D19" i="1"/>
  <c r="C19" i="1" s="1"/>
  <c r="D13" i="1"/>
  <c r="C13" i="1" s="1"/>
  <c r="D12" i="1"/>
  <c r="C12" i="1" s="1"/>
  <c r="D11" i="1"/>
  <c r="C11" i="1" s="1"/>
  <c r="D10" i="1"/>
  <c r="C10" i="1" s="1"/>
  <c r="D9" i="1"/>
  <c r="C9" i="1" s="1"/>
  <c r="D8" i="1"/>
  <c r="D7" i="1"/>
  <c r="C7" i="1" s="1"/>
  <c r="D28" i="1"/>
  <c r="D29" i="1"/>
  <c r="D30" i="1"/>
  <c r="C30" i="1" s="1"/>
  <c r="D31" i="1"/>
  <c r="C31" i="1" s="1"/>
  <c r="D32" i="1"/>
  <c r="C32" i="1" s="1"/>
  <c r="D6" i="1"/>
  <c r="C6" i="1" s="1"/>
  <c r="D3" i="1"/>
  <c r="D4" i="1"/>
  <c r="D5" i="1"/>
  <c r="C5" i="1" s="1"/>
  <c r="B3" i="1"/>
  <c r="F7" i="1" l="1"/>
  <c r="D34" i="1" s="1"/>
  <c r="C8" i="1"/>
  <c r="D37" i="1" l="1"/>
  <c r="C35" i="1"/>
</calcChain>
</file>

<file path=xl/sharedStrings.xml><?xml version="1.0" encoding="utf-8"?>
<sst xmlns="http://schemas.openxmlformats.org/spreadsheetml/2006/main" count="163" uniqueCount="92">
  <si>
    <t>BIO331L</t>
  </si>
  <si>
    <t>Grade</t>
  </si>
  <si>
    <t>Points</t>
  </si>
  <si>
    <t>Report 1 Abstract</t>
  </si>
  <si>
    <t>Lab 1 Report</t>
  </si>
  <si>
    <t>Lab 2 Report</t>
  </si>
  <si>
    <t>Lab 3 Report</t>
  </si>
  <si>
    <t>Quiz 1</t>
  </si>
  <si>
    <t>Quiz 2</t>
  </si>
  <si>
    <t>Quiz 3</t>
  </si>
  <si>
    <t>Student Presentations</t>
  </si>
  <si>
    <t>Squarecap 1</t>
  </si>
  <si>
    <t>"" 2</t>
  </si>
  <si>
    <t>"" 3</t>
  </si>
  <si>
    <t>"" 4</t>
  </si>
  <si>
    <t>"" 5</t>
  </si>
  <si>
    <t>"" 6</t>
  </si>
  <si>
    <t>"" 7</t>
  </si>
  <si>
    <t>"" 8</t>
  </si>
  <si>
    <t>"" 9</t>
  </si>
  <si>
    <t>Worksheet 1</t>
  </si>
  <si>
    <t>"" 11</t>
  </si>
  <si>
    <t>"" 10</t>
  </si>
  <si>
    <t>"" 12</t>
  </si>
  <si>
    <t>(best 10 of 12)</t>
  </si>
  <si>
    <t>(best 8 of 10)</t>
  </si>
  <si>
    <t>Running Points</t>
  </si>
  <si>
    <t>points missing</t>
  </si>
  <si>
    <t>Grading scale</t>
  </si>
  <si>
    <t>grade</t>
  </si>
  <si>
    <t>A</t>
  </si>
  <si>
    <t>B+</t>
  </si>
  <si>
    <t>C+</t>
  </si>
  <si>
    <t>C</t>
  </si>
  <si>
    <t>pt_h</t>
  </si>
  <si>
    <t>pt_l</t>
  </si>
  <si>
    <t>%_h</t>
  </si>
  <si>
    <t>%_l</t>
  </si>
  <si>
    <t>M358K</t>
  </si>
  <si>
    <t>Assignment</t>
  </si>
  <si>
    <t xml:space="preserve">Quiz 1 </t>
  </si>
  <si>
    <t>(2 dropped)</t>
  </si>
  <si>
    <t>Project 1</t>
  </si>
  <si>
    <t xml:space="preserve">"" 2 </t>
  </si>
  <si>
    <t xml:space="preserve">"" 3 </t>
  </si>
  <si>
    <t xml:space="preserve">"" 4 </t>
  </si>
  <si>
    <t>Exam 1</t>
  </si>
  <si>
    <t>Percentage</t>
  </si>
  <si>
    <t>(each exam out of 50, carry forward bonus)</t>
  </si>
  <si>
    <t>final score</t>
  </si>
  <si>
    <t xml:space="preserve">HW 0 </t>
  </si>
  <si>
    <t>"" 1</t>
  </si>
  <si>
    <t>"" 1.5</t>
  </si>
  <si>
    <t>Grade pts</t>
  </si>
  <si>
    <t>points total</t>
  </si>
  <si>
    <t>% grade</t>
  </si>
  <si>
    <t>ordered</t>
  </si>
  <si>
    <t>current counting</t>
  </si>
  <si>
    <t>graded?</t>
  </si>
  <si>
    <t>SDS328M</t>
  </si>
  <si>
    <t>Grade (pts)</t>
  </si>
  <si>
    <t>pts total</t>
  </si>
  <si>
    <t>HW 1</t>
  </si>
  <si>
    <t>Lab 1</t>
  </si>
  <si>
    <t>"" 13</t>
  </si>
  <si>
    <t>"' 2</t>
  </si>
  <si>
    <t>"' 3</t>
  </si>
  <si>
    <t xml:space="preserve">Participation 1 </t>
  </si>
  <si>
    <t>left to use</t>
  </si>
  <si>
    <t>missing</t>
  </si>
  <si>
    <t>cutoff</t>
  </si>
  <si>
    <t>missing allowed</t>
  </si>
  <si>
    <t>A-</t>
  </si>
  <si>
    <t>BIO 321G</t>
  </si>
  <si>
    <t>weight</t>
  </si>
  <si>
    <t>dropped sum</t>
  </si>
  <si>
    <t>RNA Seq code</t>
  </si>
  <si>
    <t>"" document</t>
  </si>
  <si>
    <t>"" tabular file</t>
  </si>
  <si>
    <t>Attendance</t>
  </si>
  <si>
    <t>no clue what cutoffs look like</t>
  </si>
  <si>
    <t>attendance should be free, then need like 75 on rna seq</t>
  </si>
  <si>
    <t>BIO366</t>
  </si>
  <si>
    <t>basically no clue</t>
  </si>
  <si>
    <t xml:space="preserve">Exam 1 </t>
  </si>
  <si>
    <t xml:space="preserve">Exam 2 </t>
  </si>
  <si>
    <t>Exam 3</t>
  </si>
  <si>
    <t xml:space="preserve">assignments are basically completion </t>
  </si>
  <si>
    <t>class avg</t>
  </si>
  <si>
    <t>tests are supposed to be 'favorably' weighted</t>
  </si>
  <si>
    <t>cuttoff 94-100</t>
  </si>
  <si>
    <t>all projects must be submitted to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</si>
</sst>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%"/>
    <numFmt numFmtId="166" formatCode="0.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0" xfId="0" applyFont="1" applyBorder="1"/>
    <xf numFmtId="9" fontId="0" fillId="0" borderId="0" xfId="1" applyFont="1" applyBorder="1"/>
    <xf numFmtId="0" fontId="0" fillId="0" borderId="1" xfId="0" applyBorder="1"/>
    <xf numFmtId="9" fontId="0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0" fillId="0" borderId="4" xfId="0" applyBorder="1"/>
    <xf numFmtId="9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6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9" fontId="0" fillId="0" borderId="6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F9B3-ACF7-4F83-BAB5-BD78879A182E}">
  <dimension ref="A1:AF44"/>
  <sheetViews>
    <sheetView showGridLines="0" tabSelected="1" workbookViewId="0">
      <selection activeCell="Z20" sqref="Z20"/>
    </sheetView>
  </sheetViews>
  <sheetFormatPr defaultRowHeight="15" x14ac:dyDescent="0.25"/>
  <cols>
    <col min="1" max="1" width="21" bestFit="1" customWidth="1"/>
    <col min="2" max="2" width="13.85546875" bestFit="1" customWidth="1"/>
    <col min="5" max="5" width="13.28515625" customWidth="1"/>
    <col min="8" max="8" width="11.42578125" bestFit="1" customWidth="1"/>
    <col min="9" max="9" width="9.42578125" bestFit="1" customWidth="1"/>
    <col min="10" max="10" width="11.140625" bestFit="1" customWidth="1"/>
    <col min="11" max="11" width="8" bestFit="1" customWidth="1"/>
    <col min="12" max="12" width="8.140625" bestFit="1" customWidth="1"/>
    <col min="13" max="13" width="15.7109375" bestFit="1" customWidth="1"/>
    <col min="14" max="14" width="20.42578125" bestFit="1" customWidth="1"/>
    <col min="15" max="15" width="39.5703125" bestFit="1" customWidth="1"/>
    <col min="16" max="16" width="13" customWidth="1"/>
    <col min="17" max="17" width="15.42578125" bestFit="1" customWidth="1"/>
    <col min="18" max="18" width="8.28515625" bestFit="1" customWidth="1"/>
    <col min="19" max="19" width="8.140625" bestFit="1" customWidth="1"/>
    <col min="22" max="22" width="12" customWidth="1"/>
    <col min="26" max="26" width="10.7109375" customWidth="1"/>
  </cols>
  <sheetData>
    <row r="1" spans="1:32" x14ac:dyDescent="0.25">
      <c r="A1" s="6" t="s">
        <v>0</v>
      </c>
      <c r="B1" s="7"/>
      <c r="C1" s="7"/>
      <c r="D1" s="7"/>
      <c r="E1" s="7"/>
      <c r="F1" s="7"/>
      <c r="G1" s="8"/>
      <c r="H1" s="6" t="s">
        <v>38</v>
      </c>
      <c r="I1" s="7"/>
      <c r="J1" s="7"/>
      <c r="K1" s="7"/>
      <c r="L1" s="7"/>
      <c r="M1" s="7"/>
      <c r="N1" s="7"/>
      <c r="O1" s="7"/>
      <c r="P1" s="6" t="s">
        <v>59</v>
      </c>
      <c r="Q1" s="7"/>
      <c r="R1" s="7"/>
      <c r="S1" s="7"/>
      <c r="T1" s="7"/>
      <c r="U1" s="8"/>
      <c r="V1" s="6" t="s">
        <v>73</v>
      </c>
      <c r="W1" s="7"/>
      <c r="X1" s="7"/>
      <c r="Y1" s="7"/>
      <c r="Z1" s="8"/>
      <c r="AA1" s="20" t="s">
        <v>82</v>
      </c>
      <c r="AB1" s="21"/>
      <c r="AC1" s="21"/>
      <c r="AD1" s="21"/>
      <c r="AE1" s="21"/>
      <c r="AF1" s="14"/>
    </row>
    <row r="2" spans="1:32" x14ac:dyDescent="0.25">
      <c r="A2" s="9" t="s">
        <v>39</v>
      </c>
      <c r="B2" s="1" t="s">
        <v>1</v>
      </c>
      <c r="C2" s="1" t="s">
        <v>2</v>
      </c>
      <c r="D2" s="1" t="s">
        <v>26</v>
      </c>
      <c r="E2" s="1"/>
      <c r="F2" s="1"/>
      <c r="G2" s="10"/>
      <c r="H2" s="9" t="s">
        <v>39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47</v>
      </c>
      <c r="N2" s="1" t="s">
        <v>58</v>
      </c>
      <c r="O2" s="1"/>
      <c r="P2" s="13" t="s">
        <v>39</v>
      </c>
      <c r="Q2" s="19" t="s">
        <v>60</v>
      </c>
      <c r="R2" s="19" t="s">
        <v>61</v>
      </c>
      <c r="S2" s="19"/>
      <c r="T2" s="1"/>
      <c r="U2" s="10"/>
      <c r="V2" s="9" t="s">
        <v>39</v>
      </c>
      <c r="W2" s="1" t="s">
        <v>1</v>
      </c>
      <c r="X2" s="1" t="s">
        <v>61</v>
      </c>
      <c r="Y2" s="1" t="s">
        <v>75</v>
      </c>
      <c r="Z2" s="10" t="s">
        <v>74</v>
      </c>
      <c r="AA2" s="13" t="s">
        <v>83</v>
      </c>
      <c r="AB2" s="1"/>
      <c r="AC2" s="1"/>
      <c r="AD2" s="1"/>
      <c r="AE2" s="1"/>
      <c r="AF2" s="10"/>
    </row>
    <row r="3" spans="1:32" x14ac:dyDescent="0.25">
      <c r="A3" s="9" t="s">
        <v>3</v>
      </c>
      <c r="B3" s="1">
        <f>8+2</f>
        <v>10</v>
      </c>
      <c r="C3" s="1">
        <v>10</v>
      </c>
      <c r="D3" s="1">
        <f>IF(B3="","",B3)</f>
        <v>10</v>
      </c>
      <c r="E3" s="1"/>
      <c r="F3" s="1"/>
      <c r="G3" s="10"/>
      <c r="H3" s="9" t="s">
        <v>40</v>
      </c>
      <c r="I3" s="1">
        <v>16</v>
      </c>
      <c r="J3" s="1">
        <f>IF(I3="","",15)</f>
        <v>15</v>
      </c>
      <c r="K3" s="3">
        <f>IFERROR(I3/J3,"")</f>
        <v>1.0666666666666667</v>
      </c>
      <c r="L3" s="3">
        <f>LARGE($K$3:$K$10,1)</f>
        <v>1.0666666666666667</v>
      </c>
      <c r="M3" s="15">
        <v>0.08</v>
      </c>
      <c r="N3" s="1">
        <f t="shared" ref="N3:N20" si="0">IF(I3="","",1)</f>
        <v>1</v>
      </c>
      <c r="O3" s="1" t="s">
        <v>41</v>
      </c>
      <c r="P3" s="9" t="s">
        <v>62</v>
      </c>
      <c r="Q3" s="1">
        <v>20</v>
      </c>
      <c r="R3" s="1">
        <f>IF(Q3="","",20)</f>
        <v>20</v>
      </c>
      <c r="S3" s="1">
        <f>SUM(Q3:Q14)-SUM(SMALL(Q3:Q14,1))</f>
        <v>98.5</v>
      </c>
      <c r="T3" s="1">
        <f>SUM(R3:R14)-SUM(SMALL(R3:R14,1))</f>
        <v>100</v>
      </c>
      <c r="U3" s="10"/>
      <c r="V3" s="9" t="s">
        <v>62</v>
      </c>
      <c r="W3" s="1">
        <v>100</v>
      </c>
      <c r="X3" s="1">
        <v>100</v>
      </c>
      <c r="Y3" s="3">
        <f>(SUM(W3:W10)-SMALL(W3:W10,1))/700</f>
        <v>0.99571428571428566</v>
      </c>
      <c r="Z3" s="22">
        <v>0.7</v>
      </c>
      <c r="AA3" s="9"/>
      <c r="AB3" s="1"/>
      <c r="AC3" s="1"/>
      <c r="AD3" s="1" t="s">
        <v>88</v>
      </c>
      <c r="AE3" s="1"/>
      <c r="AF3" s="10"/>
    </row>
    <row r="4" spans="1:32" x14ac:dyDescent="0.25">
      <c r="A4" s="9" t="s">
        <v>4</v>
      </c>
      <c r="B4" s="1">
        <v>50</v>
      </c>
      <c r="C4" s="1">
        <v>60</v>
      </c>
      <c r="D4" s="1">
        <f>IF(B4="","",B4)</f>
        <v>50</v>
      </c>
      <c r="E4" s="1"/>
      <c r="F4" s="1"/>
      <c r="G4" s="10"/>
      <c r="H4" s="9" t="s">
        <v>12</v>
      </c>
      <c r="I4" s="1">
        <v>13</v>
      </c>
      <c r="J4" s="1">
        <f t="shared" ref="J4:J10" si="1">IF(I4="","",15)</f>
        <v>15</v>
      </c>
      <c r="K4" s="3">
        <f t="shared" ref="K4:K27" si="2">IFERROR(I4/J4,"")</f>
        <v>0.8666666666666667</v>
      </c>
      <c r="L4" s="3">
        <f>LARGE($K$3:$K$10,2)</f>
        <v>1</v>
      </c>
      <c r="M4" s="1"/>
      <c r="N4" s="1"/>
      <c r="O4" s="1"/>
      <c r="P4" s="9" t="s">
        <v>12</v>
      </c>
      <c r="Q4" s="1">
        <v>19.5</v>
      </c>
      <c r="R4" s="1">
        <f t="shared" ref="R4:R14" si="3">IF(Q4="","",20)</f>
        <v>20</v>
      </c>
      <c r="S4" s="1"/>
      <c r="T4" s="1"/>
      <c r="U4" s="10"/>
      <c r="V4" s="9" t="s">
        <v>12</v>
      </c>
      <c r="W4" s="1">
        <v>100</v>
      </c>
      <c r="X4" s="1">
        <v>100</v>
      </c>
      <c r="Y4" s="1"/>
      <c r="Z4" s="10"/>
      <c r="AA4" s="9" t="s">
        <v>84</v>
      </c>
      <c r="AB4" s="1">
        <v>79</v>
      </c>
      <c r="AC4" s="1">
        <v>100</v>
      </c>
      <c r="AD4" s="1">
        <v>78.900000000000006</v>
      </c>
      <c r="AE4" s="1">
        <f>AVERAGE(AB4:AB6)</f>
        <v>89</v>
      </c>
      <c r="AF4" s="10">
        <f>AVERAGE(AD4:AD6)</f>
        <v>82.7</v>
      </c>
    </row>
    <row r="5" spans="1:32" x14ac:dyDescent="0.25">
      <c r="A5" s="9" t="s">
        <v>5</v>
      </c>
      <c r="B5" s="1"/>
      <c r="C5" s="1" t="str">
        <f>IF(D5="","",80)</f>
        <v/>
      </c>
      <c r="D5" s="1" t="str">
        <f t="shared" ref="D5" si="4">IF(B5="","",C5)</f>
        <v/>
      </c>
      <c r="E5" s="1"/>
      <c r="F5" s="1"/>
      <c r="G5" s="10"/>
      <c r="H5" s="9" t="s">
        <v>13</v>
      </c>
      <c r="I5" s="1">
        <v>15</v>
      </c>
      <c r="J5" s="1">
        <f t="shared" si="1"/>
        <v>15</v>
      </c>
      <c r="K5" s="3">
        <f t="shared" si="2"/>
        <v>1</v>
      </c>
      <c r="L5" s="3">
        <f>LARGE($K$3:$K$10,3)</f>
        <v>1</v>
      </c>
      <c r="M5" s="1"/>
      <c r="N5" s="1"/>
      <c r="O5" s="1"/>
      <c r="P5" s="9" t="s">
        <v>13</v>
      </c>
      <c r="Q5" s="1">
        <v>19</v>
      </c>
      <c r="R5" s="1">
        <f t="shared" si="3"/>
        <v>20</v>
      </c>
      <c r="S5" s="1"/>
      <c r="T5" s="1"/>
      <c r="U5" s="10"/>
      <c r="V5" s="9" t="s">
        <v>13</v>
      </c>
      <c r="W5" s="1">
        <v>100</v>
      </c>
      <c r="X5" s="1">
        <v>100</v>
      </c>
      <c r="Y5" s="1"/>
      <c r="Z5" s="10"/>
      <c r="AA5" s="9" t="s">
        <v>85</v>
      </c>
      <c r="AB5" s="1">
        <v>99</v>
      </c>
      <c r="AC5" s="1">
        <v>100</v>
      </c>
      <c r="AD5" s="1">
        <v>86.5</v>
      </c>
      <c r="AE5" s="1"/>
      <c r="AF5" s="10"/>
    </row>
    <row r="6" spans="1:32" x14ac:dyDescent="0.25">
      <c r="A6" s="9" t="s">
        <v>6</v>
      </c>
      <c r="B6" s="1"/>
      <c r="C6" s="1" t="str">
        <f>IF(D6="","",80)</f>
        <v/>
      </c>
      <c r="D6" s="1" t="str">
        <f t="shared" ref="D6:D32" si="5">IF(B6="","",B6)</f>
        <v/>
      </c>
      <c r="E6" s="1"/>
      <c r="F6" s="1"/>
      <c r="G6" s="10"/>
      <c r="H6" s="9" t="s">
        <v>14</v>
      </c>
      <c r="I6" s="1">
        <v>15</v>
      </c>
      <c r="J6" s="1">
        <f t="shared" si="1"/>
        <v>15</v>
      </c>
      <c r="K6" s="3">
        <f t="shared" si="2"/>
        <v>1</v>
      </c>
      <c r="L6" s="3">
        <f>LARGE($K$3:$K$10,4)</f>
        <v>1</v>
      </c>
      <c r="M6" s="1"/>
      <c r="N6" s="1"/>
      <c r="O6" s="1"/>
      <c r="P6" s="9" t="s">
        <v>14</v>
      </c>
      <c r="Q6" s="1">
        <v>20</v>
      </c>
      <c r="R6" s="1">
        <f t="shared" si="3"/>
        <v>20</v>
      </c>
      <c r="S6" s="1"/>
      <c r="T6" s="1"/>
      <c r="U6" s="10"/>
      <c r="V6" s="9" t="s">
        <v>14</v>
      </c>
      <c r="W6" s="1">
        <v>102</v>
      </c>
      <c r="X6" s="1">
        <v>100</v>
      </c>
      <c r="Y6" s="1"/>
      <c r="Z6" s="10"/>
      <c r="AA6" s="9" t="s">
        <v>86</v>
      </c>
      <c r="AB6" s="1"/>
      <c r="AC6" s="1">
        <v>100</v>
      </c>
      <c r="AD6" s="1"/>
      <c r="AE6" s="1"/>
      <c r="AF6" s="10"/>
    </row>
    <row r="7" spans="1:32" x14ac:dyDescent="0.25">
      <c r="A7" s="9" t="s">
        <v>11</v>
      </c>
      <c r="B7" s="1">
        <v>3</v>
      </c>
      <c r="C7" s="1">
        <f>IF(D7="","",3)</f>
        <v>3</v>
      </c>
      <c r="D7" s="1">
        <f>IFERROR(LARGE($B$7:$B$18,1),"")</f>
        <v>3</v>
      </c>
      <c r="E7" s="1" t="s">
        <v>24</v>
      </c>
      <c r="F7" s="1">
        <f>SUM(D7:D14)</f>
        <v>21</v>
      </c>
      <c r="G7" s="10"/>
      <c r="H7" s="9" t="s">
        <v>15</v>
      </c>
      <c r="I7" s="1">
        <v>9</v>
      </c>
      <c r="J7" s="1">
        <f t="shared" si="1"/>
        <v>15</v>
      </c>
      <c r="K7" s="3">
        <f t="shared" si="2"/>
        <v>0.6</v>
      </c>
      <c r="L7" s="3">
        <f>LARGE($K$3:$K$10,5)</f>
        <v>1</v>
      </c>
      <c r="M7" s="1"/>
      <c r="N7" s="1"/>
      <c r="O7" s="1"/>
      <c r="P7" s="9" t="s">
        <v>15</v>
      </c>
      <c r="Q7" s="1">
        <v>0</v>
      </c>
      <c r="R7" s="1">
        <f t="shared" si="3"/>
        <v>20</v>
      </c>
      <c r="S7" s="1"/>
      <c r="T7" s="1"/>
      <c r="U7" s="10"/>
      <c r="V7" s="9" t="s">
        <v>15</v>
      </c>
      <c r="W7" s="1">
        <v>100</v>
      </c>
      <c r="X7" s="1">
        <v>100</v>
      </c>
      <c r="Y7" s="1"/>
      <c r="Z7" s="10"/>
      <c r="AA7" s="9"/>
      <c r="AB7" s="1"/>
      <c r="AC7" s="1"/>
      <c r="AD7" s="1"/>
      <c r="AE7" s="1"/>
      <c r="AF7" s="10"/>
    </row>
    <row r="8" spans="1:32" x14ac:dyDescent="0.25">
      <c r="A8" s="9" t="s">
        <v>12</v>
      </c>
      <c r="B8" s="1">
        <v>3</v>
      </c>
      <c r="C8" s="1">
        <f t="shared" ref="C8:C16" si="6">IF(D8="","",3)</f>
        <v>3</v>
      </c>
      <c r="D8" s="1">
        <f>IFERROR(LARGE($B$7:$B$18,2),"")</f>
        <v>3</v>
      </c>
      <c r="E8" s="1"/>
      <c r="F8" s="1">
        <f>SUM(C7:C16)</f>
        <v>21</v>
      </c>
      <c r="G8" s="10"/>
      <c r="H8" s="9" t="s">
        <v>16</v>
      </c>
      <c r="I8" s="1">
        <v>15</v>
      </c>
      <c r="J8" s="1">
        <f t="shared" si="1"/>
        <v>15</v>
      </c>
      <c r="K8" s="3">
        <f t="shared" si="2"/>
        <v>1</v>
      </c>
      <c r="L8" s="3">
        <f>LARGE($K$3:$K$10,6)</f>
        <v>0.8666666666666667</v>
      </c>
      <c r="M8" s="1"/>
      <c r="N8" s="1"/>
      <c r="O8" s="1"/>
      <c r="P8" s="9" t="s">
        <v>16</v>
      </c>
      <c r="Q8" s="1">
        <v>20</v>
      </c>
      <c r="R8" s="1">
        <f t="shared" si="3"/>
        <v>20</v>
      </c>
      <c r="S8" s="1"/>
      <c r="T8" s="1"/>
      <c r="U8" s="10"/>
      <c r="V8" s="9" t="s">
        <v>16</v>
      </c>
      <c r="W8" s="1">
        <v>100</v>
      </c>
      <c r="X8" s="1">
        <v>100</v>
      </c>
      <c r="Y8" s="1"/>
      <c r="Z8" s="10"/>
      <c r="AA8" s="9" t="s">
        <v>87</v>
      </c>
      <c r="AB8" s="1"/>
      <c r="AC8" s="1"/>
      <c r="AD8" s="1"/>
      <c r="AE8" s="1"/>
      <c r="AF8" s="10"/>
    </row>
    <row r="9" spans="1:32" x14ac:dyDescent="0.25">
      <c r="A9" s="9" t="s">
        <v>13</v>
      </c>
      <c r="B9" s="1">
        <v>3</v>
      </c>
      <c r="C9" s="1">
        <f t="shared" si="6"/>
        <v>3</v>
      </c>
      <c r="D9" s="2">
        <f>IFERROR(LARGE($B$7:$B$18,3),"")</f>
        <v>3</v>
      </c>
      <c r="E9" s="1"/>
      <c r="F9" s="1"/>
      <c r="G9" s="10"/>
      <c r="H9" s="9" t="s">
        <v>17</v>
      </c>
      <c r="I9" s="1">
        <v>15</v>
      </c>
      <c r="J9" s="1">
        <f t="shared" si="1"/>
        <v>15</v>
      </c>
      <c r="K9" s="3">
        <f t="shared" si="2"/>
        <v>1</v>
      </c>
      <c r="L9" s="3">
        <f>LARGE($K$3:$K$10,7)</f>
        <v>0.6</v>
      </c>
      <c r="M9" s="1"/>
      <c r="N9" s="1"/>
      <c r="O9" s="1"/>
      <c r="P9" s="9" t="s">
        <v>17</v>
      </c>
      <c r="Q9" s="1"/>
      <c r="R9" s="1" t="str">
        <f t="shared" si="3"/>
        <v/>
      </c>
      <c r="S9" s="1"/>
      <c r="T9" s="1"/>
      <c r="U9" s="10"/>
      <c r="V9" s="9" t="s">
        <v>17</v>
      </c>
      <c r="W9" s="1">
        <v>89</v>
      </c>
      <c r="X9" s="1">
        <v>100</v>
      </c>
      <c r="Y9" s="1"/>
      <c r="Z9" s="10"/>
      <c r="AA9" s="11" t="s">
        <v>89</v>
      </c>
      <c r="AB9" s="4"/>
      <c r="AC9" s="4"/>
      <c r="AD9" s="4"/>
      <c r="AE9" s="4"/>
      <c r="AF9" s="12"/>
    </row>
    <row r="10" spans="1:32" x14ac:dyDescent="0.25">
      <c r="A10" s="9" t="s">
        <v>14</v>
      </c>
      <c r="B10" s="1">
        <v>3</v>
      </c>
      <c r="C10" s="1">
        <f t="shared" si="6"/>
        <v>3</v>
      </c>
      <c r="D10" s="1">
        <f>IFERROR(LARGE($B$7:$B$18,4),"")</f>
        <v>3</v>
      </c>
      <c r="E10" s="1"/>
      <c r="F10" s="1"/>
      <c r="G10" s="10"/>
      <c r="H10" s="9" t="s">
        <v>18</v>
      </c>
      <c r="I10" s="1"/>
      <c r="J10" s="1" t="str">
        <f t="shared" si="1"/>
        <v/>
      </c>
      <c r="K10" s="3" t="str">
        <f t="shared" si="2"/>
        <v/>
      </c>
      <c r="L10" s="3"/>
      <c r="M10" s="1"/>
      <c r="N10" s="1" t="str">
        <f t="shared" si="0"/>
        <v/>
      </c>
      <c r="O10" s="1"/>
      <c r="P10" s="9" t="s">
        <v>18</v>
      </c>
      <c r="Q10" s="1"/>
      <c r="R10" s="1" t="str">
        <f t="shared" si="3"/>
        <v/>
      </c>
      <c r="S10" s="1"/>
      <c r="T10" s="1"/>
      <c r="U10" s="10"/>
      <c r="V10" s="9" t="s">
        <v>18</v>
      </c>
      <c r="W10" s="1">
        <v>95</v>
      </c>
      <c r="X10" s="1">
        <v>100</v>
      </c>
      <c r="Y10" s="1"/>
      <c r="Z10" s="10"/>
    </row>
    <row r="11" spans="1:32" x14ac:dyDescent="0.25">
      <c r="A11" s="9" t="s">
        <v>15</v>
      </c>
      <c r="B11" s="1">
        <v>3</v>
      </c>
      <c r="C11" s="1">
        <f t="shared" si="6"/>
        <v>3</v>
      </c>
      <c r="D11" s="1">
        <f>IFERROR(LARGE($B$7:$B$18,5),"")</f>
        <v>3</v>
      </c>
      <c r="E11" s="1"/>
      <c r="F11" s="1"/>
      <c r="G11" s="10"/>
      <c r="H11" s="13" t="s">
        <v>50</v>
      </c>
      <c r="I11" s="1">
        <v>50</v>
      </c>
      <c r="J11" s="1">
        <v>50</v>
      </c>
      <c r="K11" s="3">
        <f t="shared" si="2"/>
        <v>1</v>
      </c>
      <c r="L11" s="3">
        <f>LARGE($K$11:$K$20,1)</f>
        <v>1</v>
      </c>
      <c r="M11" s="15">
        <v>0.08</v>
      </c>
      <c r="N11" s="1">
        <f t="shared" si="0"/>
        <v>1</v>
      </c>
      <c r="O11" s="1" t="s">
        <v>41</v>
      </c>
      <c r="P11" s="13" t="s">
        <v>19</v>
      </c>
      <c r="Q11" s="1"/>
      <c r="R11" s="1" t="str">
        <f t="shared" si="3"/>
        <v/>
      </c>
      <c r="S11" s="1"/>
      <c r="T11" s="1"/>
      <c r="U11" s="10"/>
      <c r="V11" s="13" t="s">
        <v>76</v>
      </c>
      <c r="W11" s="1"/>
      <c r="X11" s="1">
        <v>100</v>
      </c>
      <c r="Y11" s="1"/>
      <c r="Z11" s="22">
        <v>0.2</v>
      </c>
    </row>
    <row r="12" spans="1:32" x14ac:dyDescent="0.25">
      <c r="A12" s="9" t="s">
        <v>16</v>
      </c>
      <c r="B12" s="1">
        <v>3</v>
      </c>
      <c r="C12" s="1">
        <f t="shared" si="6"/>
        <v>3</v>
      </c>
      <c r="D12" s="1">
        <f>IFERROR(LARGE($B$7:$B$18,6),"")</f>
        <v>3</v>
      </c>
      <c r="E12" s="1"/>
      <c r="F12" s="1"/>
      <c r="G12" s="10"/>
      <c r="H12" s="13" t="s">
        <v>51</v>
      </c>
      <c r="I12" s="1">
        <v>50</v>
      </c>
      <c r="J12" s="1">
        <v>50</v>
      </c>
      <c r="K12" s="3">
        <f t="shared" si="2"/>
        <v>1</v>
      </c>
      <c r="L12" s="3">
        <f>LARGE($K$11:$K$20,2)</f>
        <v>1</v>
      </c>
      <c r="M12" s="1"/>
      <c r="N12" s="1"/>
      <c r="O12" s="1"/>
      <c r="P12" s="13" t="s">
        <v>22</v>
      </c>
      <c r="Q12" s="1"/>
      <c r="R12" s="1" t="str">
        <f t="shared" si="3"/>
        <v/>
      </c>
      <c r="S12" s="1"/>
      <c r="T12" s="1"/>
      <c r="U12" s="10"/>
      <c r="V12" s="13" t="s">
        <v>77</v>
      </c>
      <c r="W12" s="1"/>
      <c r="X12" s="1">
        <v>80</v>
      </c>
      <c r="Y12" s="1"/>
      <c r="Z12" s="10"/>
    </row>
    <row r="13" spans="1:32" x14ac:dyDescent="0.25">
      <c r="A13" s="9" t="s">
        <v>17</v>
      </c>
      <c r="B13" s="1">
        <v>3</v>
      </c>
      <c r="C13" s="1">
        <f t="shared" si="6"/>
        <v>3</v>
      </c>
      <c r="D13" s="1">
        <f>IFERROR(LARGE($B$7:$B$18,7),"")</f>
        <v>3</v>
      </c>
      <c r="E13" s="1"/>
      <c r="F13" s="1"/>
      <c r="G13" s="10"/>
      <c r="H13" s="13" t="s">
        <v>52</v>
      </c>
      <c r="I13" s="1">
        <v>50</v>
      </c>
      <c r="J13" s="1">
        <v>60</v>
      </c>
      <c r="K13" s="3">
        <f t="shared" si="2"/>
        <v>0.83333333333333337</v>
      </c>
      <c r="L13" s="3">
        <f>LARGE($K$11:$K$20,3)</f>
        <v>1</v>
      </c>
      <c r="M13" s="1"/>
      <c r="N13" s="1"/>
      <c r="O13" s="1"/>
      <c r="P13" s="13" t="s">
        <v>21</v>
      </c>
      <c r="Q13" s="1"/>
      <c r="R13" s="1" t="str">
        <f t="shared" si="3"/>
        <v/>
      </c>
      <c r="S13" s="1"/>
      <c r="T13" s="1"/>
      <c r="U13" s="10"/>
      <c r="V13" s="13" t="s">
        <v>78</v>
      </c>
      <c r="W13" s="1"/>
      <c r="X13" s="1">
        <v>20</v>
      </c>
      <c r="Y13" s="1"/>
      <c r="Z13" s="10"/>
    </row>
    <row r="14" spans="1:32" x14ac:dyDescent="0.25">
      <c r="A14" s="9" t="s">
        <v>18</v>
      </c>
      <c r="B14" s="19"/>
      <c r="C14" s="1" t="str">
        <f t="shared" si="6"/>
        <v/>
      </c>
      <c r="D14" s="1" t="str">
        <f>IFERROR(LARGE($B$7:$B$18,8),"")</f>
        <v/>
      </c>
      <c r="E14" s="1"/>
      <c r="F14" s="1"/>
      <c r="G14" s="10"/>
      <c r="H14" s="9" t="s">
        <v>12</v>
      </c>
      <c r="I14" s="1">
        <v>50</v>
      </c>
      <c r="J14" s="1">
        <v>50</v>
      </c>
      <c r="K14" s="3">
        <f t="shared" si="2"/>
        <v>1</v>
      </c>
      <c r="L14" s="3">
        <f>LARGE($K$11:$K$20,4)</f>
        <v>1</v>
      </c>
      <c r="M14" s="1"/>
      <c r="N14" s="1"/>
      <c r="O14" s="1"/>
      <c r="P14" s="13" t="s">
        <v>23</v>
      </c>
      <c r="Q14" s="1"/>
      <c r="R14" s="1" t="str">
        <f t="shared" si="3"/>
        <v/>
      </c>
      <c r="S14" s="1"/>
      <c r="T14" s="1"/>
      <c r="U14" s="10"/>
      <c r="V14" s="13" t="s">
        <v>79</v>
      </c>
      <c r="W14" s="1"/>
      <c r="X14" s="1"/>
      <c r="Y14" s="1"/>
      <c r="Z14" s="22">
        <v>0.1</v>
      </c>
    </row>
    <row r="15" spans="1:32" x14ac:dyDescent="0.25">
      <c r="A15" s="9" t="s">
        <v>19</v>
      </c>
      <c r="B15" s="19"/>
      <c r="C15" s="1" t="str">
        <f t="shared" si="6"/>
        <v/>
      </c>
      <c r="D15" s="1" t="str">
        <f>IFERROR(LARGE($B$7:$B$18,9),"")</f>
        <v/>
      </c>
      <c r="E15" s="1"/>
      <c r="F15" s="1"/>
      <c r="G15" s="10"/>
      <c r="H15" s="9" t="s">
        <v>13</v>
      </c>
      <c r="I15" s="1">
        <v>49</v>
      </c>
      <c r="J15" s="1">
        <v>50</v>
      </c>
      <c r="K15" s="3">
        <f t="shared" si="2"/>
        <v>0.98</v>
      </c>
      <c r="L15" s="3">
        <f>LARGE($K$11:$K$20,5)</f>
        <v>0.98</v>
      </c>
      <c r="M15" s="1"/>
      <c r="N15" s="1"/>
      <c r="O15" s="1"/>
      <c r="P15" s="13" t="s">
        <v>63</v>
      </c>
      <c r="Q15" s="1">
        <v>10</v>
      </c>
      <c r="R15" s="1">
        <f>IF(Q15="","",10)</f>
        <v>10</v>
      </c>
      <c r="S15" s="1">
        <f>SUM(Q15:Q27)-SUM(SMALL(Q15:Q27,1))</f>
        <v>90</v>
      </c>
      <c r="T15" s="1">
        <f>SUM(R15:R27)-SUM(SMALL(R15:R27,1))</f>
        <v>90</v>
      </c>
      <c r="U15" s="10"/>
      <c r="V15" s="9"/>
      <c r="W15" s="1"/>
      <c r="X15" s="1"/>
      <c r="Y15" s="1"/>
      <c r="Z15" s="10"/>
    </row>
    <row r="16" spans="1:32" x14ac:dyDescent="0.25">
      <c r="A16" s="9" t="s">
        <v>22</v>
      </c>
      <c r="B16" s="19"/>
      <c r="C16" s="1" t="str">
        <f t="shared" si="6"/>
        <v/>
      </c>
      <c r="D16" s="1" t="str">
        <f>IFERROR(LARGE($B$7:$B$18,10),"")</f>
        <v/>
      </c>
      <c r="E16" s="1"/>
      <c r="F16" s="1"/>
      <c r="G16" s="10"/>
      <c r="H16" s="9" t="s">
        <v>14</v>
      </c>
      <c r="I16" s="1">
        <v>50</v>
      </c>
      <c r="J16" s="1">
        <v>50</v>
      </c>
      <c r="K16" s="3">
        <f t="shared" si="2"/>
        <v>1</v>
      </c>
      <c r="L16" s="3">
        <f>LARGE($K$11:$K$20,6)</f>
        <v>0.83333333333333337</v>
      </c>
      <c r="M16" s="1"/>
      <c r="N16" s="1"/>
      <c r="O16" s="1"/>
      <c r="P16" s="9" t="s">
        <v>12</v>
      </c>
      <c r="Q16" s="1">
        <v>10</v>
      </c>
      <c r="R16" s="1">
        <f t="shared" ref="R16:R27" si="7">IF(Q16="","",10)</f>
        <v>10</v>
      </c>
      <c r="S16" s="1"/>
      <c r="T16" s="1"/>
      <c r="U16" s="10"/>
      <c r="V16" s="9"/>
      <c r="W16" s="1"/>
      <c r="X16" s="3">
        <f>SUMPRODUCT(Y3:Y14,Z3:Z14)</f>
        <v>0.69699999999999995</v>
      </c>
      <c r="Y16" s="1"/>
      <c r="Z16" s="10"/>
    </row>
    <row r="17" spans="1:26" x14ac:dyDescent="0.25">
      <c r="A17" s="9" t="s">
        <v>21</v>
      </c>
      <c r="B17" s="19"/>
      <c r="C17" s="1"/>
      <c r="D17" s="1"/>
      <c r="E17" s="1"/>
      <c r="F17" s="1"/>
      <c r="G17" s="10"/>
      <c r="H17" s="9" t="s">
        <v>15</v>
      </c>
      <c r="I17" s="1">
        <v>45</v>
      </c>
      <c r="J17" s="1">
        <v>60</v>
      </c>
      <c r="K17" s="3">
        <f t="shared" si="2"/>
        <v>0.75</v>
      </c>
      <c r="L17" s="3">
        <f>LARGE($K$11:$K$20,7)</f>
        <v>0.75</v>
      </c>
      <c r="M17" s="1"/>
      <c r="N17" s="1"/>
      <c r="O17" s="1"/>
      <c r="P17" s="9" t="s">
        <v>13</v>
      </c>
      <c r="Q17" s="1">
        <v>10</v>
      </c>
      <c r="R17" s="1">
        <f t="shared" si="7"/>
        <v>10</v>
      </c>
      <c r="S17" s="1"/>
      <c r="T17" s="1"/>
      <c r="U17" s="10"/>
      <c r="V17" s="9"/>
      <c r="W17" s="1" t="s">
        <v>80</v>
      </c>
      <c r="X17" s="1"/>
      <c r="Y17" s="1"/>
      <c r="Z17" s="10"/>
    </row>
    <row r="18" spans="1:26" x14ac:dyDescent="0.25">
      <c r="A18" s="9" t="s">
        <v>23</v>
      </c>
      <c r="B18" s="1"/>
      <c r="C18" s="1"/>
      <c r="D18" s="1"/>
      <c r="E18" s="1"/>
      <c r="F18" s="1"/>
      <c r="G18" s="10"/>
      <c r="H18" s="9" t="s">
        <v>16</v>
      </c>
      <c r="I18" s="1"/>
      <c r="J18" s="1"/>
      <c r="K18" s="3" t="str">
        <f t="shared" si="2"/>
        <v/>
      </c>
      <c r="L18" s="3"/>
      <c r="M18" s="1"/>
      <c r="N18" s="1" t="str">
        <f t="shared" si="0"/>
        <v/>
      </c>
      <c r="O18" s="1"/>
      <c r="P18" s="9" t="s">
        <v>14</v>
      </c>
      <c r="Q18" s="1">
        <v>10</v>
      </c>
      <c r="R18" s="1">
        <f t="shared" si="7"/>
        <v>10</v>
      </c>
      <c r="S18" s="1"/>
      <c r="T18" s="1"/>
      <c r="U18" s="10"/>
      <c r="V18" s="4" t="s">
        <v>81</v>
      </c>
      <c r="W18" s="4"/>
      <c r="X18" s="4"/>
      <c r="Y18" s="4"/>
      <c r="Z18" s="12"/>
    </row>
    <row r="19" spans="1:26" x14ac:dyDescent="0.25">
      <c r="A19" s="9" t="s">
        <v>20</v>
      </c>
      <c r="B19" s="1">
        <v>4</v>
      </c>
      <c r="C19" s="1">
        <f>IF(D19="","",5)</f>
        <v>5</v>
      </c>
      <c r="D19" s="1">
        <f>IFERROR(LARGE($B$19:$B$28,1),"")</f>
        <v>5</v>
      </c>
      <c r="E19" s="1" t="s">
        <v>25</v>
      </c>
      <c r="F19" s="1">
        <f>SUM(D19:D26)</f>
        <v>33.5</v>
      </c>
      <c r="G19" s="10"/>
      <c r="H19" s="9" t="s">
        <v>17</v>
      </c>
      <c r="I19" s="1"/>
      <c r="J19" s="1"/>
      <c r="K19" s="3" t="str">
        <f t="shared" si="2"/>
        <v/>
      </c>
      <c r="L19" s="3"/>
      <c r="M19" s="1"/>
      <c r="N19" s="1" t="str">
        <f t="shared" si="0"/>
        <v/>
      </c>
      <c r="O19" s="1"/>
      <c r="P19" s="9" t="s">
        <v>15</v>
      </c>
      <c r="Q19" s="1">
        <v>10</v>
      </c>
      <c r="R19" s="1">
        <f t="shared" si="7"/>
        <v>10</v>
      </c>
      <c r="S19" s="1"/>
      <c r="T19" s="1"/>
      <c r="U19" s="10"/>
    </row>
    <row r="20" spans="1:26" x14ac:dyDescent="0.25">
      <c r="A20" s="9" t="s">
        <v>12</v>
      </c>
      <c r="B20" s="1">
        <v>5</v>
      </c>
      <c r="C20" s="1">
        <f t="shared" ref="C20:C26" si="8">IF(D20="","",5)</f>
        <v>5</v>
      </c>
      <c r="D20" s="1">
        <f>IFERROR(LARGE($B$19:$B$28,2),"")</f>
        <v>5</v>
      </c>
      <c r="E20" s="1"/>
      <c r="F20" s="1">
        <f>SUM(C19:C26)</f>
        <v>35</v>
      </c>
      <c r="G20" s="10"/>
      <c r="H20" s="9" t="s">
        <v>18</v>
      </c>
      <c r="I20" s="1"/>
      <c r="J20" s="1"/>
      <c r="K20" s="3" t="str">
        <f t="shared" si="2"/>
        <v/>
      </c>
      <c r="L20" s="3"/>
      <c r="M20" s="1"/>
      <c r="N20" s="1" t="str">
        <f t="shared" si="0"/>
        <v/>
      </c>
      <c r="O20" s="1"/>
      <c r="P20" s="9" t="s">
        <v>16</v>
      </c>
      <c r="Q20" s="1">
        <v>10</v>
      </c>
      <c r="R20" s="1">
        <f t="shared" si="7"/>
        <v>10</v>
      </c>
      <c r="S20" s="1"/>
      <c r="T20" s="1"/>
      <c r="U20" s="10"/>
    </row>
    <row r="21" spans="1:26" x14ac:dyDescent="0.25">
      <c r="A21" s="9" t="s">
        <v>13</v>
      </c>
      <c r="B21" s="1">
        <v>5</v>
      </c>
      <c r="C21" s="1">
        <f t="shared" si="8"/>
        <v>5</v>
      </c>
      <c r="D21" s="1">
        <f>IFERROR(LARGE($B$19:$B$28,3),"")</f>
        <v>5</v>
      </c>
      <c r="E21" s="1"/>
      <c r="F21" s="1"/>
      <c r="G21" s="10"/>
      <c r="H21" s="13" t="s">
        <v>42</v>
      </c>
      <c r="I21" s="1">
        <v>57</v>
      </c>
      <c r="J21" s="1">
        <v>60</v>
      </c>
      <c r="K21" s="3">
        <f t="shared" si="2"/>
        <v>0.95</v>
      </c>
      <c r="L21" s="3"/>
      <c r="M21" s="15">
        <v>0.12</v>
      </c>
      <c r="N21" s="1">
        <f>IF(I21="","",1)</f>
        <v>1</v>
      </c>
      <c r="O21" s="1"/>
      <c r="P21" s="9" t="s">
        <v>17</v>
      </c>
      <c r="Q21" s="1">
        <v>10</v>
      </c>
      <c r="R21" s="1">
        <f t="shared" si="7"/>
        <v>10</v>
      </c>
      <c r="S21" s="1"/>
      <c r="T21" s="1"/>
      <c r="U21" s="10"/>
    </row>
    <row r="22" spans="1:26" x14ac:dyDescent="0.25">
      <c r="A22" s="9" t="s">
        <v>14</v>
      </c>
      <c r="B22" s="1">
        <v>5</v>
      </c>
      <c r="C22" s="1">
        <f t="shared" si="8"/>
        <v>5</v>
      </c>
      <c r="D22" s="1">
        <f>IFERROR(LARGE($B$19:$B$28,4),"")</f>
        <v>5</v>
      </c>
      <c r="E22" s="1"/>
      <c r="F22" s="1"/>
      <c r="G22" s="10"/>
      <c r="H22" s="13" t="s">
        <v>43</v>
      </c>
      <c r="I22" s="1">
        <v>60</v>
      </c>
      <c r="J22" s="1">
        <v>60</v>
      </c>
      <c r="K22" s="3">
        <f t="shared" si="2"/>
        <v>1</v>
      </c>
      <c r="L22" s="3"/>
      <c r="M22" s="15">
        <v>0.12</v>
      </c>
      <c r="N22" s="1">
        <f>IF(I22="","",1)</f>
        <v>1</v>
      </c>
      <c r="O22" s="1"/>
      <c r="P22" s="9" t="s">
        <v>18</v>
      </c>
      <c r="Q22" s="1">
        <v>10</v>
      </c>
      <c r="R22" s="1">
        <f t="shared" si="7"/>
        <v>10</v>
      </c>
      <c r="S22" s="1"/>
      <c r="T22" s="1"/>
      <c r="U22" s="10"/>
    </row>
    <row r="23" spans="1:26" x14ac:dyDescent="0.25">
      <c r="A23" s="9" t="s">
        <v>15</v>
      </c>
      <c r="B23" s="1">
        <v>5</v>
      </c>
      <c r="C23" s="1">
        <f t="shared" si="8"/>
        <v>5</v>
      </c>
      <c r="D23" s="1">
        <f>IFERROR(LARGE($B$19:$B$28,5),"")</f>
        <v>5</v>
      </c>
      <c r="E23" s="1"/>
      <c r="F23" s="1"/>
      <c r="G23" s="10"/>
      <c r="H23" s="13" t="s">
        <v>44</v>
      </c>
      <c r="I23" s="1"/>
      <c r="J23" s="1"/>
      <c r="K23" s="3" t="str">
        <f t="shared" si="2"/>
        <v/>
      </c>
      <c r="L23" s="3"/>
      <c r="M23" s="15">
        <v>0.12</v>
      </c>
      <c r="N23" s="1" t="str">
        <f>IF(I23="","",1)</f>
        <v/>
      </c>
      <c r="O23" s="1"/>
      <c r="P23" s="13" t="s">
        <v>19</v>
      </c>
      <c r="Q23" s="1">
        <v>10</v>
      </c>
      <c r="R23" s="1">
        <f t="shared" si="7"/>
        <v>10</v>
      </c>
      <c r="S23" s="1"/>
      <c r="T23" s="1"/>
      <c r="U23" s="10"/>
    </row>
    <row r="24" spans="1:26" x14ac:dyDescent="0.25">
      <c r="A24" s="9" t="s">
        <v>16</v>
      </c>
      <c r="B24" s="1">
        <v>4.5</v>
      </c>
      <c r="C24" s="1">
        <f t="shared" si="8"/>
        <v>5</v>
      </c>
      <c r="D24" s="1">
        <f>IFERROR(LARGE($B$19:$B$28,6),"")</f>
        <v>4.5</v>
      </c>
      <c r="E24" s="1"/>
      <c r="F24" s="1"/>
      <c r="G24" s="10"/>
      <c r="H24" s="13" t="s">
        <v>45</v>
      </c>
      <c r="I24" s="1"/>
      <c r="J24" s="1"/>
      <c r="K24" s="3" t="str">
        <f t="shared" si="2"/>
        <v/>
      </c>
      <c r="L24" s="3"/>
      <c r="M24" s="15">
        <v>0.12</v>
      </c>
      <c r="N24" s="1" t="str">
        <f>IF(I24="","",1)</f>
        <v/>
      </c>
      <c r="O24" s="1"/>
      <c r="P24" s="13" t="s">
        <v>22</v>
      </c>
      <c r="Q24" s="1">
        <v>10</v>
      </c>
      <c r="R24" s="1">
        <f t="shared" si="7"/>
        <v>10</v>
      </c>
      <c r="S24" s="1"/>
      <c r="T24" s="1"/>
      <c r="U24" s="10"/>
    </row>
    <row r="25" spans="1:26" x14ac:dyDescent="0.25">
      <c r="A25" s="9" t="s">
        <v>17</v>
      </c>
      <c r="B25" s="1">
        <v>5</v>
      </c>
      <c r="C25" s="1">
        <f t="shared" si="8"/>
        <v>5</v>
      </c>
      <c r="D25" s="1">
        <f>IFERROR(LARGE($B$19:$B$28,7),"")</f>
        <v>4</v>
      </c>
      <c r="E25" s="1"/>
      <c r="F25" s="1"/>
      <c r="G25" s="10"/>
      <c r="H25" s="13" t="s">
        <v>46</v>
      </c>
      <c r="I25" s="1">
        <v>55</v>
      </c>
      <c r="J25" s="1">
        <v>50</v>
      </c>
      <c r="K25" s="3">
        <f t="shared" si="2"/>
        <v>1.1000000000000001</v>
      </c>
      <c r="L25" s="3"/>
      <c r="M25" s="15">
        <v>0.12</v>
      </c>
      <c r="N25" s="1">
        <f>IF(I25="","",1)</f>
        <v>1</v>
      </c>
      <c r="O25" s="1" t="s">
        <v>48</v>
      </c>
      <c r="P25" s="13" t="s">
        <v>21</v>
      </c>
      <c r="Q25" s="1"/>
      <c r="R25" s="1" t="str">
        <f t="shared" si="7"/>
        <v/>
      </c>
      <c r="S25" s="1"/>
      <c r="T25" s="1"/>
      <c r="U25" s="10"/>
    </row>
    <row r="26" spans="1:26" x14ac:dyDescent="0.25">
      <c r="A26" s="9" t="s">
        <v>18</v>
      </c>
      <c r="B26" s="1"/>
      <c r="C26" s="1" t="str">
        <f t="shared" si="8"/>
        <v/>
      </c>
      <c r="D26" s="1" t="str">
        <f>IFERROR(LARGE($B$19:$B$28,8),"")</f>
        <v/>
      </c>
      <c r="E26" s="1"/>
      <c r="F26" s="1"/>
      <c r="G26" s="10"/>
      <c r="H26" s="13" t="s">
        <v>43</v>
      </c>
      <c r="I26" s="1">
        <v>55</v>
      </c>
      <c r="J26" s="1">
        <v>50</v>
      </c>
      <c r="K26" s="3">
        <f t="shared" si="2"/>
        <v>1.1000000000000001</v>
      </c>
      <c r="L26" s="3"/>
      <c r="M26" s="15">
        <v>0.12</v>
      </c>
      <c r="N26" s="1">
        <f>IF(I26="","",1)</f>
        <v>1</v>
      </c>
      <c r="O26" s="1"/>
      <c r="P26" s="13" t="s">
        <v>23</v>
      </c>
      <c r="Q26" s="1"/>
      <c r="R26" s="1" t="str">
        <f t="shared" si="7"/>
        <v/>
      </c>
      <c r="S26" s="1"/>
      <c r="T26" s="1"/>
      <c r="U26" s="10"/>
    </row>
    <row r="27" spans="1:26" x14ac:dyDescent="0.25">
      <c r="A27" s="9" t="s">
        <v>19</v>
      </c>
      <c r="B27" s="1"/>
      <c r="C27" s="1"/>
      <c r="D27" s="1"/>
      <c r="E27" s="1"/>
      <c r="F27" s="1"/>
      <c r="G27" s="10"/>
      <c r="H27" s="13" t="s">
        <v>44</v>
      </c>
      <c r="I27" s="1"/>
      <c r="J27" s="1"/>
      <c r="K27" s="3" t="str">
        <f t="shared" si="2"/>
        <v/>
      </c>
      <c r="L27" s="3"/>
      <c r="M27" s="15">
        <v>0.12</v>
      </c>
      <c r="N27" s="1" t="str">
        <f>IF(I27="","",1)</f>
        <v/>
      </c>
      <c r="O27" s="1"/>
      <c r="P27" s="13" t="s">
        <v>64</v>
      </c>
      <c r="Q27" s="1"/>
      <c r="R27" s="1" t="str">
        <f t="shared" si="7"/>
        <v/>
      </c>
      <c r="S27" s="1"/>
      <c r="T27" s="1"/>
      <c r="U27" s="10"/>
    </row>
    <row r="28" spans="1:26" x14ac:dyDescent="0.25">
      <c r="A28" s="9" t="s">
        <v>22</v>
      </c>
      <c r="B28" s="1"/>
      <c r="C28" s="1"/>
      <c r="D28" s="1" t="str">
        <f t="shared" si="5"/>
        <v/>
      </c>
      <c r="E28" s="1"/>
      <c r="F28" s="1"/>
      <c r="G28" s="10"/>
      <c r="H28" s="9"/>
      <c r="I28" s="1"/>
      <c r="J28" s="1"/>
      <c r="K28" s="1"/>
      <c r="L28" s="1"/>
      <c r="M28" s="1"/>
      <c r="N28" s="1"/>
      <c r="O28" s="1"/>
      <c r="P28" s="13" t="s">
        <v>42</v>
      </c>
      <c r="Q28" s="1">
        <v>120</v>
      </c>
      <c r="R28" s="1">
        <f>IF(Q28="","",120)</f>
        <v>120</v>
      </c>
      <c r="S28" s="1"/>
      <c r="T28" s="1"/>
      <c r="U28" s="10"/>
    </row>
    <row r="29" spans="1:26" x14ac:dyDescent="0.25">
      <c r="A29" s="9" t="s">
        <v>7</v>
      </c>
      <c r="B29" s="1">
        <v>14</v>
      </c>
      <c r="C29" s="1">
        <f>IF(D29="","",15)</f>
        <v>15</v>
      </c>
      <c r="D29" s="1">
        <f t="shared" si="5"/>
        <v>14</v>
      </c>
      <c r="E29" s="1"/>
      <c r="F29" s="1"/>
      <c r="G29" s="10"/>
      <c r="H29" s="9"/>
      <c r="I29" s="1"/>
      <c r="J29" s="1"/>
      <c r="K29" s="1"/>
      <c r="L29" s="1"/>
      <c r="M29" s="15" t="s">
        <v>49</v>
      </c>
      <c r="N29" s="16">
        <f>AVERAGE(L3:L7)*M3+AVERAGE(L11:L15)*M11+SUMPRODUCT(K21:K27,M21:M27)</f>
        <v>0.6587466666666667</v>
      </c>
      <c r="O29" s="1"/>
      <c r="P29" s="13" t="s">
        <v>65</v>
      </c>
      <c r="Q29" s="1"/>
      <c r="R29" s="1" t="str">
        <f>IF(Q29="","",120)</f>
        <v/>
      </c>
      <c r="S29" s="1"/>
      <c r="T29" s="1"/>
      <c r="U29" s="10"/>
    </row>
    <row r="30" spans="1:26" x14ac:dyDescent="0.25">
      <c r="A30" s="9" t="s">
        <v>8</v>
      </c>
      <c r="B30" s="1">
        <v>12.5</v>
      </c>
      <c r="C30" s="1">
        <f>IF(D30="","",15)</f>
        <v>15</v>
      </c>
      <c r="D30" s="1">
        <f t="shared" si="5"/>
        <v>12.5</v>
      </c>
      <c r="E30" s="1"/>
      <c r="F30" s="1"/>
      <c r="G30" s="10"/>
      <c r="H30" s="9"/>
      <c r="I30" s="1" t="s">
        <v>90</v>
      </c>
      <c r="J30" s="1"/>
      <c r="K30" s="1"/>
      <c r="L30" s="1"/>
      <c r="M30" s="17" t="s">
        <v>57</v>
      </c>
      <c r="N30" s="3">
        <f>SUMPRODUCT(M3:M27,N3:N27)</f>
        <v>0.64</v>
      </c>
      <c r="O30" s="1"/>
      <c r="P30" s="13" t="s">
        <v>66</v>
      </c>
      <c r="Q30" s="1"/>
      <c r="R30" s="1" t="str">
        <f>IF(Q30="","",120)</f>
        <v/>
      </c>
      <c r="S30" s="1"/>
      <c r="T30" s="1"/>
      <c r="U30" s="10"/>
    </row>
    <row r="31" spans="1:26" x14ac:dyDescent="0.25">
      <c r="A31" s="9" t="s">
        <v>9</v>
      </c>
      <c r="B31" s="1"/>
      <c r="C31" s="1" t="str">
        <f>IF(D31="","",15)</f>
        <v/>
      </c>
      <c r="D31" s="1" t="str">
        <f t="shared" si="5"/>
        <v/>
      </c>
      <c r="E31" s="1"/>
      <c r="F31" s="1"/>
      <c r="G31" s="10"/>
      <c r="H31" s="9"/>
      <c r="I31" s="1" t="s">
        <v>91</v>
      </c>
      <c r="J31" s="1"/>
      <c r="K31" s="1"/>
      <c r="L31" s="1"/>
      <c r="M31" s="1"/>
      <c r="N31" s="1"/>
      <c r="O31" s="1"/>
      <c r="P31" s="13" t="s">
        <v>67</v>
      </c>
      <c r="Q31" s="1">
        <v>5</v>
      </c>
      <c r="R31" s="1">
        <f>IF(Q31="","",5)</f>
        <v>5</v>
      </c>
      <c r="S31" s="1">
        <f>SUM(Q31:Q36)-SUM(SMALL(Q31:Q36,1))</f>
        <v>20</v>
      </c>
      <c r="T31" s="1">
        <f>SUM(R31:R36)-SUM(SMALL(R31:R36,1))</f>
        <v>20</v>
      </c>
      <c r="U31" s="10"/>
    </row>
    <row r="32" spans="1:26" x14ac:dyDescent="0.25">
      <c r="A32" s="9" t="s">
        <v>10</v>
      </c>
      <c r="B32" s="1"/>
      <c r="C32" s="1" t="str">
        <f>IF(D32="","",15)</f>
        <v/>
      </c>
      <c r="D32" s="1" t="str">
        <f t="shared" si="5"/>
        <v/>
      </c>
      <c r="E32" s="1"/>
      <c r="F32" s="1"/>
      <c r="G32" s="10"/>
      <c r="H32" s="11"/>
      <c r="I32" s="4"/>
      <c r="J32" s="4"/>
      <c r="K32" s="4"/>
      <c r="L32" s="4"/>
      <c r="M32" s="4"/>
      <c r="N32" s="18">
        <f>N29/N30</f>
        <v>1.0292916666666667</v>
      </c>
      <c r="O32" s="4"/>
      <c r="P32" s="9" t="s">
        <v>12</v>
      </c>
      <c r="Q32" s="1">
        <v>5</v>
      </c>
      <c r="R32" s="1">
        <f>IF(Q32="","",5)</f>
        <v>5</v>
      </c>
      <c r="S32" s="1"/>
      <c r="T32" s="1"/>
      <c r="U32" s="10"/>
    </row>
    <row r="33" spans="1:21" x14ac:dyDescent="0.25">
      <c r="A33" s="9"/>
      <c r="B33" s="1"/>
      <c r="C33" s="1"/>
      <c r="D33" s="1"/>
      <c r="E33" s="1"/>
      <c r="F33" s="1"/>
      <c r="G33" s="10"/>
      <c r="P33" s="9" t="s">
        <v>13</v>
      </c>
      <c r="Q33" s="1">
        <v>5</v>
      </c>
      <c r="R33" s="1">
        <f>IF(Q33="","",5)</f>
        <v>5</v>
      </c>
      <c r="S33" s="1"/>
      <c r="T33" s="1"/>
      <c r="U33" s="10"/>
    </row>
    <row r="34" spans="1:21" x14ac:dyDescent="0.25">
      <c r="A34" s="9"/>
      <c r="B34" s="1"/>
      <c r="C34" s="1">
        <f>SUM(C3:C6,F8,F20,C29:C32)</f>
        <v>156</v>
      </c>
      <c r="D34" s="1">
        <f>SUM(D3:D6,F7,F19,D29:D32)</f>
        <v>141</v>
      </c>
      <c r="E34" s="1"/>
      <c r="F34" s="1"/>
      <c r="G34" s="10"/>
      <c r="P34" s="9" t="s">
        <v>14</v>
      </c>
      <c r="Q34" s="1">
        <v>5</v>
      </c>
      <c r="R34" s="1">
        <f>IF(Q34="","",5)</f>
        <v>5</v>
      </c>
      <c r="S34" s="1"/>
      <c r="T34" s="1"/>
      <c r="U34" s="10"/>
    </row>
    <row r="35" spans="1:21" x14ac:dyDescent="0.25">
      <c r="A35" s="9"/>
      <c r="B35" s="1"/>
      <c r="C35" s="1">
        <f>D34/C34</f>
        <v>0.90384615384615385</v>
      </c>
      <c r="D35" s="1"/>
      <c r="E35" s="1"/>
      <c r="F35" s="1"/>
      <c r="G35" s="10"/>
      <c r="P35" s="9" t="s">
        <v>15</v>
      </c>
      <c r="Q35" s="1">
        <v>5</v>
      </c>
      <c r="R35" s="1">
        <f>IF(Q35="","",5)</f>
        <v>5</v>
      </c>
      <c r="S35" s="1"/>
      <c r="T35" s="1"/>
      <c r="U35" s="10"/>
    </row>
    <row r="36" spans="1:21" x14ac:dyDescent="0.25">
      <c r="A36" s="9"/>
      <c r="B36" s="1"/>
      <c r="C36" s="1"/>
      <c r="D36" s="1" t="s">
        <v>68</v>
      </c>
      <c r="E36" s="1"/>
      <c r="F36" s="1"/>
      <c r="G36" s="10"/>
      <c r="P36" s="9" t="s">
        <v>16</v>
      </c>
      <c r="Q36" s="1"/>
      <c r="R36" s="1" t="str">
        <f>IF(Q36="","",5)</f>
        <v/>
      </c>
      <c r="S36" s="1"/>
      <c r="T36" s="1"/>
      <c r="U36" s="10"/>
    </row>
    <row r="37" spans="1:21" x14ac:dyDescent="0.25">
      <c r="A37" s="9"/>
      <c r="B37" s="1" t="s">
        <v>27</v>
      </c>
      <c r="C37" s="1">
        <f>C34-D34</f>
        <v>15</v>
      </c>
      <c r="D37" s="1">
        <f>C40-D40-C37</f>
        <v>39</v>
      </c>
      <c r="E37" s="1"/>
      <c r="F37" s="1"/>
      <c r="G37" s="10"/>
      <c r="P37" s="9"/>
      <c r="Q37" s="1"/>
      <c r="R37" s="1"/>
      <c r="S37" s="1"/>
      <c r="T37" s="1"/>
      <c r="U37" s="10"/>
    </row>
    <row r="38" spans="1:21" x14ac:dyDescent="0.25">
      <c r="A38" s="9"/>
      <c r="B38" s="1"/>
      <c r="C38" s="1"/>
      <c r="D38" s="1"/>
      <c r="E38" s="1"/>
      <c r="F38" s="1"/>
      <c r="G38" s="10"/>
      <c r="P38" s="9"/>
      <c r="Q38" s="1"/>
      <c r="R38" s="1"/>
      <c r="S38" s="1">
        <f>SUM(S3,S15,Q28,S31)</f>
        <v>328.5</v>
      </c>
      <c r="T38" s="1">
        <f>SUM(T3,T15,R28,T31)</f>
        <v>330</v>
      </c>
      <c r="U38" s="10"/>
    </row>
    <row r="39" spans="1:21" x14ac:dyDescent="0.25">
      <c r="A39" s="9"/>
      <c r="B39" s="1">
        <v>360</v>
      </c>
      <c r="C39" s="1" t="s">
        <v>34</v>
      </c>
      <c r="D39" s="1" t="s">
        <v>35</v>
      </c>
      <c r="E39" s="1" t="s">
        <v>36</v>
      </c>
      <c r="F39" s="1" t="s">
        <v>37</v>
      </c>
      <c r="G39" s="10" t="s">
        <v>29</v>
      </c>
      <c r="P39" s="9"/>
      <c r="Q39" s="1"/>
      <c r="R39" s="1"/>
      <c r="S39" s="1" t="s">
        <v>69</v>
      </c>
      <c r="T39" s="1">
        <f>T38-S38</f>
        <v>1.5</v>
      </c>
      <c r="U39" s="10" t="str">
        <f>IF(Q42&gt;T39,R42,IF(Q43&gt;T39,R43,IF(Q44&gt;T39,R44,"0")))</f>
        <v>A</v>
      </c>
    </row>
    <row r="40" spans="1:21" x14ac:dyDescent="0.25">
      <c r="A40" s="9"/>
      <c r="B40" s="1" t="s">
        <v>28</v>
      </c>
      <c r="C40" s="1">
        <f>$B$39*E40</f>
        <v>360</v>
      </c>
      <c r="D40" s="1">
        <f>$B$39*F40</f>
        <v>306</v>
      </c>
      <c r="E40" s="3">
        <v>1</v>
      </c>
      <c r="F40" s="3">
        <v>0.85</v>
      </c>
      <c r="G40" s="10" t="s">
        <v>30</v>
      </c>
      <c r="P40" s="9">
        <v>700</v>
      </c>
      <c r="Q40" s="1"/>
      <c r="R40" s="1"/>
      <c r="S40" s="1"/>
      <c r="T40" s="1"/>
      <c r="U40" s="10"/>
    </row>
    <row r="41" spans="1:21" x14ac:dyDescent="0.25">
      <c r="A41" s="9"/>
      <c r="B41" s="1"/>
      <c r="C41" s="1">
        <f>D40-1</f>
        <v>305</v>
      </c>
      <c r="D41" s="1">
        <f>$B$39*F41</f>
        <v>288</v>
      </c>
      <c r="E41" s="3">
        <f>C41/B39</f>
        <v>0.84722222222222221</v>
      </c>
      <c r="F41" s="3">
        <v>0.8</v>
      </c>
      <c r="G41" s="10" t="s">
        <v>31</v>
      </c>
      <c r="P41" s="9" t="s">
        <v>70</v>
      </c>
      <c r="Q41" s="1" t="s">
        <v>71</v>
      </c>
      <c r="R41" s="1" t="s">
        <v>29</v>
      </c>
      <c r="S41" s="1"/>
      <c r="T41" s="1"/>
      <c r="U41" s="10"/>
    </row>
    <row r="42" spans="1:21" x14ac:dyDescent="0.25">
      <c r="A42" s="9"/>
      <c r="B42" s="1"/>
      <c r="C42" s="1">
        <f>D41-1</f>
        <v>287</v>
      </c>
      <c r="D42" s="1">
        <f>$B$39*F42</f>
        <v>270</v>
      </c>
      <c r="E42" s="3">
        <f>C42/B39</f>
        <v>0.79722222222222228</v>
      </c>
      <c r="F42" s="3">
        <v>0.75</v>
      </c>
      <c r="G42" s="10" t="s">
        <v>31</v>
      </c>
      <c r="P42" s="9">
        <v>658</v>
      </c>
      <c r="Q42" s="1">
        <f>$P$40-P42</f>
        <v>42</v>
      </c>
      <c r="R42" s="1" t="s">
        <v>30</v>
      </c>
      <c r="S42" s="1"/>
      <c r="T42" s="1"/>
      <c r="U42" s="10"/>
    </row>
    <row r="43" spans="1:21" x14ac:dyDescent="0.25">
      <c r="A43" s="9"/>
      <c r="B43" s="1"/>
      <c r="C43" s="1">
        <f>D42-1</f>
        <v>269</v>
      </c>
      <c r="D43" s="1">
        <f>$B$39*F43</f>
        <v>251.99999999999997</v>
      </c>
      <c r="E43" s="3">
        <f>C43/B39</f>
        <v>0.74722222222222223</v>
      </c>
      <c r="F43" s="3">
        <v>0.7</v>
      </c>
      <c r="G43" s="10" t="s">
        <v>32</v>
      </c>
      <c r="P43" s="9">
        <v>630</v>
      </c>
      <c r="Q43" s="1">
        <f>$P$40-P43</f>
        <v>70</v>
      </c>
      <c r="R43" s="1" t="s">
        <v>72</v>
      </c>
      <c r="S43" s="1"/>
      <c r="T43" s="1"/>
      <c r="U43" s="10"/>
    </row>
    <row r="44" spans="1:21" x14ac:dyDescent="0.25">
      <c r="A44" s="11"/>
      <c r="B44" s="4"/>
      <c r="C44" s="4">
        <f>D43-1</f>
        <v>250.99999999999997</v>
      </c>
      <c r="D44" s="4">
        <f>$B$39*F44</f>
        <v>234</v>
      </c>
      <c r="E44" s="5">
        <f>C44/B39</f>
        <v>0.69722222222222219</v>
      </c>
      <c r="F44" s="5">
        <v>0.65</v>
      </c>
      <c r="G44" s="12" t="s">
        <v>33</v>
      </c>
      <c r="P44" s="11">
        <v>609</v>
      </c>
      <c r="Q44" s="4">
        <f>$P$40-P44</f>
        <v>91</v>
      </c>
      <c r="R44" s="4" t="s">
        <v>31</v>
      </c>
      <c r="S44" s="4"/>
      <c r="T44" s="4"/>
      <c r="U44" s="12"/>
    </row>
  </sheetData>
  <mergeCells count="4">
    <mergeCell ref="A1:G1"/>
    <mergeCell ref="H1:O1"/>
    <mergeCell ref="P1:U1"/>
    <mergeCell ref="V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Krishnaraj</dc:creator>
  <cp:lastModifiedBy>Arun Krishnaraj</cp:lastModifiedBy>
  <dcterms:created xsi:type="dcterms:W3CDTF">2020-11-11T19:27:04Z</dcterms:created>
  <dcterms:modified xsi:type="dcterms:W3CDTF">2020-11-11T20:57:57Z</dcterms:modified>
</cp:coreProperties>
</file>