
<file path=[Content_Types].xml><?xml version="1.0" encoding="utf-8"?>
<Types xmlns="http://schemas.openxmlformats.org/package/2006/content-types">
  <Default Extension="bin" ContentType="application/vnd.openxmlformats-officedocument.spreadsheetml.printerSettings"/>
  <Override PartName="/xl/drawings/drawing9.xml" ContentType="application/vnd.openxmlformats-officedocument.drawing+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jpeg" ContentType="image/jpeg"/>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xl/drawings/drawing10.xml" ContentType="application/vnd.openxmlformats-officedocument.drawing+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180" windowWidth="11355" windowHeight="6765" tabRatio="851" activeTab="1"/>
  </bookViews>
  <sheets>
    <sheet name="Stand alone---" sheetId="15" r:id="rId1"/>
    <sheet name="Scenario" sheetId="23" r:id="rId2"/>
    <sheet name="Income statement" sheetId="10" r:id="rId3"/>
    <sheet name="Cash flow statement" sheetId="12" r:id="rId4"/>
    <sheet name="Operating working capital" sheetId="13" r:id="rId5"/>
    <sheet name="Balance Sheet" sheetId="11" r:id="rId6"/>
    <sheet name="Depreciation schedule" sheetId="14" r:id="rId7"/>
    <sheet name="Debt schedule" sheetId="21" r:id="rId8"/>
    <sheet name="Valution---&gt;" sheetId="17" r:id="rId9"/>
    <sheet name="DCF" sheetId="19" r:id="rId10"/>
    <sheet name="COMPS" sheetId="22" r:id="rId11"/>
    <sheet name="Football field" sheetId="20" r:id="rId12"/>
  </sheets>
  <externalReferences>
    <externalReference r:id="rId13"/>
  </externalReferences>
  <calcPr calcId="125725" iterate="1"/>
</workbook>
</file>

<file path=xl/calcChain.xml><?xml version="1.0" encoding="utf-8"?>
<calcChain xmlns="http://schemas.openxmlformats.org/spreadsheetml/2006/main">
  <c r="I16" i="19"/>
  <c r="J16" s="1"/>
  <c r="K16" s="1"/>
  <c r="L16" s="1"/>
  <c r="W18" i="20"/>
  <c r="U18"/>
  <c r="R6"/>
  <c r="W20" s="1"/>
  <c r="P6"/>
  <c r="U20" s="1"/>
  <c r="N6"/>
  <c r="W17" s="1"/>
  <c r="L6"/>
  <c r="U17" s="1"/>
  <c r="G12" i="19"/>
  <c r="G9"/>
  <c r="I9" i="23"/>
  <c r="I14" i="10" s="1"/>
  <c r="H9" i="23"/>
  <c r="H14" i="10" s="1"/>
  <c r="I8" i="23"/>
  <c r="I9" i="10" s="1"/>
  <c r="H8" i="23"/>
  <c r="H9" i="10" s="1"/>
  <c r="G20" i="14"/>
  <c r="G17" i="11"/>
  <c r="F17"/>
  <c r="H6" i="14"/>
  <c r="J11" s="1"/>
  <c r="G20" i="10"/>
  <c r="G18" i="14" s="1"/>
  <c r="G19" s="1"/>
  <c r="F20" i="10"/>
  <c r="F18" i="14" s="1"/>
  <c r="F19" s="1"/>
  <c r="E20" i="10"/>
  <c r="E18" i="14" s="1"/>
  <c r="E19" s="1"/>
  <c r="F20"/>
  <c r="F21" s="1"/>
  <c r="E20"/>
  <c r="E21" s="1"/>
  <c r="H7" i="23"/>
  <c r="H7" i="10" s="1"/>
  <c r="H6" s="1"/>
  <c r="I24" i="23"/>
  <c r="J24" s="1"/>
  <c r="K24" s="1"/>
  <c r="L24" s="1"/>
  <c r="M24" s="1"/>
  <c r="I7"/>
  <c r="I7" i="10" s="1"/>
  <c r="I26" i="23"/>
  <c r="J26" s="1"/>
  <c r="K26" s="1"/>
  <c r="L26" s="1"/>
  <c r="M26" s="1"/>
  <c r="L7"/>
  <c r="L7" i="10" s="1"/>
  <c r="F23" i="11"/>
  <c r="F36"/>
  <c r="F5" i="14"/>
  <c r="G5" s="1"/>
  <c r="H5" s="1"/>
  <c r="I5" s="1"/>
  <c r="J5" s="1"/>
  <c r="E8" i="12"/>
  <c r="G23" i="11"/>
  <c r="G15" i="21" s="1"/>
  <c r="H12" s="1"/>
  <c r="B6" i="23"/>
  <c r="J11"/>
  <c r="M11"/>
  <c r="M7" s="1"/>
  <c r="M7" i="10" s="1"/>
  <c r="J12" i="23"/>
  <c r="J16" s="1"/>
  <c r="J13"/>
  <c r="K13" s="1"/>
  <c r="E8" i="10"/>
  <c r="E11" i="23"/>
  <c r="E15" s="1"/>
  <c r="E19" s="1"/>
  <c r="E24" s="1"/>
  <c r="I25"/>
  <c r="J25" s="1"/>
  <c r="K25" s="1"/>
  <c r="L25" s="1"/>
  <c r="M25" s="1"/>
  <c r="H12" i="14"/>
  <c r="G29" i="10"/>
  <c r="X17" i="20"/>
  <c r="H14" s="1"/>
  <c r="I30" i="12"/>
  <c r="J30"/>
  <c r="J12" i="19" s="1"/>
  <c r="K30" i="12"/>
  <c r="L30"/>
  <c r="L12" i="19" s="1"/>
  <c r="H30" i="12"/>
  <c r="F7" i="13"/>
  <c r="G7"/>
  <c r="G9"/>
  <c r="F9"/>
  <c r="G11"/>
  <c r="F15"/>
  <c r="G15"/>
  <c r="F17"/>
  <c r="F18" s="1"/>
  <c r="G17"/>
  <c r="F19"/>
  <c r="G19"/>
  <c r="F21"/>
  <c r="F22" s="1"/>
  <c r="G21"/>
  <c r="I12" i="14"/>
  <c r="I13"/>
  <c r="J12"/>
  <c r="J13"/>
  <c r="J14"/>
  <c r="K12"/>
  <c r="K13"/>
  <c r="K14"/>
  <c r="K15"/>
  <c r="L12"/>
  <c r="L13"/>
  <c r="L14"/>
  <c r="L15"/>
  <c r="L16"/>
  <c r="M12"/>
  <c r="M13"/>
  <c r="M14"/>
  <c r="M15"/>
  <c r="M16"/>
  <c r="M7"/>
  <c r="M17"/>
  <c r="I51" i="10"/>
  <c r="J51" s="1"/>
  <c r="K51" s="1"/>
  <c r="L51" s="1"/>
  <c r="M51" s="1"/>
  <c r="H15" i="11"/>
  <c r="I15" s="1"/>
  <c r="J15" s="1"/>
  <c r="K15" s="1"/>
  <c r="L15" s="1"/>
  <c r="M15" s="1"/>
  <c r="H16"/>
  <c r="I16"/>
  <c r="J16" s="1"/>
  <c r="K16" s="1"/>
  <c r="L16" s="1"/>
  <c r="M16" s="1"/>
  <c r="H18"/>
  <c r="I18" s="1"/>
  <c r="J18" s="1"/>
  <c r="K18" s="1"/>
  <c r="L18" s="1"/>
  <c r="M18" s="1"/>
  <c r="H19"/>
  <c r="I19" s="1"/>
  <c r="J19" s="1"/>
  <c r="K19" s="1"/>
  <c r="L19" s="1"/>
  <c r="M19" s="1"/>
  <c r="H32"/>
  <c r="I32" s="1"/>
  <c r="J32" s="1"/>
  <c r="K32" s="1"/>
  <c r="L32" s="1"/>
  <c r="M32" s="1"/>
  <c r="H35"/>
  <c r="I35" s="1"/>
  <c r="J35" s="1"/>
  <c r="K35" s="1"/>
  <c r="L35" s="1"/>
  <c r="M35" s="1"/>
  <c r="H37"/>
  <c r="I37"/>
  <c r="J37" s="1"/>
  <c r="K37" s="1"/>
  <c r="L37" s="1"/>
  <c r="M37" s="1"/>
  <c r="H38"/>
  <c r="I38" s="1"/>
  <c r="J38" s="1"/>
  <c r="K38" s="1"/>
  <c r="L38" s="1"/>
  <c r="M38" s="1"/>
  <c r="H39"/>
  <c r="I39" s="1"/>
  <c r="J39" s="1"/>
  <c r="K39" s="1"/>
  <c r="L39" s="1"/>
  <c r="M39" s="1"/>
  <c r="F50" i="10"/>
  <c r="G50"/>
  <c r="E50"/>
  <c r="E52" s="1"/>
  <c r="H31" i="12"/>
  <c r="I31" s="1"/>
  <c r="J31" s="1"/>
  <c r="J18"/>
  <c r="M18" s="1"/>
  <c r="I18"/>
  <c r="L18" s="1"/>
  <c r="H18"/>
  <c r="K18" s="1"/>
  <c r="H16"/>
  <c r="I16" s="1"/>
  <c r="J16" s="1"/>
  <c r="K16" s="1"/>
  <c r="L16" s="1"/>
  <c r="M16" s="1"/>
  <c r="J15"/>
  <c r="I15"/>
  <c r="I9" i="19" s="1"/>
  <c r="H15" i="12"/>
  <c r="H13"/>
  <c r="H36" i="11" s="1"/>
  <c r="G27" i="21"/>
  <c r="H7" s="1"/>
  <c r="G22"/>
  <c r="H19" s="1"/>
  <c r="G30" i="11"/>
  <c r="G33" s="1"/>
  <c r="G42" s="1"/>
  <c r="G41"/>
  <c r="G13"/>
  <c r="G20" s="1"/>
  <c r="F13"/>
  <c r="F20" s="1"/>
  <c r="D46" i="19"/>
  <c r="D48"/>
  <c r="X19" i="20"/>
  <c r="X20"/>
  <c r="X18"/>
  <c r="D40" i="19"/>
  <c r="D42"/>
  <c r="G45"/>
  <c r="E45"/>
  <c r="G39"/>
  <c r="E39"/>
  <c r="F5" i="21"/>
  <c r="G5" s="1"/>
  <c r="H5" s="1"/>
  <c r="I5" s="1"/>
  <c r="J5" s="1"/>
  <c r="K5" s="1"/>
  <c r="L5" s="1"/>
  <c r="M5" s="1"/>
  <c r="J17" i="23"/>
  <c r="H17"/>
  <c r="I17"/>
  <c r="I16"/>
  <c r="H16"/>
  <c r="G6" i="10"/>
  <c r="H15"/>
  <c r="I15" s="1"/>
  <c r="J15" s="1"/>
  <c r="K15" s="1"/>
  <c r="L15" s="1"/>
  <c r="M15" s="1"/>
  <c r="G13"/>
  <c r="G32"/>
  <c r="F36" i="22"/>
  <c r="P25" i="19" s="1"/>
  <c r="P26"/>
  <c r="P27"/>
  <c r="N21"/>
  <c r="P21"/>
  <c r="M24"/>
  <c r="E5"/>
  <c r="F5" s="1"/>
  <c r="G5"/>
  <c r="H5" s="1"/>
  <c r="I5" s="1"/>
  <c r="J5" s="1"/>
  <c r="K5" s="1"/>
  <c r="L5" s="1"/>
  <c r="F5" i="13"/>
  <c r="G5" s="1"/>
  <c r="H5" s="1"/>
  <c r="I5" s="1"/>
  <c r="J5" s="1"/>
  <c r="K5" s="1"/>
  <c r="L5" s="1"/>
  <c r="M5" s="1"/>
  <c r="F11"/>
  <c r="F12" s="1"/>
  <c r="F8"/>
  <c r="I48" i="10"/>
  <c r="J48"/>
  <c r="K48"/>
  <c r="L48"/>
  <c r="M48"/>
  <c r="H48"/>
  <c r="F7" i="14"/>
  <c r="F8" s="1"/>
  <c r="G7"/>
  <c r="G8" s="1"/>
  <c r="E7"/>
  <c r="E8" s="1"/>
  <c r="F16" i="10"/>
  <c r="E13"/>
  <c r="E14" s="1"/>
  <c r="F5" i="23"/>
  <c r="G5" s="1"/>
  <c r="H5" s="1"/>
  <c r="I5" s="1"/>
  <c r="J5"/>
  <c r="K5" s="1"/>
  <c r="L5" s="1"/>
  <c r="M5" s="1"/>
  <c r="F14" i="10"/>
  <c r="F13" i="23"/>
  <c r="F17" s="1"/>
  <c r="F21" s="1"/>
  <c r="F26" s="1"/>
  <c r="F7" i="10"/>
  <c r="V18" i="20"/>
  <c r="S16" i="22"/>
  <c r="S17"/>
  <c r="R20"/>
  <c r="Q16"/>
  <c r="Q19" s="1"/>
  <c r="Q17"/>
  <c r="R19"/>
  <c r="O16"/>
  <c r="O17"/>
  <c r="N20"/>
  <c r="M16"/>
  <c r="M17"/>
  <c r="N19"/>
  <c r="K16"/>
  <c r="K17"/>
  <c r="K20" s="1"/>
  <c r="J20"/>
  <c r="I16"/>
  <c r="I17"/>
  <c r="J19"/>
  <c r="S8"/>
  <c r="S9"/>
  <c r="S13" s="1"/>
  <c r="S10"/>
  <c r="R13"/>
  <c r="Q8"/>
  <c r="Q9"/>
  <c r="Q10"/>
  <c r="R12"/>
  <c r="O8"/>
  <c r="O9"/>
  <c r="O10"/>
  <c r="N13"/>
  <c r="M8"/>
  <c r="M9"/>
  <c r="M10"/>
  <c r="N12"/>
  <c r="J12"/>
  <c r="K8"/>
  <c r="K9"/>
  <c r="K10"/>
  <c r="J13"/>
  <c r="I8"/>
  <c r="I9"/>
  <c r="I10"/>
  <c r="S22"/>
  <c r="Q22"/>
  <c r="F47"/>
  <c r="F30"/>
  <c r="D33" i="14"/>
  <c r="F5" i="11"/>
  <c r="G5" s="1"/>
  <c r="H5" s="1"/>
  <c r="I5" s="1"/>
  <c r="J5" s="1"/>
  <c r="K5" s="1"/>
  <c r="L5" s="1"/>
  <c r="M5" s="1"/>
  <c r="F5" i="12"/>
  <c r="G5"/>
  <c r="H5" s="1"/>
  <c r="I5" s="1"/>
  <c r="J5" s="1"/>
  <c r="K5" s="1"/>
  <c r="L5" s="1"/>
  <c r="M5" s="1"/>
  <c r="E44" i="11"/>
  <c r="G27" i="12"/>
  <c r="G38"/>
  <c r="G41"/>
  <c r="G48"/>
  <c r="F27"/>
  <c r="F38"/>
  <c r="F41"/>
  <c r="F47"/>
  <c r="F48" s="1"/>
  <c r="E27"/>
  <c r="E28" s="1"/>
  <c r="E38"/>
  <c r="E41"/>
  <c r="E47"/>
  <c r="F5" i="10"/>
  <c r="G5" s="1"/>
  <c r="H5" s="1"/>
  <c r="I5" s="1"/>
  <c r="J5" s="1"/>
  <c r="K5" s="1"/>
  <c r="L5" s="1"/>
  <c r="M5" s="1"/>
  <c r="H61"/>
  <c r="I61" s="1"/>
  <c r="J61" s="1"/>
  <c r="K61" s="1"/>
  <c r="L61" s="1"/>
  <c r="M61" s="1"/>
  <c r="H60"/>
  <c r="I60" s="1"/>
  <c r="J60" s="1"/>
  <c r="K60" s="1"/>
  <c r="L60" s="1"/>
  <c r="M60" s="1"/>
  <c r="G36"/>
  <c r="F29"/>
  <c r="F32"/>
  <c r="F37"/>
  <c r="E29"/>
  <c r="E32"/>
  <c r="Q20" i="22"/>
  <c r="G14" i="10"/>
  <c r="F52"/>
  <c r="G7"/>
  <c r="G11" i="23" s="1"/>
  <c r="G15" s="1"/>
  <c r="G19" s="1"/>
  <c r="G24" s="1"/>
  <c r="I13" i="12"/>
  <c r="J13" s="1"/>
  <c r="K13" s="1"/>
  <c r="L13" s="1"/>
  <c r="M13" s="1"/>
  <c r="L15"/>
  <c r="L9" i="19" s="1"/>
  <c r="M30" i="12"/>
  <c r="G18" i="13"/>
  <c r="H18" s="1"/>
  <c r="I18" s="1"/>
  <c r="J18" s="1"/>
  <c r="K18" s="1"/>
  <c r="L18" s="1"/>
  <c r="G8" i="19"/>
  <c r="G8" i="12"/>
  <c r="G8" i="10"/>
  <c r="I12" i="19"/>
  <c r="J9" i="23"/>
  <c r="J14" i="10" s="1"/>
  <c r="J8" i="23"/>
  <c r="J9" i="10" s="1"/>
  <c r="K12" i="23"/>
  <c r="K8" s="1"/>
  <c r="K9" i="10" s="1"/>
  <c r="K11" i="23"/>
  <c r="K7" s="1"/>
  <c r="K7" i="10" s="1"/>
  <c r="J7" i="23"/>
  <c r="J7" i="10" s="1"/>
  <c r="F8"/>
  <c r="F9" s="1"/>
  <c r="G9"/>
  <c r="G12" i="23" s="1"/>
  <c r="G16" s="1"/>
  <c r="G20" s="1"/>
  <c r="H20" s="1"/>
  <c r="I20" s="1"/>
  <c r="J20" s="1"/>
  <c r="K20" s="1"/>
  <c r="L20" s="1"/>
  <c r="M20" s="1"/>
  <c r="G10" i="10"/>
  <c r="G11" s="1"/>
  <c r="G12" i="13"/>
  <c r="H12" s="1"/>
  <c r="H11" s="1"/>
  <c r="F30" i="11"/>
  <c r="F33" s="1"/>
  <c r="F8" i="12"/>
  <c r="F28" s="1"/>
  <c r="D13" i="14"/>
  <c r="D26" s="1"/>
  <c r="D35" s="1"/>
  <c r="M13" i="22" l="1"/>
  <c r="O12"/>
  <c r="G8" i="13"/>
  <c r="H8" s="1"/>
  <c r="H7" s="1"/>
  <c r="H20" i="12" s="1"/>
  <c r="H9" i="11" s="1"/>
  <c r="G21" i="14"/>
  <c r="H21" s="1"/>
  <c r="H20" s="1"/>
  <c r="H21" i="10" s="1"/>
  <c r="H10" i="12" s="1"/>
  <c r="H17" i="11" s="1"/>
  <c r="F50" i="12"/>
  <c r="F10" i="10"/>
  <c r="F18" s="1"/>
  <c r="F22" s="1"/>
  <c r="K19" i="22"/>
  <c r="G25" i="23"/>
  <c r="F23" i="13"/>
  <c r="J38" i="12"/>
  <c r="K31"/>
  <c r="L31" s="1"/>
  <c r="M31" s="1"/>
  <c r="M38" s="1"/>
  <c r="I38"/>
  <c r="K9" i="23"/>
  <c r="K14" i="10" s="1"/>
  <c r="L13" i="23"/>
  <c r="K17"/>
  <c r="H8" i="10"/>
  <c r="H10" s="1"/>
  <c r="H11" s="1"/>
  <c r="M12" i="22"/>
  <c r="G44" i="11"/>
  <c r="J18" i="14"/>
  <c r="J20" i="10" s="1"/>
  <c r="D12" i="14"/>
  <c r="D25" s="1"/>
  <c r="D34" s="1"/>
  <c r="H17" i="13"/>
  <c r="H24" i="12" s="1"/>
  <c r="H25" i="11" s="1"/>
  <c r="E48" i="12"/>
  <c r="E50" s="1"/>
  <c r="S12" i="22"/>
  <c r="G23" i="13"/>
  <c r="M11" i="14"/>
  <c r="I8" i="13"/>
  <c r="J8" s="1"/>
  <c r="K8" s="1"/>
  <c r="L8" s="1"/>
  <c r="M8" s="1"/>
  <c r="I12"/>
  <c r="J12" s="1"/>
  <c r="K12" s="1"/>
  <c r="L12" s="1"/>
  <c r="M12" s="1"/>
  <c r="H13" i="10"/>
  <c r="H16" s="1"/>
  <c r="F20" i="13"/>
  <c r="H8" i="14"/>
  <c r="I11"/>
  <c r="I18" s="1"/>
  <c r="I20" i="10" s="1"/>
  <c r="G43" i="11"/>
  <c r="G20" i="13"/>
  <c r="H20" s="1"/>
  <c r="L11" i="14"/>
  <c r="L18" s="1"/>
  <c r="L20" i="10" s="1"/>
  <c r="L8" i="12" s="1"/>
  <c r="V17" i="20"/>
  <c r="V20"/>
  <c r="J8" i="12"/>
  <c r="M18" i="13"/>
  <c r="G11" i="19"/>
  <c r="G28" i="12"/>
  <c r="G50" s="1"/>
  <c r="L38"/>
  <c r="F19" i="10"/>
  <c r="P31" i="19"/>
  <c r="G33"/>
  <c r="H12"/>
  <c r="H38" i="12"/>
  <c r="K5" i="14"/>
  <c r="D14"/>
  <c r="D27" s="1"/>
  <c r="D36" s="1"/>
  <c r="S20" i="22"/>
  <c r="S19"/>
  <c r="E13" i="23"/>
  <c r="E17" s="1"/>
  <c r="E21" s="1"/>
  <c r="E26" s="1"/>
  <c r="G13"/>
  <c r="G17" s="1"/>
  <c r="G21" s="1"/>
  <c r="M15" i="12"/>
  <c r="J9" i="19"/>
  <c r="Q12" i="22"/>
  <c r="Q13"/>
  <c r="I20"/>
  <c r="I19"/>
  <c r="G10" i="13"/>
  <c r="H10" s="1"/>
  <c r="H22" i="12"/>
  <c r="H12" i="11" s="1"/>
  <c r="I36"/>
  <c r="F12" i="23"/>
  <c r="F16" s="1"/>
  <c r="F20" s="1"/>
  <c r="F25" s="1"/>
  <c r="I12" i="22"/>
  <c r="I13"/>
  <c r="K13"/>
  <c r="K12"/>
  <c r="M19"/>
  <c r="M20"/>
  <c r="F11" i="23"/>
  <c r="F15" s="1"/>
  <c r="F19" s="1"/>
  <c r="F24" s="1"/>
  <c r="O13" i="22"/>
  <c r="G13" i="13"/>
  <c r="M18" i="14"/>
  <c r="K16" i="23"/>
  <c r="L12"/>
  <c r="O20" i="22"/>
  <c r="O19"/>
  <c r="G16" i="10"/>
  <c r="G22" i="13"/>
  <c r="H22" s="1"/>
  <c r="H28" i="11"/>
  <c r="I28" s="1"/>
  <c r="J28" s="1"/>
  <c r="K15" i="12"/>
  <c r="K9" i="19" s="1"/>
  <c r="H9"/>
  <c r="G52" i="10"/>
  <c r="G16" i="13"/>
  <c r="H16" s="1"/>
  <c r="F16"/>
  <c r="K12" i="19"/>
  <c r="K38" i="12"/>
  <c r="E10" i="10"/>
  <c r="E9"/>
  <c r="G18"/>
  <c r="I6"/>
  <c r="I8" s="1"/>
  <c r="K11" i="14"/>
  <c r="K18" s="1"/>
  <c r="F10" i="13"/>
  <c r="M58" i="22"/>
  <c r="N58" s="1"/>
  <c r="I21" i="14"/>
  <c r="E16" i="10"/>
  <c r="F13" i="13"/>
  <c r="F41" i="11"/>
  <c r="F42" s="1"/>
  <c r="H11" i="14"/>
  <c r="H18" s="1"/>
  <c r="F11" i="10" l="1"/>
  <c r="H19" i="13"/>
  <c r="H25" i="12" s="1"/>
  <c r="H26" i="11" s="1"/>
  <c r="F24" i="13"/>
  <c r="G25" s="1"/>
  <c r="I20"/>
  <c r="K28" i="11"/>
  <c r="L28" s="1"/>
  <c r="M28" s="1"/>
  <c r="G24" i="13"/>
  <c r="H18" i="10"/>
  <c r="M13" i="23"/>
  <c r="L17"/>
  <c r="L9"/>
  <c r="L14" i="10" s="1"/>
  <c r="F44" i="11"/>
  <c r="F43"/>
  <c r="H19" i="14"/>
  <c r="H20" i="10"/>
  <c r="I8" i="12"/>
  <c r="L8" i="23"/>
  <c r="L9" i="10" s="1"/>
  <c r="L16" i="23"/>
  <c r="M12"/>
  <c r="I13" i="10"/>
  <c r="I16" s="1"/>
  <c r="I19" i="14"/>
  <c r="I20"/>
  <c r="I21" i="10" s="1"/>
  <c r="I10" i="12" s="1"/>
  <c r="I17" i="11" s="1"/>
  <c r="J21" i="14"/>
  <c r="G22" i="10"/>
  <c r="G19"/>
  <c r="K20"/>
  <c r="E18"/>
  <c r="E11"/>
  <c r="E55" i="22"/>
  <c r="J6" i="10"/>
  <c r="I8" i="14"/>
  <c r="I7" i="13"/>
  <c r="I17"/>
  <c r="I24" i="12" s="1"/>
  <c r="I25" i="11" s="1"/>
  <c r="I10" i="10"/>
  <c r="I11" i="13"/>
  <c r="H21"/>
  <c r="I22"/>
  <c r="G26" i="23"/>
  <c r="H21"/>
  <c r="I21" s="1"/>
  <c r="J21" s="1"/>
  <c r="K21" s="1"/>
  <c r="L21" s="1"/>
  <c r="M21" s="1"/>
  <c r="H15" i="13"/>
  <c r="H23" i="12" s="1"/>
  <c r="H24" i="11" s="1"/>
  <c r="I16" i="13"/>
  <c r="M20" i="10"/>
  <c r="M8" i="12" s="1"/>
  <c r="E12" i="23"/>
  <c r="E16" s="1"/>
  <c r="E20" s="1"/>
  <c r="E25" s="1"/>
  <c r="J36" i="11"/>
  <c r="I10" i="13"/>
  <c r="H9"/>
  <c r="J20"/>
  <c r="D15" i="14"/>
  <c r="D28" s="1"/>
  <c r="D37" s="1"/>
  <c r="L5"/>
  <c r="F23" i="10"/>
  <c r="F30"/>
  <c r="I19" i="13" l="1"/>
  <c r="I25" i="12" s="1"/>
  <c r="I26" i="11" s="1"/>
  <c r="E56" i="22"/>
  <c r="H19" i="10"/>
  <c r="M9" i="23"/>
  <c r="M14" i="10" s="1"/>
  <c r="M17" i="23"/>
  <c r="J8" i="14"/>
  <c r="K6" i="10"/>
  <c r="J19" i="14"/>
  <c r="J8" i="10"/>
  <c r="J10" s="1"/>
  <c r="J11" i="13"/>
  <c r="J7"/>
  <c r="J20" i="12" s="1"/>
  <c r="J17" i="13"/>
  <c r="J24" i="12" s="1"/>
  <c r="J25" i="11" s="1"/>
  <c r="J13" i="10"/>
  <c r="J16" s="1"/>
  <c r="J10" i="13"/>
  <c r="I9"/>
  <c r="I13" s="1"/>
  <c r="I22" i="12"/>
  <c r="I12" i="11" s="1"/>
  <c r="H8" i="12"/>
  <c r="H14" i="11" s="1"/>
  <c r="I14" s="1"/>
  <c r="J14" s="1"/>
  <c r="H8" i="19"/>
  <c r="H22" i="10"/>
  <c r="I8" i="19"/>
  <c r="K20" i="13"/>
  <c r="I18" i="10"/>
  <c r="I11"/>
  <c r="M8" i="23"/>
  <c r="M9" i="10" s="1"/>
  <c r="M16" i="23"/>
  <c r="M5" i="14"/>
  <c r="D17" s="1"/>
  <c r="D30" s="1"/>
  <c r="D39" s="1"/>
  <c r="D16"/>
  <c r="D29" s="1"/>
  <c r="D38" s="1"/>
  <c r="H21" i="12"/>
  <c r="H13" i="13"/>
  <c r="H23"/>
  <c r="H26" i="12"/>
  <c r="H27" i="11" s="1"/>
  <c r="I20" i="12"/>
  <c r="K8"/>
  <c r="J20" i="14"/>
  <c r="J21" i="10" s="1"/>
  <c r="K21" i="14"/>
  <c r="F34" i="10"/>
  <c r="F31"/>
  <c r="F33"/>
  <c r="F36" s="1"/>
  <c r="K36" i="11"/>
  <c r="J16" i="13"/>
  <c r="I15"/>
  <c r="I23" i="12" s="1"/>
  <c r="I24" i="11" s="1"/>
  <c r="J22" i="13"/>
  <c r="I21"/>
  <c r="N55" i="22"/>
  <c r="M55"/>
  <c r="E19" i="10"/>
  <c r="E22"/>
  <c r="G30"/>
  <c r="G7" i="19"/>
  <c r="G23" i="10"/>
  <c r="J19" i="13" l="1"/>
  <c r="J25" i="12" s="1"/>
  <c r="J26" i="11" s="1"/>
  <c r="I21" i="12"/>
  <c r="H24" i="13"/>
  <c r="H25" s="1"/>
  <c r="N56" i="22"/>
  <c r="N57" s="1"/>
  <c r="N59" s="1"/>
  <c r="M56"/>
  <c r="M57" s="1"/>
  <c r="M59" s="1"/>
  <c r="F48" i="10"/>
  <c r="F49" s="1"/>
  <c r="J10" i="12"/>
  <c r="J17" i="11" s="1"/>
  <c r="J8" i="19"/>
  <c r="I9" i="11"/>
  <c r="J9" s="1"/>
  <c r="H7" i="19"/>
  <c r="H23" i="10"/>
  <c r="K10" i="13"/>
  <c r="J9"/>
  <c r="J13" s="1"/>
  <c r="J11" i="10"/>
  <c r="J18"/>
  <c r="H11" i="11"/>
  <c r="H27" i="12"/>
  <c r="I19" i="10"/>
  <c r="I22"/>
  <c r="G34"/>
  <c r="G31"/>
  <c r="G33"/>
  <c r="K22" i="13"/>
  <c r="J21"/>
  <c r="L36" i="11"/>
  <c r="L21" i="14"/>
  <c r="K20"/>
  <c r="K21" i="10" s="1"/>
  <c r="L20" i="13"/>
  <c r="J21" i="12"/>
  <c r="E23" i="10"/>
  <c r="E30"/>
  <c r="K16" i="13"/>
  <c r="J15"/>
  <c r="J23" i="12" s="1"/>
  <c r="J24" i="11" s="1"/>
  <c r="K13" i="10"/>
  <c r="K16" s="1"/>
  <c r="K7" i="13"/>
  <c r="K20" i="12" s="1"/>
  <c r="L6" i="10"/>
  <c r="K8" i="14"/>
  <c r="K17" i="13"/>
  <c r="K24" i="12" s="1"/>
  <c r="K25" i="11" s="1"/>
  <c r="K11" i="13"/>
  <c r="K8" i="10"/>
  <c r="K10" s="1"/>
  <c r="K19" i="14"/>
  <c r="I26" i="12"/>
  <c r="I23" i="13"/>
  <c r="I24" s="1"/>
  <c r="K14" i="11"/>
  <c r="L14" s="1"/>
  <c r="M14" s="1"/>
  <c r="J22" i="12"/>
  <c r="J12" i="11" s="1"/>
  <c r="I11" l="1"/>
  <c r="J11" s="1"/>
  <c r="I27" i="12"/>
  <c r="I25" i="13"/>
  <c r="K11" i="10"/>
  <c r="K18"/>
  <c r="I11" i="19"/>
  <c r="L19" i="14"/>
  <c r="L8"/>
  <c r="M6" i="10"/>
  <c r="L13"/>
  <c r="L16" s="1"/>
  <c r="L17" i="13"/>
  <c r="L24" i="12" s="1"/>
  <c r="L11" i="13"/>
  <c r="L22" i="12" s="1"/>
  <c r="L7" i="13"/>
  <c r="L8" i="10"/>
  <c r="L10" s="1"/>
  <c r="J26" i="12"/>
  <c r="J27" s="1"/>
  <c r="J23" i="13"/>
  <c r="J24" s="1"/>
  <c r="J25" s="1"/>
  <c r="J22" i="10"/>
  <c r="J19"/>
  <c r="K9" i="11"/>
  <c r="I27"/>
  <c r="F56" i="10"/>
  <c r="F55"/>
  <c r="F51"/>
  <c r="M20" i="13"/>
  <c r="M36" i="11"/>
  <c r="G37" i="10"/>
  <c r="H33"/>
  <c r="G38"/>
  <c r="K9" i="13"/>
  <c r="K21" i="12" s="1"/>
  <c r="L10" i="13"/>
  <c r="L25" i="11"/>
  <c r="H26" i="13"/>
  <c r="K15"/>
  <c r="K23" i="12" s="1"/>
  <c r="K24" i="11" s="1"/>
  <c r="L16" i="13"/>
  <c r="K10" i="12"/>
  <c r="K17" i="11" s="1"/>
  <c r="K8" i="19"/>
  <c r="K13" i="13"/>
  <c r="E31" i="10"/>
  <c r="E34"/>
  <c r="E33"/>
  <c r="E36" s="1"/>
  <c r="M21" i="14"/>
  <c r="M20" s="1"/>
  <c r="M21" i="10" s="1"/>
  <c r="M10" i="12" s="1"/>
  <c r="L20" i="14"/>
  <c r="L21" i="10" s="1"/>
  <c r="L22" i="13"/>
  <c r="K21"/>
  <c r="I23" i="10"/>
  <c r="I7" i="19"/>
  <c r="H11"/>
  <c r="L20" i="12"/>
  <c r="K22"/>
  <c r="K12" i="11" s="1"/>
  <c r="K19" i="13"/>
  <c r="K25" i="12" s="1"/>
  <c r="K26" i="11" s="1"/>
  <c r="J27" l="1"/>
  <c r="I26" i="13"/>
  <c r="J26"/>
  <c r="L12" i="11"/>
  <c r="L11" i="10"/>
  <c r="L18"/>
  <c r="K22"/>
  <c r="K19"/>
  <c r="M16" i="13"/>
  <c r="L15"/>
  <c r="L23" i="12" s="1"/>
  <c r="L24" i="11" s="1"/>
  <c r="J7" i="19"/>
  <c r="J23" i="10"/>
  <c r="J11" i="19"/>
  <c r="L9" i="11"/>
  <c r="L19" i="13"/>
  <c r="L25" i="12" s="1"/>
  <c r="L26" i="11" s="1"/>
  <c r="E48" i="10"/>
  <c r="E49" s="1"/>
  <c r="M22" i="13"/>
  <c r="L21"/>
  <c r="L8" i="19"/>
  <c r="L10" i="12"/>
  <c r="L17" i="11" s="1"/>
  <c r="M17" s="1"/>
  <c r="M10" i="13"/>
  <c r="L9"/>
  <c r="L13" s="1"/>
  <c r="G48" i="10"/>
  <c r="G49" s="1"/>
  <c r="K11" i="11"/>
  <c r="K23" i="13"/>
  <c r="K24" s="1"/>
  <c r="K26" i="12"/>
  <c r="N13" i="19"/>
  <c r="H13" s="1"/>
  <c r="H14" s="1"/>
  <c r="H17" s="1"/>
  <c r="I33" i="10"/>
  <c r="J33" s="1"/>
  <c r="K33" s="1"/>
  <c r="L33" s="1"/>
  <c r="M33" s="1"/>
  <c r="M8" i="14"/>
  <c r="M13" i="10"/>
  <c r="M16" s="1"/>
  <c r="M7" i="13"/>
  <c r="M20" i="12" s="1"/>
  <c r="M17" i="13"/>
  <c r="M24" i="12" s="1"/>
  <c r="M25" i="11" s="1"/>
  <c r="M11" i="13"/>
  <c r="M22" i="12" s="1"/>
  <c r="M19" i="14"/>
  <c r="M8" i="10"/>
  <c r="M10" s="1"/>
  <c r="K27" i="11" l="1"/>
  <c r="L21" i="12"/>
  <c r="M12" i="11"/>
  <c r="E55" i="10"/>
  <c r="E56"/>
  <c r="E51"/>
  <c r="M11"/>
  <c r="M18"/>
  <c r="G55"/>
  <c r="G56"/>
  <c r="G51"/>
  <c r="L26" i="12"/>
  <c r="L23" i="13"/>
  <c r="L24" s="1"/>
  <c r="J13" i="19"/>
  <c r="J14" s="1"/>
  <c r="J17" s="1"/>
  <c r="K7"/>
  <c r="K23" i="10"/>
  <c r="L19"/>
  <c r="L22"/>
  <c r="M21" i="13"/>
  <c r="M9" i="11"/>
  <c r="M15" i="13"/>
  <c r="M23" i="12" s="1"/>
  <c r="M24" i="11" s="1"/>
  <c r="I13" i="19"/>
  <c r="I14" s="1"/>
  <c r="I17" s="1"/>
  <c r="M9" i="13"/>
  <c r="M13" s="1"/>
  <c r="M19"/>
  <c r="M25" i="12" s="1"/>
  <c r="M26" i="11" s="1"/>
  <c r="K27" i="12"/>
  <c r="L11" i="11"/>
  <c r="K25" i="13"/>
  <c r="K26" l="1"/>
  <c r="L27" i="11"/>
  <c r="M21" i="12"/>
  <c r="M11" i="11" s="1"/>
  <c r="L27" i="12"/>
  <c r="L11" i="19" s="1"/>
  <c r="M26" i="12"/>
  <c r="M23" i="13"/>
  <c r="M24" s="1"/>
  <c r="M25" s="1"/>
  <c r="L23" i="10"/>
  <c r="L7" i="19"/>
  <c r="K13"/>
  <c r="M22" i="10"/>
  <c r="M19"/>
  <c r="K11" i="19"/>
  <c r="L25" i="13"/>
  <c r="K14" i="19" l="1"/>
  <c r="K17" s="1"/>
  <c r="L26" i="13"/>
  <c r="M27" i="12"/>
  <c r="M26" i="13" s="1"/>
  <c r="G21" i="19"/>
  <c r="G23" s="1"/>
  <c r="G24" s="1"/>
  <c r="L13"/>
  <c r="L14" s="1"/>
  <c r="M27" i="11"/>
  <c r="M23" i="10"/>
  <c r="L17" i="19" l="1"/>
  <c r="H18" s="1"/>
  <c r="G31" s="1"/>
  <c r="G26"/>
  <c r="G28" s="1"/>
  <c r="G29" s="1"/>
  <c r="G32" l="1"/>
  <c r="H8" i="11" l="1"/>
  <c r="I8"/>
  <c r="J8"/>
  <c r="K8"/>
  <c r="L8"/>
  <c r="M8"/>
  <c r="H13"/>
  <c r="I13"/>
  <c r="J13"/>
  <c r="K13"/>
  <c r="L13"/>
  <c r="M13"/>
  <c r="H20"/>
  <c r="I20"/>
  <c r="J20"/>
  <c r="K20"/>
  <c r="L20"/>
  <c r="M20"/>
  <c r="H23"/>
  <c r="I23"/>
  <c r="J23"/>
  <c r="K23"/>
  <c r="L23"/>
  <c r="M23"/>
  <c r="H30"/>
  <c r="I30"/>
  <c r="J30"/>
  <c r="K30"/>
  <c r="L30"/>
  <c r="M30"/>
  <c r="H31"/>
  <c r="I31"/>
  <c r="J31"/>
  <c r="K31"/>
  <c r="L31"/>
  <c r="M31"/>
  <c r="H33"/>
  <c r="I33"/>
  <c r="J33"/>
  <c r="K33"/>
  <c r="L33"/>
  <c r="M33"/>
  <c r="H40"/>
  <c r="I40"/>
  <c r="J40"/>
  <c r="K40"/>
  <c r="L40"/>
  <c r="M40"/>
  <c r="H41"/>
  <c r="I41"/>
  <c r="J41"/>
  <c r="K41"/>
  <c r="L41"/>
  <c r="M41"/>
  <c r="H42"/>
  <c r="I42"/>
  <c r="J42"/>
  <c r="K42"/>
  <c r="L42"/>
  <c r="M42"/>
  <c r="H43"/>
  <c r="I43"/>
  <c r="J43"/>
  <c r="K43"/>
  <c r="L43"/>
  <c r="M43"/>
  <c r="H44"/>
  <c r="I44"/>
  <c r="J44"/>
  <c r="K44"/>
  <c r="L44"/>
  <c r="M44"/>
  <c r="H7" i="12"/>
  <c r="I7"/>
  <c r="J7"/>
  <c r="K7"/>
  <c r="L7"/>
  <c r="M7"/>
  <c r="H28"/>
  <c r="I28"/>
  <c r="J28"/>
  <c r="K28"/>
  <c r="L28"/>
  <c r="M28"/>
  <c r="H40"/>
  <c r="I40"/>
  <c r="J40"/>
  <c r="K40"/>
  <c r="L40"/>
  <c r="M40"/>
  <c r="H41"/>
  <c r="I41"/>
  <c r="J41"/>
  <c r="K41"/>
  <c r="L41"/>
  <c r="M41"/>
  <c r="H45"/>
  <c r="I45"/>
  <c r="J45"/>
  <c r="K45"/>
  <c r="L45"/>
  <c r="M45"/>
  <c r="H48"/>
  <c r="I48"/>
  <c r="J48"/>
  <c r="K48"/>
  <c r="L48"/>
  <c r="M48"/>
  <c r="H50"/>
  <c r="I50"/>
  <c r="J50"/>
  <c r="K50"/>
  <c r="L50"/>
  <c r="M50"/>
  <c r="H52"/>
  <c r="I52"/>
  <c r="J52"/>
  <c r="K52"/>
  <c r="L52"/>
  <c r="M52"/>
  <c r="F22" i="22"/>
  <c r="G22"/>
  <c r="I22"/>
  <c r="K22"/>
  <c r="M22"/>
  <c r="O22"/>
  <c r="F32"/>
  <c r="F33"/>
  <c r="F34"/>
  <c r="F43"/>
  <c r="F48"/>
  <c r="F49"/>
  <c r="M60"/>
  <c r="N60"/>
  <c r="M61"/>
  <c r="N61"/>
  <c r="P23" i="19"/>
  <c r="P24"/>
  <c r="M28"/>
  <c r="P28"/>
  <c r="P30"/>
  <c r="Q30"/>
  <c r="Q31"/>
  <c r="P32"/>
  <c r="G34"/>
  <c r="G35"/>
  <c r="G36"/>
  <c r="D39"/>
  <c r="D45"/>
  <c r="I7" i="21"/>
  <c r="J7"/>
  <c r="K7"/>
  <c r="L7"/>
  <c r="M7"/>
  <c r="H8"/>
  <c r="I8"/>
  <c r="J8"/>
  <c r="K8"/>
  <c r="L8"/>
  <c r="M8"/>
  <c r="H10"/>
  <c r="I10"/>
  <c r="J10"/>
  <c r="K10"/>
  <c r="L10"/>
  <c r="M10"/>
  <c r="I12"/>
  <c r="J12"/>
  <c r="K12"/>
  <c r="L12"/>
  <c r="M12"/>
  <c r="H14"/>
  <c r="I14"/>
  <c r="J14"/>
  <c r="K14"/>
  <c r="L14"/>
  <c r="M14"/>
  <c r="H15"/>
  <c r="I15"/>
  <c r="J15"/>
  <c r="K15"/>
  <c r="L15"/>
  <c r="M15"/>
  <c r="H16"/>
  <c r="I16"/>
  <c r="J16"/>
  <c r="K16"/>
  <c r="L16"/>
  <c r="M16"/>
  <c r="I19"/>
  <c r="J19"/>
  <c r="K19"/>
  <c r="L19"/>
  <c r="M19"/>
  <c r="H21"/>
  <c r="I21"/>
  <c r="J21"/>
  <c r="K21"/>
  <c r="L21"/>
  <c r="M21"/>
  <c r="H22"/>
  <c r="I22"/>
  <c r="J22"/>
  <c r="K22"/>
  <c r="L22"/>
  <c r="M22"/>
  <c r="H23"/>
  <c r="I23"/>
  <c r="J23"/>
  <c r="K23"/>
  <c r="L23"/>
  <c r="M23"/>
  <c r="H25"/>
  <c r="I25"/>
  <c r="J25"/>
  <c r="K25"/>
  <c r="L25"/>
  <c r="M25"/>
  <c r="H26"/>
  <c r="I26"/>
  <c r="J26"/>
  <c r="K26"/>
  <c r="L26"/>
  <c r="M26"/>
  <c r="H27"/>
  <c r="I27"/>
  <c r="J27"/>
  <c r="K27"/>
  <c r="L27"/>
  <c r="M27"/>
  <c r="H28"/>
  <c r="I28"/>
  <c r="J28"/>
  <c r="K28"/>
  <c r="L28"/>
  <c r="M28"/>
  <c r="H30"/>
  <c r="I30"/>
  <c r="J30"/>
  <c r="K30"/>
  <c r="L30"/>
  <c r="M30"/>
  <c r="H6" i="20"/>
  <c r="J6"/>
  <c r="U19"/>
  <c r="V19"/>
  <c r="W19"/>
  <c r="H26" i="10"/>
  <c r="I26"/>
  <c r="J26"/>
  <c r="K26"/>
  <c r="L26"/>
  <c r="M26"/>
  <c r="H27"/>
  <c r="I27"/>
  <c r="J27"/>
  <c r="K27"/>
  <c r="L27"/>
  <c r="M27"/>
  <c r="H29"/>
  <c r="I29"/>
  <c r="J29"/>
  <c r="K29"/>
  <c r="L29"/>
  <c r="M29"/>
  <c r="H30"/>
  <c r="I30"/>
  <c r="J30"/>
  <c r="K30"/>
  <c r="L30"/>
  <c r="M30"/>
  <c r="H31"/>
  <c r="I31"/>
  <c r="J31"/>
  <c r="K31"/>
  <c r="L31"/>
  <c r="M31"/>
  <c r="H32"/>
  <c r="I32"/>
  <c r="J32"/>
  <c r="K32"/>
  <c r="L32"/>
  <c r="M32"/>
  <c r="H34"/>
  <c r="I34"/>
  <c r="J34"/>
  <c r="K34"/>
  <c r="L34"/>
  <c r="M34"/>
  <c r="H49"/>
  <c r="I49"/>
  <c r="J49"/>
  <c r="K49"/>
  <c r="L49"/>
  <c r="M49"/>
  <c r="H50"/>
  <c r="I50"/>
  <c r="J50"/>
  <c r="K50"/>
  <c r="L50"/>
  <c r="M50"/>
  <c r="H52"/>
  <c r="I52"/>
  <c r="J52"/>
  <c r="K52"/>
  <c r="L52"/>
  <c r="M52"/>
  <c r="H55"/>
  <c r="I55"/>
  <c r="J55"/>
  <c r="K55"/>
  <c r="L55"/>
  <c r="M55"/>
  <c r="H56"/>
  <c r="I56"/>
  <c r="J56"/>
  <c r="K56"/>
  <c r="L56"/>
  <c r="M56"/>
</calcChain>
</file>

<file path=xl/comments1.xml><?xml version="1.0" encoding="utf-8"?>
<comments xmlns="http://schemas.openxmlformats.org/spreadsheetml/2006/main">
  <authors>
    <author>Speculator</author>
  </authors>
  <commentList>
    <comment ref="F8" authorId="0">
      <text>
        <r>
          <rPr>
            <b/>
            <sz val="8"/>
            <color indexed="81"/>
            <rFont val="Tahoma"/>
          </rPr>
          <t>Speculator:</t>
        </r>
        <r>
          <rPr>
            <sz val="8"/>
            <color indexed="81"/>
            <rFont val="Tahoma"/>
          </rPr>
          <t xml:space="preserve">
$9restructuring charges and other</t>
        </r>
      </text>
    </comment>
    <comment ref="G8" authorId="0">
      <text>
        <r>
          <rPr>
            <b/>
            <sz val="8"/>
            <color indexed="81"/>
            <rFont val="Tahoma"/>
          </rPr>
          <t>Speculator:</t>
        </r>
        <r>
          <rPr>
            <sz val="8"/>
            <color indexed="81"/>
            <rFont val="Tahoma"/>
          </rPr>
          <t xml:space="preserve">
$19restructuring charges and other</t>
        </r>
      </text>
    </comment>
    <comment ref="E13" authorId="0">
      <text>
        <r>
          <rPr>
            <b/>
            <sz val="8"/>
            <color indexed="81"/>
            <rFont val="Tahoma"/>
          </rPr>
          <t>Speculator:</t>
        </r>
        <r>
          <rPr>
            <sz val="8"/>
            <color indexed="81"/>
            <rFont val="Tahoma"/>
          </rPr>
          <t xml:space="preserve">
adjusted for 137 per company's non-gaap adjust financials</t>
        </r>
      </text>
    </comment>
    <comment ref="F13" authorId="0">
      <text>
        <r>
          <rPr>
            <b/>
            <sz val="8"/>
            <color indexed="81"/>
            <rFont val="Tahoma"/>
          </rPr>
          <t>Speculator:</t>
        </r>
        <r>
          <rPr>
            <sz val="8"/>
            <color indexed="81"/>
            <rFont val="Tahoma"/>
          </rPr>
          <t xml:space="preserve">
adjusted for 46 Europe transaction cost and per company's non-gaap financials</t>
        </r>
      </text>
    </comment>
    <comment ref="G13" authorId="0">
      <text>
        <r>
          <rPr>
            <b/>
            <sz val="8"/>
            <color indexed="81"/>
            <rFont val="Tahoma"/>
          </rPr>
          <t>Speculator:</t>
        </r>
        <r>
          <rPr>
            <sz val="8"/>
            <color indexed="81"/>
            <rFont val="Tahoma"/>
          </rPr>
          <t xml:space="preserve">
adjusted for 46 Europe transaction cost and per company's non-gaap financials</t>
        </r>
      </text>
    </comment>
    <comment ref="E32" authorId="0">
      <text>
        <r>
          <rPr>
            <b/>
            <sz val="8"/>
            <color indexed="81"/>
            <rFont val="Tahoma"/>
          </rPr>
          <t>Speculator:</t>
        </r>
        <r>
          <rPr>
            <sz val="8"/>
            <color indexed="81"/>
            <rFont val="Tahoma"/>
          </rPr>
          <t xml:space="preserve">
adjusted for $1m in equity loss of affiliates</t>
        </r>
      </text>
    </comment>
    <comment ref="F32" authorId="0">
      <text>
        <r>
          <rPr>
            <b/>
            <sz val="8"/>
            <color indexed="81"/>
            <rFont val="Tahoma"/>
          </rPr>
          <t>Speculator:</t>
        </r>
        <r>
          <rPr>
            <sz val="8"/>
            <color indexed="81"/>
            <rFont val="Tahoma"/>
          </rPr>
          <t xml:space="preserve">
adjusted for $2m in equity loss of affiliates</t>
        </r>
      </text>
    </comment>
    <comment ref="G32" authorId="0">
      <text>
        <r>
          <rPr>
            <b/>
            <sz val="8"/>
            <color indexed="81"/>
            <rFont val="Tahoma"/>
          </rPr>
          <t>Speculator:</t>
        </r>
        <r>
          <rPr>
            <sz val="8"/>
            <color indexed="81"/>
            <rFont val="Tahoma"/>
          </rPr>
          <t xml:space="preserve">
adjusted for $4m in equity loss of affiliates</t>
        </r>
      </text>
    </comment>
  </commentList>
</comments>
</file>

<file path=xl/comments2.xml><?xml version="1.0" encoding="utf-8"?>
<comments xmlns="http://schemas.openxmlformats.org/spreadsheetml/2006/main">
  <authors>
    <author>obed cepeda</author>
  </authors>
  <commentList>
    <comment ref="G17" authorId="0">
      <text>
        <r>
          <rPr>
            <b/>
            <sz val="8"/>
            <color indexed="81"/>
            <rFont val="Tahoma"/>
            <family val="2"/>
          </rPr>
          <t>Analyst Exchange:</t>
        </r>
        <r>
          <rPr>
            <sz val="8"/>
            <color indexed="81"/>
            <rFont val="Tahoma"/>
            <family val="2"/>
          </rPr>
          <t xml:space="preserve">
Will be the Cost of Equity and/or Cost of Debt; most commonly calculated by Weighted Average Coast of Capital (WACC).</t>
        </r>
      </text>
    </comment>
    <comment ref="H17" authorId="0">
      <text>
        <r>
          <rPr>
            <b/>
            <sz val="8"/>
            <color indexed="81"/>
            <rFont val="Tahoma"/>
            <family val="2"/>
          </rPr>
          <t>Analyst Exchange:</t>
        </r>
        <r>
          <rPr>
            <sz val="8"/>
            <color indexed="81"/>
            <rFont val="Tahoma"/>
            <family val="2"/>
          </rPr>
          <t xml:space="preserve">
Net Present Value = N/(1+Discount Rate)^Time. Where N is the Cash Flow </t>
        </r>
      </text>
    </comment>
    <comment ref="I17" authorId="0">
      <text>
        <r>
          <rPr>
            <b/>
            <sz val="8"/>
            <color indexed="81"/>
            <rFont val="Tahoma"/>
            <family val="2"/>
          </rPr>
          <t>Analyst Exchange:</t>
        </r>
        <r>
          <rPr>
            <sz val="8"/>
            <color indexed="81"/>
            <rFont val="Tahoma"/>
            <family val="2"/>
          </rPr>
          <t xml:space="preserve">
Net Present Value = N/(1+Discount Rate)^Time. Where N is the Cash Flow </t>
        </r>
      </text>
    </comment>
    <comment ref="J17" authorId="0">
      <text>
        <r>
          <rPr>
            <b/>
            <sz val="8"/>
            <color indexed="81"/>
            <rFont val="Tahoma"/>
            <family val="2"/>
          </rPr>
          <t>Analyst Exchange:</t>
        </r>
        <r>
          <rPr>
            <sz val="8"/>
            <color indexed="81"/>
            <rFont val="Tahoma"/>
            <family val="2"/>
          </rPr>
          <t xml:space="preserve">
Net Present Value = N/(1+Discount Rate)^Time. Where N is the Cash Flow </t>
        </r>
      </text>
    </comment>
    <comment ref="K17" authorId="0">
      <text>
        <r>
          <rPr>
            <b/>
            <sz val="8"/>
            <color indexed="81"/>
            <rFont val="Tahoma"/>
            <family val="2"/>
          </rPr>
          <t>Analyst Exchange:</t>
        </r>
        <r>
          <rPr>
            <sz val="8"/>
            <color indexed="81"/>
            <rFont val="Tahoma"/>
            <family val="2"/>
          </rPr>
          <t xml:space="preserve">
Net Present Value = N/(1+Discount Rate)^Time. Where N is the Cash Flow </t>
        </r>
      </text>
    </comment>
    <comment ref="L17" authorId="0">
      <text>
        <r>
          <rPr>
            <b/>
            <sz val="8"/>
            <color indexed="81"/>
            <rFont val="Tahoma"/>
            <family val="2"/>
          </rPr>
          <t>Analyst Exchange:</t>
        </r>
        <r>
          <rPr>
            <sz val="8"/>
            <color indexed="81"/>
            <rFont val="Tahoma"/>
            <family val="2"/>
          </rPr>
          <t xml:space="preserve">
Net Present Value = N/(1+Discount Rate)^Time. Where N is the Cash Flow </t>
        </r>
      </text>
    </comment>
    <comment ref="H18" authorId="0">
      <text>
        <r>
          <rPr>
            <b/>
            <sz val="8"/>
            <color indexed="81"/>
            <rFont val="Tahoma"/>
            <family val="2"/>
          </rPr>
          <t>Analyst Exchange:</t>
        </r>
        <r>
          <rPr>
            <sz val="8"/>
            <color indexed="81"/>
            <rFont val="Tahoma"/>
            <family val="2"/>
          </rPr>
          <t xml:space="preserve">
Sum of all Discounted Value (Discounted NPV's) from 2009 to 2015 (last year or terminal year) on model. The second part of this analysis is to value the company beyond 2015 the last or terminal year on our model using either the Perpetuity Method or EBITDA Method.</t>
        </r>
      </text>
    </comment>
    <comment ref="M21" authorId="0">
      <text>
        <r>
          <rPr>
            <b/>
            <sz val="8"/>
            <color indexed="81"/>
            <rFont val="Tahoma"/>
            <family val="2"/>
          </rPr>
          <t>Analyst Exchange:</t>
        </r>
        <r>
          <rPr>
            <sz val="8"/>
            <color indexed="81"/>
            <rFont val="Tahoma"/>
            <family val="2"/>
          </rPr>
          <t xml:space="preserve">
You can use the 10-year or 30-year US Treasury Note. Wherever you would have parked your cash at essentially zero risk (The RISK Free Rate).</t>
        </r>
      </text>
    </comment>
    <comment ref="G22" authorId="0">
      <text>
        <r>
          <rPr>
            <b/>
            <sz val="8"/>
            <color indexed="81"/>
            <rFont val="Tahoma"/>
            <family val="2"/>
          </rPr>
          <t xml:space="preserve">Anex:
</t>
        </r>
        <r>
          <rPr>
            <sz val="8"/>
            <color indexed="81"/>
            <rFont val="Tahoma"/>
            <family val="2"/>
          </rPr>
          <t>Average of comparable companies EV/EBITDA Valuation Multiples (Hotel Sector Average).</t>
        </r>
        <r>
          <rPr>
            <sz val="8"/>
            <color indexed="81"/>
            <rFont val="Tahoma"/>
            <family val="2"/>
          </rPr>
          <t xml:space="preserve">
</t>
        </r>
      </text>
    </comment>
    <comment ref="M22" authorId="0">
      <text>
        <r>
          <rPr>
            <b/>
            <sz val="8"/>
            <color indexed="81"/>
            <rFont val="Tahoma"/>
            <family val="2"/>
          </rPr>
          <t>Analyst Exchange:</t>
        </r>
        <r>
          <rPr>
            <sz val="8"/>
            <color indexed="81"/>
            <rFont val="Tahoma"/>
            <family val="2"/>
          </rPr>
          <t xml:space="preserve">
You can use the 10-year or 30-year US Treasury Note. Wherever you would have parked your cash at essentially zero risk (The RISK Free Rate).</t>
        </r>
      </text>
    </comment>
    <comment ref="M23" authorId="0">
      <text>
        <r>
          <rPr>
            <b/>
            <sz val="8"/>
            <color indexed="81"/>
            <rFont val="Tahoma"/>
            <family val="2"/>
          </rPr>
          <t>Analyst Exchange:</t>
        </r>
        <r>
          <rPr>
            <sz val="8"/>
            <color indexed="81"/>
            <rFont val="Tahoma"/>
            <family val="2"/>
          </rPr>
          <t xml:space="preserve">
An asset with a beta of 0 means that its price is not at all correlated with the market; that asset is independent. A positive beta means that the asset generally follows the market. A negative beta shows that the asset inversely follows the market; the asset generally decreases in value if the market goes up.</t>
        </r>
      </text>
    </comment>
    <comment ref="M24" authorId="0">
      <text>
        <r>
          <rPr>
            <b/>
            <sz val="8"/>
            <color indexed="81"/>
            <rFont val="Tahoma"/>
            <family val="2"/>
          </rPr>
          <t>Analyst Exchange:</t>
        </r>
        <r>
          <rPr>
            <sz val="8"/>
            <color indexed="81"/>
            <rFont val="Tahoma"/>
            <family val="2"/>
          </rPr>
          <t xml:space="preserve">
</t>
        </r>
        <r>
          <rPr>
            <u/>
            <sz val="8"/>
            <color indexed="81"/>
            <rFont val="Tahoma"/>
            <family val="2"/>
          </rPr>
          <t>Capital Asset Pricing Model (</t>
        </r>
        <r>
          <rPr>
            <b/>
            <u/>
            <sz val="8"/>
            <color indexed="81"/>
            <rFont val="Tahoma"/>
            <family val="2"/>
          </rPr>
          <t>CAPM</t>
        </r>
        <r>
          <rPr>
            <u/>
            <sz val="8"/>
            <color indexed="81"/>
            <rFont val="Tahoma"/>
            <family val="2"/>
          </rPr>
          <t>): The Discount Rate Revisited</t>
        </r>
        <r>
          <rPr>
            <sz val="8"/>
            <color indexed="81"/>
            <rFont val="Tahoma"/>
            <family val="2"/>
          </rPr>
          <t xml:space="preserve">
• The Capital Asset Pricing Model: Classifies risk into two parts: systematic risk and unsystematic risk. Systematic risk is unavoidable. Unsystematic risk is that portion of risk that can be diversified away, and thus will not be paid for by investors.
• The </t>
        </r>
        <r>
          <rPr>
            <b/>
            <sz val="8"/>
            <color indexed="81"/>
            <rFont val="Tahoma"/>
            <family val="2"/>
          </rPr>
          <t>CAPM</t>
        </r>
        <r>
          <rPr>
            <sz val="8"/>
            <color indexed="81"/>
            <rFont val="Tahoma"/>
            <family val="2"/>
          </rPr>
          <t xml:space="preserve"> concludes that the assumption of systematic risk is rewarded with a risk premium, which is an expected return above and beyond the risk free rate of return. The size of the risk premium is linearly proportional to the amount of risk taken. Therefore, the CAPM defines the cost of equity as equaling the risk-free rate plus an amount of systematic risk an investor assumes.
• </t>
        </r>
        <r>
          <rPr>
            <b/>
            <sz val="8"/>
            <color indexed="81"/>
            <rFont val="Tahoma"/>
            <family val="2"/>
          </rPr>
          <t>The CAPM formula</t>
        </r>
        <r>
          <rPr>
            <sz val="8"/>
            <color indexed="81"/>
            <rFont val="Tahoma"/>
            <family val="2"/>
          </rPr>
          <t xml:space="preserve">: The Cost of Equity = Risk-free rate + (Beta(ß) * Market Risk Premium) 
</t>
        </r>
      </text>
    </comment>
    <comment ref="M26" authorId="0">
      <text>
        <r>
          <rPr>
            <b/>
            <sz val="8"/>
            <color indexed="81"/>
            <rFont val="Tahoma"/>
            <family val="2"/>
          </rPr>
          <t>Analyst Exchange:</t>
        </r>
        <r>
          <rPr>
            <sz val="8"/>
            <color indexed="81"/>
            <rFont val="Tahoma"/>
            <family val="2"/>
          </rPr>
          <t xml:space="preserve">
You can use the 10-year or 30-year US Treasury Note. Wherever you would have parked your cash at essentially zero risk (The RISK Free Rate).</t>
        </r>
      </text>
    </comment>
    <comment ref="G28" authorId="0">
      <text>
        <r>
          <rPr>
            <b/>
            <sz val="8"/>
            <color indexed="81"/>
            <rFont val="Tahoma"/>
            <family val="2"/>
          </rPr>
          <t>Perpetuity Formula</t>
        </r>
        <r>
          <rPr>
            <sz val="8"/>
            <color indexed="81"/>
            <rFont val="Tahoma"/>
            <family val="2"/>
          </rPr>
          <t xml:space="preserve"> = Unlevered Free Cash *(1+Growth Rate)/(Discount Rate minus Growth Rate)</t>
        </r>
      </text>
    </comment>
    <comment ref="M28" authorId="0">
      <text>
        <r>
          <rPr>
            <b/>
            <sz val="8"/>
            <color indexed="81"/>
            <rFont val="Tahoma"/>
            <family val="2"/>
          </rPr>
          <t>Analyst Exchange:</t>
        </r>
        <r>
          <rPr>
            <sz val="8"/>
            <color indexed="81"/>
            <rFont val="Tahoma"/>
            <family val="2"/>
          </rPr>
          <t xml:space="preserve">
Ex. Cost of Equity * Market value of common equity / (Market value of common equity + Market value of debt + Market value of preferred equity).</t>
        </r>
      </text>
    </comment>
  </commentList>
</comments>
</file>

<file path=xl/comments3.xml><?xml version="1.0" encoding="utf-8"?>
<comments xmlns="http://schemas.openxmlformats.org/spreadsheetml/2006/main">
  <authors>
    <author>obed cepeda</author>
  </authors>
  <commentList>
    <comment ref="G5" authorId="0">
      <text>
        <r>
          <rPr>
            <b/>
            <sz val="8"/>
            <color indexed="81"/>
            <rFont val="Tahoma"/>
            <family val="2"/>
          </rPr>
          <t>Analyst Exchange:</t>
        </r>
        <r>
          <rPr>
            <sz val="8"/>
            <color indexed="81"/>
            <rFont val="Tahoma"/>
            <family val="2"/>
          </rPr>
          <t xml:space="preserve">
Enterprise Value = Market Capitalization (Value) plus the companies NET Debt (Bank Debt minus Cash)</t>
        </r>
      </text>
    </comment>
  </commentList>
</comments>
</file>

<file path=xl/sharedStrings.xml><?xml version="1.0" encoding="utf-8"?>
<sst xmlns="http://schemas.openxmlformats.org/spreadsheetml/2006/main" count="429" uniqueCount="316">
  <si>
    <t>Other</t>
  </si>
  <si>
    <t>EBIT</t>
  </si>
  <si>
    <t>EBITDA</t>
  </si>
  <si>
    <t>Depreciation</t>
  </si>
  <si>
    <t>Assets</t>
  </si>
  <si>
    <t>Goodwill</t>
  </si>
  <si>
    <t>Liabilities</t>
  </si>
  <si>
    <t>Balance? (Y/N)</t>
  </si>
  <si>
    <t>Debt Schedule</t>
  </si>
  <si>
    <t>Existing PP&amp;E</t>
  </si>
  <si>
    <t>Total</t>
  </si>
  <si>
    <t>Net Debt</t>
  </si>
  <si>
    <t>Multiple</t>
  </si>
  <si>
    <t>Equity in earnings of unconsolidated affiliates</t>
  </si>
  <si>
    <t>Match? (Y/N)</t>
  </si>
  <si>
    <t>(in US$ thousands except shares &amp; per share amounts)</t>
  </si>
  <si>
    <t>Tax rate</t>
  </si>
  <si>
    <t>Interest income</t>
  </si>
  <si>
    <t>Enterprise value</t>
  </si>
  <si>
    <t>Period Ending December 31</t>
  </si>
  <si>
    <t>Estimates</t>
  </si>
  <si>
    <t>(in US$ thousands)</t>
  </si>
  <si>
    <t>Consolidated Income Statements</t>
  </si>
  <si>
    <t>Actuals</t>
  </si>
  <si>
    <t>Revenue</t>
  </si>
  <si>
    <t>Y/Y revenue growth (%)</t>
  </si>
  <si>
    <t>Cost of goods sold</t>
  </si>
  <si>
    <t>COGS as a % of revenue</t>
  </si>
  <si>
    <t>Gross profit</t>
  </si>
  <si>
    <t>Gross profit margin (%)</t>
  </si>
  <si>
    <t>Operating expenses</t>
  </si>
  <si>
    <t>Selling, general and administrative</t>
  </si>
  <si>
    <t>SG&amp;A as a % of revenue</t>
  </si>
  <si>
    <t>Total operating expenses</t>
  </si>
  <si>
    <t>EBITDA margin (%)</t>
  </si>
  <si>
    <t>Depreciation and amortization</t>
  </si>
  <si>
    <t>EBIT margin (%)</t>
  </si>
  <si>
    <t>Interest</t>
  </si>
  <si>
    <t>Net interest expense</t>
  </si>
  <si>
    <t>Income before tax (IBT)</t>
  </si>
  <si>
    <t>IBT margin (%)</t>
  </si>
  <si>
    <t>Income tax expense</t>
  </si>
  <si>
    <t>All-in effective tax rate (%)</t>
  </si>
  <si>
    <t>Net income from continuing ops</t>
  </si>
  <si>
    <t>Non-recurring events</t>
  </si>
  <si>
    <t>Discontinued operations</t>
  </si>
  <si>
    <t>Total non-recurring events</t>
  </si>
  <si>
    <t>Net income</t>
  </si>
  <si>
    <t>Consolidated Statements of Cash Flows</t>
  </si>
  <si>
    <t>Cash flows from operating activities</t>
  </si>
  <si>
    <t>Changes in operating operating working capital</t>
  </si>
  <si>
    <t>Changes in other current assets</t>
  </si>
  <si>
    <t>Changes in accounts payable</t>
  </si>
  <si>
    <t>Net changes in working capital</t>
  </si>
  <si>
    <t>Total cash provided by (used for) operating activities</t>
  </si>
  <si>
    <t>Cash flows from investing activities</t>
  </si>
  <si>
    <t>CAPEX [Purchase of property, leasehold improvements &amp; equipment]</t>
  </si>
  <si>
    <t>Proceeds from sale of property, leasehold improvements &amp; equipment</t>
  </si>
  <si>
    <t>Business acquisitions net of cash acquired [&amp; net of intangibles/other]</t>
  </si>
  <si>
    <t>Proceeds from sale of businesses [spin-offs]</t>
  </si>
  <si>
    <t>Total cash provided by (used for) investing activities</t>
  </si>
  <si>
    <t>Cash flows from financing activities</t>
  </si>
  <si>
    <t>Short-term borrowings (repayments)</t>
  </si>
  <si>
    <t>Long-term borrowings (repayments)</t>
  </si>
  <si>
    <t>Repurchase of common stock [treasury stock]</t>
  </si>
  <si>
    <t>Total cash provided by (used for) financing activities</t>
  </si>
  <si>
    <t>Total change in cash and cash equivalents</t>
  </si>
  <si>
    <t>SUPPLEMENTAL DATA:</t>
  </si>
  <si>
    <t>Cash flow before debt paydown</t>
  </si>
  <si>
    <t>Current assets:</t>
  </si>
  <si>
    <t>Cash and cash equivalents</t>
  </si>
  <si>
    <t>Other current assets</t>
  </si>
  <si>
    <t>Total current assets</t>
  </si>
  <si>
    <t>Property, plant and equipment, net</t>
  </si>
  <si>
    <t>Acquired identifiable amortizable intangible assets, net of accum. amort.</t>
  </si>
  <si>
    <t>Other long-term assets</t>
  </si>
  <si>
    <t>Total assets</t>
  </si>
  <si>
    <t>Current liabilities:</t>
  </si>
  <si>
    <t>Accounts payable</t>
  </si>
  <si>
    <t>Other current liabilities</t>
  </si>
  <si>
    <t>Total current liabilities</t>
  </si>
  <si>
    <t>Long-term debt</t>
  </si>
  <si>
    <t>Other long-term liabilities</t>
  </si>
  <si>
    <t>Total liabilities</t>
  </si>
  <si>
    <t xml:space="preserve">Stockholders' equity </t>
  </si>
  <si>
    <t>Less stock repurchased [treasury stock]</t>
  </si>
  <si>
    <t>Accumulated other comprehensive income (loss)</t>
  </si>
  <si>
    <t>Retained earnings</t>
  </si>
  <si>
    <t>Total stockholder equity</t>
  </si>
  <si>
    <t>Total liabilities &amp; stockholders' equity</t>
  </si>
  <si>
    <t>Consolidated Balance Sheets</t>
  </si>
  <si>
    <t>Straight line depreciation</t>
  </si>
  <si>
    <t>Total book depreciation</t>
  </si>
  <si>
    <t>Operating Working Capital Schedule (OWC)</t>
  </si>
  <si>
    <t>Current assets</t>
  </si>
  <si>
    <t>Inventory turnover days</t>
  </si>
  <si>
    <t>Current liabilities</t>
  </si>
  <si>
    <t>Total operating working capital</t>
  </si>
  <si>
    <t>Change in total operating working capital</t>
  </si>
  <si>
    <t>Cash available to pay down debt</t>
  </si>
  <si>
    <t>Cash at beginning of year</t>
  </si>
  <si>
    <t>Minimum cash cushion</t>
  </si>
  <si>
    <t>Total cash available to pay down debt</t>
  </si>
  <si>
    <t>Short term debt (beginning of year)</t>
  </si>
  <si>
    <t xml:space="preserve">Mandatory issuances / (retirements) </t>
  </si>
  <si>
    <t>Non-mandatory issuances / (retirements)</t>
  </si>
  <si>
    <t>Short term debt (end of year)</t>
  </si>
  <si>
    <t>Short term interest expense</t>
  </si>
  <si>
    <t>Short term interest rate</t>
  </si>
  <si>
    <t>Long term debt</t>
  </si>
  <si>
    <t>Total issuances / (retirements)</t>
  </si>
  <si>
    <t>Total interest expense</t>
  </si>
  <si>
    <t>Cash at the end of the year</t>
  </si>
  <si>
    <t>Interest rate</t>
  </si>
  <si>
    <t>Revolver</t>
  </si>
  <si>
    <t>2013E EBITDA</t>
  </si>
  <si>
    <t>Spread</t>
  </si>
  <si>
    <t>Interest expense</t>
  </si>
  <si>
    <t>Basic</t>
  </si>
  <si>
    <t>Diluted</t>
  </si>
  <si>
    <t xml:space="preserve">Average common shares outstanding </t>
  </si>
  <si>
    <t>Restructuring</t>
  </si>
  <si>
    <t>Operating income (GAAP)</t>
  </si>
  <si>
    <t xml:space="preserve">Adjusted EBIT </t>
  </si>
  <si>
    <t>Restructuring charges - COGS</t>
  </si>
  <si>
    <t>Restructuring charges</t>
  </si>
  <si>
    <t>Best Buy Europe transaction costs - SG&amp;A</t>
  </si>
  <si>
    <t>Goodwill impairment</t>
  </si>
  <si>
    <t>Gain on sale of investments</t>
  </si>
  <si>
    <t>Restructuring charges – NCI</t>
  </si>
  <si>
    <t>Best Buy Europe transaction costs - NCI</t>
  </si>
  <si>
    <t>BBYM profit share buyout - NCI</t>
  </si>
  <si>
    <t>Adjusted Earnings per share</t>
  </si>
  <si>
    <t>Earnings per share (GAAP)</t>
  </si>
  <si>
    <t>Net income after distributions</t>
  </si>
  <si>
    <t>Amortization of definite-lived intangible assets</t>
  </si>
  <si>
    <t>Stock-based compensation</t>
  </si>
  <si>
    <t>Gain on sale</t>
  </si>
  <si>
    <t>Deferred tax</t>
  </si>
  <si>
    <t>Excess tax benefits</t>
  </si>
  <si>
    <t>Other, net</t>
  </si>
  <si>
    <t>Income taxes</t>
  </si>
  <si>
    <t>Changes in trade accounts receivable</t>
  </si>
  <si>
    <t>Changes in inventories</t>
  </si>
  <si>
    <t>Changes in gift card liabilities</t>
  </si>
  <si>
    <t>Changes in accrued compensation</t>
  </si>
  <si>
    <t>Changes in accrued liabilities</t>
  </si>
  <si>
    <t>Proceeds from sale of investments</t>
  </si>
  <si>
    <t>Change in restricted assets</t>
  </si>
  <si>
    <t>Settlement of investment hedges</t>
  </si>
  <si>
    <t>Proceeds from issuance of common stock and additional paid-in capital</t>
  </si>
  <si>
    <t>Preferred Dividends Payable</t>
  </si>
  <si>
    <t>Distributions</t>
  </si>
  <si>
    <t>Payments to non-controlling interests</t>
  </si>
  <si>
    <t>Effect of exchange rate on cash</t>
  </si>
  <si>
    <t>Trade accounts receivable</t>
  </si>
  <si>
    <t>Short term investments</t>
  </si>
  <si>
    <t>Inventories</t>
  </si>
  <si>
    <t>Equity and other investments</t>
  </si>
  <si>
    <t>Short term debt</t>
  </si>
  <si>
    <t>Trade accounts payable</t>
  </si>
  <si>
    <t>Unredeemed gift card liabilities</t>
  </si>
  <si>
    <t>Accrued compensation</t>
  </si>
  <si>
    <t>Accrued liabilities</t>
  </si>
  <si>
    <t>Accrued income taxes</t>
  </si>
  <si>
    <t>Equity infusion + Co-Invest</t>
  </si>
  <si>
    <t>Common stock par value and additional paid-in-capital</t>
  </si>
  <si>
    <t>Non-controlling interests</t>
  </si>
  <si>
    <t>Years (PP&amp;E)</t>
  </si>
  <si>
    <t>Years (CAPEX)</t>
  </si>
  <si>
    <t>Accelerated depreciation (%)</t>
  </si>
  <si>
    <t>Accelerated depreciation</t>
  </si>
  <si>
    <t>Total tax depreciation</t>
  </si>
  <si>
    <t>Difference in depreciation</t>
  </si>
  <si>
    <t>Tax rate (%)</t>
  </si>
  <si>
    <t>Deferred taxes</t>
  </si>
  <si>
    <t>Trade accounts receivable</t>
  </si>
  <si>
    <t>Days receivable</t>
  </si>
  <si>
    <t>Inventories</t>
  </si>
  <si>
    <t>Days payable</t>
  </si>
  <si>
    <t>Gift card libilities</t>
  </si>
  <si>
    <t>Days payable</t>
  </si>
  <si>
    <t>Days payable</t>
  </si>
  <si>
    <t>Days payable</t>
  </si>
  <si>
    <t>Debt (beginning of year)</t>
  </si>
  <si>
    <t>Debt (end of year)</t>
  </si>
  <si>
    <t>Discounted Cash Flow Analysis</t>
  </si>
  <si>
    <t>(in US$ millions including shares &amp; except per share amounts)</t>
  </si>
  <si>
    <t>Unlevered Free Cash Flow</t>
  </si>
  <si>
    <t>Depreciation &amp; Amortization</t>
  </si>
  <si>
    <t>Deferred Taxes</t>
  </si>
  <si>
    <t>Changes in Working Capital</t>
  </si>
  <si>
    <t>Capital Expenditures</t>
  </si>
  <si>
    <t>Taxes</t>
  </si>
  <si>
    <t>Total Unlevered Free Cash Flow</t>
  </si>
  <si>
    <t>Net Present Value Calulation</t>
  </si>
  <si>
    <t>Period</t>
  </si>
  <si>
    <t>Discounted Cash Flow</t>
  </si>
  <si>
    <t>Total Net Present Value</t>
  </si>
  <si>
    <t>Terminal Value</t>
  </si>
  <si>
    <t>EBITDA Method</t>
  </si>
  <si>
    <t xml:space="preserve">Cost of Capital: </t>
  </si>
  <si>
    <t>Exit Year EBITDA</t>
  </si>
  <si>
    <t xml:space="preserve">Risk Free Rate </t>
  </si>
  <si>
    <t xml:space="preserve">Equity Risk Premium </t>
  </si>
  <si>
    <t xml:space="preserve">Beta </t>
  </si>
  <si>
    <t>Shares Outstanding</t>
  </si>
  <si>
    <t>Net Present Value</t>
  </si>
  <si>
    <t xml:space="preserve">Cost of Equity </t>
  </si>
  <si>
    <t>Perpetuity Method</t>
  </si>
  <si>
    <t xml:space="preserve">Cost of Debt </t>
  </si>
  <si>
    <t>Growth Rate</t>
  </si>
  <si>
    <t>Cost of Preferred Stock</t>
  </si>
  <si>
    <t>WACC</t>
  </si>
  <si>
    <t>Discounted Cash Flow Total Valuation (Enterprise Value)</t>
  </si>
  <si>
    <t>Basic Share Count (millions)</t>
  </si>
  <si>
    <t>Est. Fair Equity Value per share EBITDA Method</t>
  </si>
  <si>
    <t>Est. Fair Equity Value per share Perpetuity Method</t>
  </si>
  <si>
    <t>EBITDA Method Sensitivity (WACC vs. Exit Multiple)</t>
  </si>
  <si>
    <t>Perpetuity Method Sensitivity (WACC vs. Growth)</t>
  </si>
  <si>
    <t>GME</t>
  </si>
  <si>
    <t>HGG</t>
  </si>
  <si>
    <t>Online</t>
  </si>
  <si>
    <t>AMZN</t>
  </si>
  <si>
    <t>AAPL</t>
  </si>
  <si>
    <t>CONN</t>
  </si>
  <si>
    <t>Comparable Companies Analysis</t>
  </si>
  <si>
    <t>Enterprise</t>
  </si>
  <si>
    <t>Price / Earnings</t>
  </si>
  <si>
    <t>Value</t>
  </si>
  <si>
    <t>Company</t>
  </si>
  <si>
    <t>Median</t>
  </si>
  <si>
    <t>High</t>
  </si>
  <si>
    <t>Low</t>
  </si>
  <si>
    <t>Shares</t>
  </si>
  <si>
    <t>Debt</t>
  </si>
  <si>
    <t>LTM</t>
  </si>
  <si>
    <t>Outstanding</t>
  </si>
  <si>
    <t>2013E</t>
  </si>
  <si>
    <t>Direct Retail</t>
  </si>
  <si>
    <t>HHgregg, Inc.</t>
  </si>
  <si>
    <t>Conns Inc.</t>
  </si>
  <si>
    <t xml:space="preserve">Apple Inc. </t>
  </si>
  <si>
    <t>GameStop Corp.</t>
  </si>
  <si>
    <t>Amazon.com Inc.</t>
  </si>
  <si>
    <t>Best Buy Co., Inc.</t>
  </si>
  <si>
    <t>BBY</t>
  </si>
  <si>
    <t>symbol</t>
  </si>
  <si>
    <t xml:space="preserve">Stock </t>
  </si>
  <si>
    <t xml:space="preserve">Market </t>
  </si>
  <si>
    <t xml:space="preserve">Capitalization </t>
  </si>
  <si>
    <t>Enterprise value / EBITDA</t>
  </si>
  <si>
    <t>($ in millions)</t>
  </si>
  <si>
    <t>NM</t>
  </si>
  <si>
    <t>Enterprise value / Revenue</t>
  </si>
  <si>
    <t>Share price</t>
  </si>
  <si>
    <t>Price</t>
  </si>
  <si>
    <t>Stock price as</t>
  </si>
  <si>
    <t>of:11/29/2012</t>
  </si>
  <si>
    <t>Shares outstanding (mm)</t>
  </si>
  <si>
    <t>Options outstanding TSM</t>
  </si>
  <si>
    <t>Diluted shares outstanding</t>
  </si>
  <si>
    <t>Equity value</t>
  </si>
  <si>
    <t>Calculation of Enterprise Value</t>
  </si>
  <si>
    <t xml:space="preserve">Short-term debt </t>
  </si>
  <si>
    <t>Convertible debt</t>
  </si>
  <si>
    <t>Convertible preferred</t>
  </si>
  <si>
    <t>Preferred (ie. straight)</t>
  </si>
  <si>
    <t>Minority interest</t>
  </si>
  <si>
    <t xml:space="preserve">  Less: Cash &amp; equivalents</t>
  </si>
  <si>
    <t>Options</t>
  </si>
  <si>
    <t>Strike</t>
  </si>
  <si>
    <t>Fully Diluted</t>
  </si>
  <si>
    <t>Source: yahoo finance and Thomson Reuters.</t>
  </si>
  <si>
    <t>2014E</t>
  </si>
  <si>
    <t>Mean</t>
  </si>
  <si>
    <t>Comparable comps valuation analysis</t>
  </si>
  <si>
    <t>Stats</t>
  </si>
  <si>
    <t>2012 LTM EBITDA</t>
  </si>
  <si>
    <t>Implied enterprise value</t>
  </si>
  <si>
    <t>Net debt</t>
  </si>
  <si>
    <t>Implied equtiy value</t>
  </si>
  <si>
    <t>Shares outstanding</t>
  </si>
  <si>
    <t>Implied stock price value</t>
  </si>
  <si>
    <t>52 week ranage</t>
  </si>
  <si>
    <t>Comparable analysis</t>
  </si>
  <si>
    <t>—</t>
  </si>
  <si>
    <t>Category</t>
  </si>
  <si>
    <t>Current</t>
  </si>
  <si>
    <t xml:space="preserve">52 week high low </t>
  </si>
  <si>
    <t>Comparable company analysis</t>
  </si>
  <si>
    <t>Selling expenses as a % of revenue</t>
  </si>
  <si>
    <t>Case A (Street)</t>
  </si>
  <si>
    <t>Case B (Downside)</t>
  </si>
  <si>
    <t>Case C (Upside)</t>
  </si>
  <si>
    <t>% of revenue</t>
  </si>
  <si>
    <t>Total debt</t>
  </si>
  <si>
    <t>Cash</t>
  </si>
  <si>
    <t>Diluted shares</t>
  </si>
  <si>
    <t>Equity</t>
  </si>
  <si>
    <t>Cap. Structure</t>
  </si>
  <si>
    <t xml:space="preserve">DCF EBITDA method analysis </t>
  </si>
  <si>
    <t xml:space="preserve">DCF Perpetuity method analysis </t>
  </si>
  <si>
    <t>Dividend payout</t>
  </si>
  <si>
    <t>Per share dividend</t>
  </si>
  <si>
    <t>% of net income</t>
  </si>
  <si>
    <t>Sweep</t>
  </si>
  <si>
    <t>$24 - $26</t>
  </si>
  <si>
    <t>Case C (LBO)</t>
  </si>
  <si>
    <t>For the fiscal year ended March 3, 2012</t>
  </si>
  <si>
    <t>Amortization</t>
  </si>
  <si>
    <t>As % of revenue</t>
  </si>
  <si>
    <t xml:space="preserve">Depreciation </t>
  </si>
  <si>
    <t>Capital expenditures as of March 31,</t>
  </si>
  <si>
    <t>Property, plant &amp; equipment on March 31,</t>
  </si>
  <si>
    <t>Trader names &amp; customer relationships</t>
  </si>
</sst>
</file>

<file path=xl/styles.xml><?xml version="1.0" encoding="utf-8"?>
<styleSheet xmlns="http://schemas.openxmlformats.org/spreadsheetml/2006/main">
  <numFmts count="23">
    <numFmt numFmtId="5" formatCode="&quot;$&quot;#,##0_);\(&quot;$&quot;#,##0\)"/>
    <numFmt numFmtId="6" formatCode="&quot;$&quot;#,##0_);[Red]\(&quot;$&quot;#,##0\)"/>
    <numFmt numFmtId="7" formatCode="&quot;$&quot;#,##0.00_);\(&quot;$&quot;#,##0.00\)"/>
    <numFmt numFmtId="8" formatCode="&quot;$&quot;#,##0.00_);[Red]\(&quot;$&quot;#,##0.00\)"/>
    <numFmt numFmtId="164" formatCode="#,##0.0_);[Red]\(#,##0.0\)"/>
    <numFmt numFmtId="165" formatCode="[$-409]mmm\-yy;@"/>
    <numFmt numFmtId="166" formatCode="#,##0.0_);\(#,##0.0\)"/>
    <numFmt numFmtId="167" formatCode="#,##0.0000_);[Red]\(#,##0.0000\)"/>
    <numFmt numFmtId="168" formatCode="#,##0.0"/>
    <numFmt numFmtId="169" formatCode="#,##0.0;[Red]#,##0.0"/>
    <numFmt numFmtId="170" formatCode="0.0"/>
    <numFmt numFmtId="171" formatCode="0.0%"/>
    <numFmt numFmtId="172" formatCode="&quot;$&quot;#,##0.0_);[Red]\(&quot;$&quot;#,##0.0\)"/>
    <numFmt numFmtId="173" formatCode="0.0\x"/>
    <numFmt numFmtId="174" formatCode="&quot;$&quot;#,##0.0"/>
    <numFmt numFmtId="175" formatCode="&quot;$&quot;#,##0.00"/>
    <numFmt numFmtId="176" formatCode="General\A"/>
    <numFmt numFmtId="177" formatCode="General\E"/>
    <numFmt numFmtId="178" formatCode="[$-409]d\-mmm\-yy;@"/>
    <numFmt numFmtId="179" formatCode="0.0%_);\(0.0%\);0.0%_);@_)"/>
    <numFmt numFmtId="180" formatCode="&quot;$&quot;#,##0.0_);\(&quot;$&quot;#,##0.0\)"/>
    <numFmt numFmtId="181" formatCode="0.00_);\(0.00\)"/>
    <numFmt numFmtId="182" formatCode="#,##0.0\x"/>
  </numFmts>
  <fonts count="37">
    <font>
      <sz val="10"/>
      <name val="Arial"/>
    </font>
    <font>
      <sz val="10"/>
      <name val="Arial"/>
    </font>
    <font>
      <sz val="10"/>
      <name val="Arial"/>
      <family val="2"/>
    </font>
    <font>
      <b/>
      <sz val="9"/>
      <name val="Arial"/>
      <family val="2"/>
    </font>
    <font>
      <sz val="9"/>
      <name val="Arial"/>
      <family val="2"/>
    </font>
    <font>
      <i/>
      <sz val="9"/>
      <name val="Arial"/>
      <family val="2"/>
    </font>
    <font>
      <b/>
      <u/>
      <sz val="9"/>
      <name val="Arial"/>
      <family val="2"/>
    </font>
    <font>
      <sz val="10"/>
      <name val="Arial"/>
      <family val="2"/>
    </font>
    <font>
      <b/>
      <sz val="8"/>
      <color indexed="81"/>
      <name val="Tahoma"/>
      <family val="2"/>
    </font>
    <font>
      <sz val="8"/>
      <color indexed="81"/>
      <name val="Tahoma"/>
      <family val="2"/>
    </font>
    <font>
      <sz val="9"/>
      <color indexed="12"/>
      <name val="Arial"/>
      <family val="2"/>
    </font>
    <font>
      <b/>
      <sz val="10"/>
      <name val="Arial"/>
      <family val="2"/>
    </font>
    <font>
      <sz val="9"/>
      <color indexed="48"/>
      <name val="Arial"/>
      <family val="2"/>
    </font>
    <font>
      <sz val="9"/>
      <color indexed="57"/>
      <name val="Arial"/>
      <family val="2"/>
    </font>
    <font>
      <i/>
      <sz val="9"/>
      <color indexed="12"/>
      <name val="Arial"/>
      <family val="2"/>
    </font>
    <font>
      <b/>
      <sz val="9"/>
      <color indexed="12"/>
      <name val="Arial"/>
      <family val="2"/>
    </font>
    <font>
      <b/>
      <sz val="9"/>
      <color indexed="10"/>
      <name val="Arial"/>
      <family val="2"/>
    </font>
    <font>
      <i/>
      <sz val="9"/>
      <color indexed="57"/>
      <name val="Arial"/>
      <family val="2"/>
    </font>
    <font>
      <sz val="9"/>
      <color indexed="17"/>
      <name val="Arial"/>
      <family val="2"/>
    </font>
    <font>
      <i/>
      <sz val="9"/>
      <color indexed="17"/>
      <name val="Arial"/>
      <family val="2"/>
    </font>
    <font>
      <sz val="8"/>
      <color indexed="81"/>
      <name val="Tahoma"/>
    </font>
    <font>
      <b/>
      <sz val="8"/>
      <color indexed="81"/>
      <name val="Tahoma"/>
    </font>
    <font>
      <sz val="10"/>
      <color indexed="12"/>
      <name val="Arial"/>
    </font>
    <font>
      <b/>
      <sz val="10"/>
      <color indexed="12"/>
      <name val="Arial"/>
      <family val="2"/>
    </font>
    <font>
      <b/>
      <sz val="9"/>
      <color indexed="57"/>
      <name val="Arial"/>
      <family val="2"/>
    </font>
    <font>
      <b/>
      <sz val="20"/>
      <name val="Arial"/>
      <family val="2"/>
    </font>
    <font>
      <u/>
      <sz val="8"/>
      <color indexed="81"/>
      <name val="Tahoma"/>
      <family val="2"/>
    </font>
    <font>
      <b/>
      <u/>
      <sz val="8"/>
      <color indexed="81"/>
      <name val="Tahoma"/>
      <family val="2"/>
    </font>
    <font>
      <sz val="8"/>
      <name val="Arial"/>
    </font>
    <font>
      <b/>
      <sz val="9"/>
      <color indexed="8"/>
      <name val="Arial"/>
      <family val="2"/>
    </font>
    <font>
      <sz val="10"/>
      <color indexed="57"/>
      <name val="Arial"/>
    </font>
    <font>
      <i/>
      <sz val="20"/>
      <name val="Arial"/>
      <family val="2"/>
    </font>
    <font>
      <sz val="20"/>
      <name val="Arial"/>
      <family val="2"/>
    </font>
    <font>
      <i/>
      <sz val="9"/>
      <color indexed="62"/>
      <name val="Arial"/>
      <family val="2"/>
    </font>
    <font>
      <i/>
      <sz val="9"/>
      <color indexed="11"/>
      <name val="Arial"/>
      <family val="2"/>
    </font>
    <font>
      <i/>
      <sz val="8"/>
      <name val="Arial"/>
      <family val="2"/>
    </font>
    <font>
      <sz val="9"/>
      <color indexed="17"/>
      <name val="Arial"/>
      <family val="2"/>
    </font>
  </fonts>
  <fills count="10">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indexed="34"/>
        <bgColor indexed="64"/>
      </patternFill>
    </fill>
    <fill>
      <patternFill patternType="solid">
        <fgColor indexed="42"/>
        <bgColor indexed="64"/>
      </patternFill>
    </fill>
    <fill>
      <patternFill patternType="solid">
        <fgColor indexed="41"/>
        <bgColor indexed="64"/>
      </patternFill>
    </fill>
    <fill>
      <patternFill patternType="solid">
        <fgColor indexed="23"/>
        <bgColor indexed="64"/>
      </patternFill>
    </fill>
    <fill>
      <patternFill patternType="solid">
        <fgColor indexed="13"/>
        <bgColor indexed="64"/>
      </patternFill>
    </fill>
    <fill>
      <patternFill patternType="solid">
        <fgColor indexed="51"/>
        <bgColor indexed="64"/>
      </patternFill>
    </fill>
  </fills>
  <borders count="19">
    <border>
      <left/>
      <right/>
      <top/>
      <bottom/>
      <diagonal/>
    </border>
    <border>
      <left/>
      <right/>
      <top/>
      <bottom style="thin">
        <color indexed="64"/>
      </bottom>
      <diagonal/>
    </border>
    <border>
      <left/>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bottom style="medium">
        <color indexed="64"/>
      </bottom>
      <diagonal/>
    </border>
    <border>
      <left/>
      <right style="thin">
        <color indexed="64"/>
      </right>
      <top/>
      <bottom style="medium">
        <color indexed="64"/>
      </bottom>
      <diagonal/>
    </border>
    <border>
      <left/>
      <right/>
      <top/>
      <bottom style="double">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bottom style="double">
        <color indexed="64"/>
      </bottom>
      <diagonal/>
    </border>
  </borders>
  <cellStyleXfs count="4">
    <xf numFmtId="0" fontId="0" fillId="0" borderId="0"/>
    <xf numFmtId="0" fontId="2" fillId="0" borderId="0"/>
    <xf numFmtId="0" fontId="2" fillId="0" borderId="0"/>
    <xf numFmtId="0" fontId="2" fillId="0" borderId="0"/>
  </cellStyleXfs>
  <cellXfs count="621">
    <xf numFmtId="0" fontId="0" fillId="0" borderId="0" xfId="0"/>
    <xf numFmtId="0" fontId="3" fillId="0" borderId="0" xfId="0" applyFont="1" applyAlignment="1"/>
    <xf numFmtId="0" fontId="4" fillId="0" borderId="0" xfId="0" applyFont="1" applyAlignment="1"/>
    <xf numFmtId="0" fontId="4" fillId="0" borderId="0" xfId="0" quotePrefix="1" applyFont="1" applyAlignment="1"/>
    <xf numFmtId="0" fontId="3" fillId="0" borderId="0" xfId="0" applyFont="1" applyAlignment="1">
      <alignment wrapText="1"/>
    </xf>
    <xf numFmtId="0" fontId="4" fillId="0" borderId="0" xfId="0" applyFont="1" applyAlignment="1">
      <alignment wrapText="1"/>
    </xf>
    <xf numFmtId="0" fontId="5" fillId="0" borderId="0" xfId="0" applyFont="1" applyAlignment="1"/>
    <xf numFmtId="0" fontId="5" fillId="0" borderId="0" xfId="0" applyFont="1" applyAlignment="1">
      <alignment wrapText="1"/>
    </xf>
    <xf numFmtId="164" fontId="4" fillId="0" borderId="0" xfId="0" applyNumberFormat="1" applyFont="1" applyAlignment="1"/>
    <xf numFmtId="164" fontId="4" fillId="0" borderId="0" xfId="0" applyNumberFormat="1" applyFont="1" applyAlignment="1">
      <alignment horizontal="right" wrapText="1"/>
    </xf>
    <xf numFmtId="9" fontId="5" fillId="0" borderId="0" xfId="0" applyNumberFormat="1" applyFont="1" applyAlignment="1">
      <alignment wrapText="1"/>
    </xf>
    <xf numFmtId="164" fontId="4" fillId="0" borderId="0" xfId="0" applyNumberFormat="1" applyFont="1" applyAlignment="1">
      <alignment wrapText="1"/>
    </xf>
    <xf numFmtId="0" fontId="4" fillId="2" borderId="0" xfId="0" applyFont="1" applyFill="1" applyAlignment="1"/>
    <xf numFmtId="0" fontId="4" fillId="2" borderId="0" xfId="0" quotePrefix="1" applyFont="1" applyFill="1" applyAlignment="1"/>
    <xf numFmtId="164" fontId="4" fillId="2" borderId="0" xfId="0" applyNumberFormat="1" applyFont="1" applyFill="1" applyAlignment="1"/>
    <xf numFmtId="0" fontId="4" fillId="0" borderId="0" xfId="0" applyFont="1" applyAlignment="1">
      <alignment horizontal="right"/>
    </xf>
    <xf numFmtId="166" fontId="3" fillId="0" borderId="0" xfId="0" applyNumberFormat="1" applyFont="1" applyAlignment="1">
      <alignment horizontal="right"/>
    </xf>
    <xf numFmtId="166" fontId="3" fillId="0" borderId="0" xfId="0" applyNumberFormat="1" applyFont="1" applyAlignment="1"/>
    <xf numFmtId="166" fontId="4" fillId="0" borderId="0" xfId="0" applyNumberFormat="1" applyFont="1" applyAlignment="1">
      <alignment horizontal="right"/>
    </xf>
    <xf numFmtId="0" fontId="4" fillId="0" borderId="0" xfId="0" applyFont="1" applyFill="1" applyAlignment="1"/>
    <xf numFmtId="166" fontId="4" fillId="0" borderId="0" xfId="0" applyNumberFormat="1" applyFont="1" applyFill="1" applyAlignment="1">
      <alignment horizontal="right"/>
    </xf>
    <xf numFmtId="0" fontId="4" fillId="0" borderId="0" xfId="0" applyFont="1" applyAlignment="1">
      <alignment horizontal="center"/>
    </xf>
    <xf numFmtId="0" fontId="3" fillId="0" borderId="0" xfId="0" applyFont="1" applyBorder="1" applyAlignment="1"/>
    <xf numFmtId="4" fontId="3" fillId="0" borderId="0" xfId="0" applyNumberFormat="1" applyFont="1" applyBorder="1" applyAlignment="1"/>
    <xf numFmtId="4" fontId="3" fillId="0" borderId="0" xfId="0" applyNumberFormat="1" applyFont="1" applyAlignment="1">
      <alignment horizontal="right"/>
    </xf>
    <xf numFmtId="168" fontId="4" fillId="0" borderId="0" xfId="0" applyNumberFormat="1" applyFont="1" applyAlignment="1">
      <alignment horizontal="right"/>
    </xf>
    <xf numFmtId="168" fontId="3" fillId="0" borderId="0" xfId="0" applyNumberFormat="1" applyFont="1" applyAlignment="1">
      <alignment horizontal="right"/>
    </xf>
    <xf numFmtId="166" fontId="4" fillId="0" borderId="0" xfId="0" applyNumberFormat="1" applyFont="1" applyAlignment="1"/>
    <xf numFmtId="0" fontId="4" fillId="0" borderId="0" xfId="0" applyFont="1" applyBorder="1" applyAlignment="1">
      <alignment horizontal="center"/>
    </xf>
    <xf numFmtId="169" fontId="4" fillId="0" borderId="0" xfId="0" applyNumberFormat="1" applyFont="1" applyBorder="1" applyAlignment="1"/>
    <xf numFmtId="168" fontId="4" fillId="0" borderId="0" xfId="0" applyNumberFormat="1" applyFont="1" applyBorder="1" applyAlignment="1"/>
    <xf numFmtId="0" fontId="4" fillId="0" borderId="0" xfId="0" applyFont="1" applyAlignment="1">
      <alignment horizontal="left"/>
    </xf>
    <xf numFmtId="0" fontId="5" fillId="0" borderId="0" xfId="0" applyFont="1" applyAlignment="1">
      <alignment horizontal="left" indent="1"/>
    </xf>
    <xf numFmtId="0" fontId="4" fillId="0" borderId="0" xfId="0" applyFont="1" applyBorder="1" applyAlignment="1"/>
    <xf numFmtId="164" fontId="4" fillId="0" borderId="0" xfId="0" applyNumberFormat="1" applyFont="1" applyBorder="1" applyAlignment="1"/>
    <xf numFmtId="164" fontId="3" fillId="0" borderId="0" xfId="0" applyNumberFormat="1" applyFont="1" applyBorder="1" applyAlignment="1"/>
    <xf numFmtId="164" fontId="4" fillId="2" borderId="1" xfId="0" applyNumberFormat="1" applyFont="1" applyFill="1" applyBorder="1" applyAlignment="1"/>
    <xf numFmtId="0" fontId="3" fillId="2" borderId="2" xfId="0" applyFont="1" applyFill="1" applyBorder="1" applyAlignment="1"/>
    <xf numFmtId="164" fontId="3" fillId="2" borderId="2" xfId="0" applyNumberFormat="1" applyFont="1" applyFill="1" applyBorder="1" applyAlignment="1"/>
    <xf numFmtId="164" fontId="3" fillId="0" borderId="0" xfId="0" applyNumberFormat="1" applyFont="1" applyAlignment="1"/>
    <xf numFmtId="0" fontId="3" fillId="0" borderId="0" xfId="0" applyFont="1" applyBorder="1" applyAlignment="1">
      <alignment horizontal="center"/>
    </xf>
    <xf numFmtId="166" fontId="3" fillId="0" borderId="0" xfId="0" applyNumberFormat="1" applyFont="1" applyBorder="1" applyAlignment="1">
      <alignment horizontal="right"/>
    </xf>
    <xf numFmtId="0" fontId="4" fillId="0" borderId="1" xfId="0" applyFont="1" applyFill="1" applyBorder="1" applyAlignment="1"/>
    <xf numFmtId="0" fontId="4" fillId="0" borderId="0" xfId="0" applyFont="1"/>
    <xf numFmtId="0" fontId="3" fillId="2" borderId="2" xfId="0" applyFont="1" applyFill="1" applyBorder="1"/>
    <xf numFmtId="0" fontId="4" fillId="0" borderId="0" xfId="0" applyFont="1" applyFill="1"/>
    <xf numFmtId="164" fontId="3" fillId="2" borderId="1" xfId="0" applyNumberFormat="1" applyFont="1" applyFill="1" applyBorder="1" applyAlignment="1">
      <alignment horizontal="centerContinuous"/>
    </xf>
    <xf numFmtId="0" fontId="3" fillId="2" borderId="0" xfId="0" applyFont="1" applyFill="1" applyAlignment="1">
      <alignment horizontal="centerContinuous"/>
    </xf>
    <xf numFmtId="0" fontId="3" fillId="2" borderId="1" xfId="0" applyFont="1" applyFill="1" applyBorder="1" applyAlignment="1"/>
    <xf numFmtId="0" fontId="3" fillId="2" borderId="1" xfId="0" applyFont="1" applyFill="1" applyBorder="1" applyAlignment="1">
      <alignment wrapText="1"/>
    </xf>
    <xf numFmtId="177" fontId="3" fillId="2" borderId="1" xfId="0" applyNumberFormat="1" applyFont="1" applyFill="1" applyBorder="1" applyAlignment="1">
      <alignment horizontal="right" wrapText="1"/>
    </xf>
    <xf numFmtId="0" fontId="3" fillId="2" borderId="1" xfId="0" applyFont="1" applyFill="1" applyBorder="1" applyAlignment="1">
      <alignment horizontal="centerContinuous"/>
    </xf>
    <xf numFmtId="164" fontId="4" fillId="2" borderId="2" xfId="0" applyNumberFormat="1" applyFont="1" applyFill="1" applyBorder="1" applyAlignment="1"/>
    <xf numFmtId="164" fontId="3" fillId="2" borderId="3" xfId="0" applyNumberFormat="1" applyFont="1" applyFill="1" applyBorder="1" applyAlignment="1">
      <alignment horizontal="centerContinuous"/>
    </xf>
    <xf numFmtId="164" fontId="3" fillId="2" borderId="4" xfId="0" applyNumberFormat="1" applyFont="1" applyFill="1" applyBorder="1" applyAlignment="1">
      <alignment horizontal="centerContinuous"/>
    </xf>
    <xf numFmtId="0" fontId="4" fillId="2" borderId="1" xfId="0" applyFont="1" applyFill="1" applyBorder="1" applyAlignment="1">
      <alignment horizontal="centerContinuous"/>
    </xf>
    <xf numFmtId="164" fontId="3" fillId="2" borderId="0" xfId="0" applyNumberFormat="1" applyFont="1" applyFill="1" applyBorder="1" applyAlignment="1">
      <alignment horizontal="centerContinuous"/>
    </xf>
    <xf numFmtId="0" fontId="3" fillId="0" borderId="0" xfId="0" applyFont="1" applyFill="1" applyBorder="1" applyAlignment="1"/>
    <xf numFmtId="164" fontId="4" fillId="0" borderId="0" xfId="0" applyNumberFormat="1" applyFont="1" applyFill="1" applyAlignment="1"/>
    <xf numFmtId="0" fontId="3" fillId="0" borderId="0" xfId="0" applyFont="1" applyFill="1" applyBorder="1" applyAlignment="1">
      <alignment wrapText="1"/>
    </xf>
    <xf numFmtId="176" fontId="3" fillId="0" borderId="0" xfId="0" applyNumberFormat="1" applyFont="1" applyFill="1" applyBorder="1" applyAlignment="1">
      <alignment horizontal="right" wrapText="1"/>
    </xf>
    <xf numFmtId="177" fontId="3" fillId="0" borderId="0" xfId="0" applyNumberFormat="1" applyFont="1" applyFill="1" applyBorder="1" applyAlignment="1">
      <alignment horizontal="right" wrapText="1"/>
    </xf>
    <xf numFmtId="164" fontId="4" fillId="0" borderId="0" xfId="0" applyNumberFormat="1" applyFont="1" applyFill="1" applyAlignment="1">
      <alignment horizontal="right" wrapText="1"/>
    </xf>
    <xf numFmtId="164" fontId="3" fillId="0" borderId="0" xfId="0" applyNumberFormat="1" applyFont="1" applyFill="1" applyAlignment="1">
      <alignment horizontal="right" wrapText="1"/>
    </xf>
    <xf numFmtId="9" fontId="5" fillId="0" borderId="0" xfId="0" applyNumberFormat="1" applyFont="1" applyFill="1" applyAlignment="1">
      <alignment wrapText="1"/>
    </xf>
    <xf numFmtId="0" fontId="3" fillId="0" borderId="0" xfId="0" applyFont="1"/>
    <xf numFmtId="9" fontId="5" fillId="0" borderId="1" xfId="0" applyNumberFormat="1" applyFont="1" applyFill="1" applyBorder="1" applyAlignment="1">
      <alignment wrapText="1"/>
    </xf>
    <xf numFmtId="9" fontId="5" fillId="0" borderId="0" xfId="0" applyNumberFormat="1" applyFont="1" applyFill="1" applyBorder="1" applyAlignment="1">
      <alignment wrapText="1"/>
    </xf>
    <xf numFmtId="166" fontId="3" fillId="0" borderId="5" xfId="0" applyNumberFormat="1" applyFont="1" applyFill="1" applyBorder="1" applyAlignment="1">
      <alignment horizontal="right" wrapText="1"/>
    </xf>
    <xf numFmtId="164" fontId="3" fillId="0" borderId="5" xfId="0" applyNumberFormat="1" applyFont="1" applyFill="1" applyBorder="1" applyAlignment="1">
      <alignment horizontal="right" wrapText="1"/>
    </xf>
    <xf numFmtId="164" fontId="4" fillId="0" borderId="0" xfId="0" applyNumberFormat="1" applyFont="1" applyFill="1" applyBorder="1" applyAlignment="1">
      <alignment horizontal="right" wrapText="1"/>
    </xf>
    <xf numFmtId="0" fontId="4" fillId="0" borderId="1" xfId="0" applyFont="1" applyBorder="1"/>
    <xf numFmtId="0" fontId="4" fillId="0" borderId="0" xfId="0" applyFont="1" applyBorder="1"/>
    <xf numFmtId="166" fontId="3" fillId="0" borderId="0" xfId="0" applyNumberFormat="1" applyFont="1" applyFill="1" applyBorder="1" applyAlignment="1">
      <alignment horizontal="right"/>
    </xf>
    <xf numFmtId="166" fontId="3" fillId="0" borderId="0" xfId="0" applyNumberFormat="1" applyFont="1" applyFill="1" applyAlignment="1">
      <alignment horizontal="right"/>
    </xf>
    <xf numFmtId="176" fontId="3" fillId="2" borderId="1" xfId="0" applyNumberFormat="1" applyFont="1" applyFill="1" applyBorder="1" applyAlignment="1">
      <alignment horizontal="right"/>
    </xf>
    <xf numFmtId="166" fontId="4" fillId="0" borderId="1" xfId="0" applyNumberFormat="1" applyFont="1" applyBorder="1" applyAlignment="1">
      <alignment horizontal="right"/>
    </xf>
    <xf numFmtId="0" fontId="4" fillId="0" borderId="0" xfId="0" applyFont="1" applyBorder="1" applyAlignment="1">
      <alignment horizontal="left"/>
    </xf>
    <xf numFmtId="168" fontId="4" fillId="0" borderId="0" xfId="0" applyNumberFormat="1" applyFont="1" applyBorder="1" applyAlignment="1">
      <alignment horizontal="right"/>
    </xf>
    <xf numFmtId="168" fontId="4" fillId="0" borderId="1" xfId="0" applyNumberFormat="1" applyFont="1" applyBorder="1" applyAlignment="1">
      <alignment horizontal="right"/>
    </xf>
    <xf numFmtId="0" fontId="5" fillId="0" borderId="0" xfId="0" applyFont="1" applyAlignment="1">
      <alignment horizontal="left"/>
    </xf>
    <xf numFmtId="170" fontId="5" fillId="0" borderId="0" xfId="0" applyNumberFormat="1" applyFont="1" applyBorder="1" applyAlignment="1"/>
    <xf numFmtId="0" fontId="3" fillId="0" borderId="0" xfId="0" applyFont="1" applyAlignment="1">
      <alignment horizontal="left"/>
    </xf>
    <xf numFmtId="166" fontId="4" fillId="0" borderId="0" xfId="0" applyNumberFormat="1" applyFont="1" applyBorder="1" applyAlignment="1">
      <alignment horizontal="right"/>
    </xf>
    <xf numFmtId="0" fontId="4" fillId="0" borderId="0" xfId="0" applyFont="1" applyBorder="1" applyAlignment="1">
      <alignment horizontal="right"/>
    </xf>
    <xf numFmtId="9" fontId="5" fillId="0" borderId="0" xfId="0" applyNumberFormat="1" applyFont="1" applyBorder="1" applyAlignment="1">
      <alignment horizontal="left"/>
    </xf>
    <xf numFmtId="166" fontId="3" fillId="0" borderId="0" xfId="0" applyNumberFormat="1" applyFont="1" applyBorder="1" applyAlignment="1"/>
    <xf numFmtId="9" fontId="5" fillId="0" borderId="0" xfId="0" applyNumberFormat="1" applyFont="1" applyBorder="1" applyAlignment="1"/>
    <xf numFmtId="164" fontId="4" fillId="0" borderId="0" xfId="0" applyNumberFormat="1" applyFont="1" applyFill="1" applyBorder="1" applyAlignment="1"/>
    <xf numFmtId="0" fontId="4" fillId="0" borderId="0" xfId="0" applyFont="1" applyFill="1" applyBorder="1" applyAlignment="1"/>
    <xf numFmtId="164" fontId="4" fillId="0" borderId="0" xfId="0" applyNumberFormat="1" applyFont="1" applyFill="1" applyBorder="1" applyAlignment="1">
      <alignment wrapText="1"/>
    </xf>
    <xf numFmtId="164" fontId="3" fillId="0" borderId="0" xfId="0" applyNumberFormat="1" applyFont="1" applyFill="1" applyBorder="1" applyAlignment="1">
      <alignment horizontal="right" wrapText="1"/>
    </xf>
    <xf numFmtId="0" fontId="5" fillId="0" borderId="0" xfId="0" applyFont="1" applyFill="1" applyBorder="1" applyAlignment="1"/>
    <xf numFmtId="0" fontId="3" fillId="2" borderId="6" xfId="0" applyFont="1" applyFill="1" applyBorder="1" applyAlignment="1">
      <alignment horizontal="centerContinuous"/>
    </xf>
    <xf numFmtId="9" fontId="5" fillId="0" borderId="7" xfId="0" applyNumberFormat="1" applyFont="1" applyFill="1" applyBorder="1" applyAlignment="1">
      <alignment wrapText="1"/>
    </xf>
    <xf numFmtId="9" fontId="5" fillId="0" borderId="3" xfId="0" applyNumberFormat="1" applyFont="1" applyFill="1" applyBorder="1" applyAlignment="1">
      <alignment wrapText="1"/>
    </xf>
    <xf numFmtId="164" fontId="4" fillId="0" borderId="7" xfId="0" applyNumberFormat="1" applyFont="1" applyFill="1" applyBorder="1" applyAlignment="1">
      <alignment wrapText="1"/>
    </xf>
    <xf numFmtId="164" fontId="3" fillId="0" borderId="7" xfId="0" applyNumberFormat="1" applyFont="1" applyFill="1" applyBorder="1" applyAlignment="1">
      <alignment horizontal="right" wrapText="1"/>
    </xf>
    <xf numFmtId="166" fontId="3" fillId="0" borderId="8" xfId="0" applyNumberFormat="1" applyFont="1" applyFill="1" applyBorder="1" applyAlignment="1">
      <alignment horizontal="right" wrapText="1"/>
    </xf>
    <xf numFmtId="164" fontId="3" fillId="0" borderId="8" xfId="0" applyNumberFormat="1" applyFont="1" applyFill="1" applyBorder="1" applyAlignment="1">
      <alignment horizontal="right" wrapText="1"/>
    </xf>
    <xf numFmtId="0" fontId="3" fillId="0" borderId="0" xfId="0" applyFont="1" applyFill="1" applyAlignment="1"/>
    <xf numFmtId="166" fontId="4" fillId="0" borderId="0" xfId="0" applyNumberFormat="1" applyFont="1" applyFill="1" applyBorder="1" applyAlignment="1">
      <alignment horizontal="right" wrapText="1"/>
    </xf>
    <xf numFmtId="168" fontId="4" fillId="0" borderId="0" xfId="0" applyNumberFormat="1" applyFont="1" applyFill="1" applyBorder="1" applyAlignment="1"/>
    <xf numFmtId="164" fontId="10" fillId="0" borderId="7" xfId="0" applyNumberFormat="1" applyFont="1" applyFill="1" applyBorder="1" applyAlignment="1">
      <alignment horizontal="right" wrapText="1"/>
    </xf>
    <xf numFmtId="172" fontId="10" fillId="0" borderId="7" xfId="0" applyNumberFormat="1" applyFont="1" applyFill="1" applyBorder="1" applyAlignment="1">
      <alignment horizontal="right" wrapText="1"/>
    </xf>
    <xf numFmtId="0" fontId="4" fillId="3" borderId="0" xfId="0" applyFont="1" applyFill="1" applyAlignment="1"/>
    <xf numFmtId="164" fontId="4" fillId="3" borderId="0" xfId="0" applyNumberFormat="1" applyFont="1" applyFill="1" applyAlignment="1"/>
    <xf numFmtId="0" fontId="0" fillId="3" borderId="0" xfId="0" applyFill="1"/>
    <xf numFmtId="0" fontId="0" fillId="3" borderId="0" xfId="0" applyFill="1" applyAlignment="1"/>
    <xf numFmtId="164" fontId="10" fillId="0" borderId="0" xfId="0" applyNumberFormat="1" applyFont="1" applyFill="1" applyAlignment="1">
      <alignment horizontal="right" wrapText="1"/>
    </xf>
    <xf numFmtId="164" fontId="10" fillId="0" borderId="1" xfId="0" applyNumberFormat="1" applyFont="1" applyFill="1" applyBorder="1" applyAlignment="1">
      <alignment horizontal="right" wrapText="1"/>
    </xf>
    <xf numFmtId="0" fontId="0" fillId="0" borderId="0" xfId="0" applyAlignment="1"/>
    <xf numFmtId="164" fontId="10" fillId="0" borderId="0" xfId="0" applyNumberFormat="1" applyFont="1" applyFill="1" applyBorder="1" applyAlignment="1">
      <alignment horizontal="right" wrapText="1"/>
    </xf>
    <xf numFmtId="166" fontId="10" fillId="0" borderId="0" xfId="0" applyNumberFormat="1" applyFont="1" applyFill="1" applyAlignment="1">
      <alignment horizontal="right"/>
    </xf>
    <xf numFmtId="166" fontId="10" fillId="0" borderId="0" xfId="0" applyNumberFormat="1" applyFont="1" applyFill="1" applyBorder="1" applyAlignment="1">
      <alignment horizontal="right"/>
    </xf>
    <xf numFmtId="166" fontId="10" fillId="0" borderId="1" xfId="0" applyNumberFormat="1" applyFont="1" applyFill="1" applyBorder="1" applyAlignment="1">
      <alignment horizontal="right"/>
    </xf>
    <xf numFmtId="166" fontId="10" fillId="0" borderId="0" xfId="0" applyNumberFormat="1" applyFont="1" applyFill="1" applyAlignment="1"/>
    <xf numFmtId="166" fontId="10" fillId="0" borderId="0" xfId="0" applyNumberFormat="1" applyFont="1" applyAlignment="1">
      <alignment horizontal="right"/>
    </xf>
    <xf numFmtId="166" fontId="10" fillId="0" borderId="1" xfId="0" applyNumberFormat="1" applyFont="1" applyBorder="1" applyAlignment="1">
      <alignment horizontal="right"/>
    </xf>
    <xf numFmtId="168" fontId="10" fillId="0" borderId="0" xfId="0" applyNumberFormat="1" applyFont="1" applyBorder="1" applyAlignment="1">
      <alignment horizontal="right"/>
    </xf>
    <xf numFmtId="168" fontId="15" fillId="0" borderId="0" xfId="0" applyNumberFormat="1" applyFont="1" applyFill="1" applyBorder="1" applyAlignment="1"/>
    <xf numFmtId="168" fontId="16" fillId="0" borderId="0" xfId="0" applyNumberFormat="1" applyFont="1" applyBorder="1" applyAlignment="1"/>
    <xf numFmtId="168" fontId="15" fillId="0" borderId="0" xfId="0" applyNumberFormat="1" applyFont="1" applyBorder="1" applyAlignment="1"/>
    <xf numFmtId="3" fontId="15" fillId="0" borderId="0" xfId="0" applyNumberFormat="1" applyFont="1" applyBorder="1" applyAlignment="1"/>
    <xf numFmtId="168" fontId="10" fillId="0" borderId="0" xfId="0" applyNumberFormat="1" applyFont="1" applyAlignment="1">
      <alignment horizontal="right"/>
    </xf>
    <xf numFmtId="9" fontId="15" fillId="0" borderId="0" xfId="0" applyNumberFormat="1" applyFont="1" applyBorder="1" applyAlignment="1"/>
    <xf numFmtId="168" fontId="10" fillId="0" borderId="0" xfId="0" applyNumberFormat="1" applyFont="1" applyBorder="1" applyAlignment="1"/>
    <xf numFmtId="170" fontId="10" fillId="0" borderId="0" xfId="0" applyNumberFormat="1" applyFont="1" applyBorder="1" applyAlignment="1"/>
    <xf numFmtId="9" fontId="15" fillId="0" borderId="0" xfId="0" applyNumberFormat="1" applyFont="1" applyBorder="1" applyAlignment="1">
      <alignment horizontal="right"/>
    </xf>
    <xf numFmtId="9" fontId="14" fillId="0" borderId="0" xfId="0" applyNumberFormat="1" applyFont="1" applyAlignment="1">
      <alignment horizontal="right"/>
    </xf>
    <xf numFmtId="9" fontId="14" fillId="0" borderId="0" xfId="0" applyNumberFormat="1" applyFont="1" applyAlignment="1"/>
    <xf numFmtId="9" fontId="17" fillId="0" borderId="1" xfId="0" applyNumberFormat="1" applyFont="1" applyFill="1" applyBorder="1" applyAlignment="1">
      <alignment wrapText="1"/>
    </xf>
    <xf numFmtId="164" fontId="13" fillId="0" borderId="1" xfId="0" applyNumberFormat="1" applyFont="1" applyBorder="1" applyAlignment="1">
      <alignment horizontal="right" wrapText="1"/>
    </xf>
    <xf numFmtId="164" fontId="10" fillId="0" borderId="3" xfId="0" applyNumberFormat="1" applyFont="1" applyFill="1" applyBorder="1" applyAlignment="1">
      <alignment horizontal="right" wrapText="1"/>
    </xf>
    <xf numFmtId="166" fontId="10" fillId="0" borderId="3" xfId="0" applyNumberFormat="1" applyFont="1" applyFill="1" applyBorder="1" applyAlignment="1">
      <alignment horizontal="right" wrapText="1"/>
    </xf>
    <xf numFmtId="0" fontId="3" fillId="0" borderId="0" xfId="0" applyFont="1" applyBorder="1" applyAlignment="1">
      <alignment wrapText="1"/>
    </xf>
    <xf numFmtId="0" fontId="11" fillId="0" borderId="0" xfId="0" applyFont="1"/>
    <xf numFmtId="171" fontId="5" fillId="0" borderId="7" xfId="0" applyNumberFormat="1" applyFont="1" applyFill="1" applyBorder="1" applyAlignment="1">
      <alignment wrapText="1"/>
    </xf>
    <xf numFmtId="171" fontId="5" fillId="0" borderId="0" xfId="0" applyNumberFormat="1" applyFont="1" applyFill="1" applyAlignment="1">
      <alignment wrapText="1"/>
    </xf>
    <xf numFmtId="164" fontId="3" fillId="0" borderId="6" xfId="0" applyNumberFormat="1" applyFont="1" applyFill="1" applyBorder="1" applyAlignment="1">
      <alignment horizontal="right" wrapText="1"/>
    </xf>
    <xf numFmtId="9" fontId="19" fillId="0" borderId="1" xfId="0" applyNumberFormat="1" applyFont="1" applyFill="1" applyBorder="1" applyAlignment="1">
      <alignment wrapText="1"/>
    </xf>
    <xf numFmtId="8" fontId="3" fillId="0" borderId="0" xfId="0" applyNumberFormat="1" applyFont="1" applyFill="1" applyBorder="1" applyAlignment="1">
      <alignment horizontal="right" wrapText="1"/>
    </xf>
    <xf numFmtId="172" fontId="3" fillId="0" borderId="7" xfId="0" applyNumberFormat="1" applyFont="1" applyFill="1" applyBorder="1" applyAlignment="1">
      <alignment horizontal="right" wrapText="1"/>
    </xf>
    <xf numFmtId="172" fontId="3" fillId="0" borderId="0" xfId="0" applyNumberFormat="1" applyFont="1" applyFill="1" applyAlignment="1">
      <alignment horizontal="right" wrapText="1"/>
    </xf>
    <xf numFmtId="172" fontId="10" fillId="0" borderId="0" xfId="0" applyNumberFormat="1" applyFont="1" applyFill="1" applyAlignment="1">
      <alignment horizontal="right"/>
    </xf>
    <xf numFmtId="9" fontId="5" fillId="0" borderId="0" xfId="0" applyNumberFormat="1" applyFont="1" applyFill="1" applyAlignment="1"/>
    <xf numFmtId="164" fontId="10" fillId="0" borderId="0" xfId="0" applyNumberFormat="1" applyFont="1" applyFill="1" applyAlignment="1">
      <alignment horizontal="right"/>
    </xf>
    <xf numFmtId="9" fontId="5" fillId="0" borderId="1" xfId="0" applyNumberFormat="1" applyFont="1" applyFill="1" applyBorder="1" applyAlignment="1"/>
    <xf numFmtId="172" fontId="3" fillId="0" borderId="0" xfId="0" applyNumberFormat="1" applyFont="1" applyFill="1" applyBorder="1" applyAlignment="1">
      <alignment horizontal="right"/>
    </xf>
    <xf numFmtId="164" fontId="10" fillId="0" borderId="1" xfId="0" applyNumberFormat="1" applyFont="1" applyFill="1" applyBorder="1" applyAlignment="1">
      <alignment horizontal="right"/>
    </xf>
    <xf numFmtId="164" fontId="4" fillId="0" borderId="0" xfId="0" applyNumberFormat="1" applyFont="1" applyFill="1" applyAlignment="1">
      <alignment horizontal="right"/>
    </xf>
    <xf numFmtId="164" fontId="10" fillId="0" borderId="0" xfId="0" applyNumberFormat="1" applyFont="1" applyFill="1" applyBorder="1" applyAlignment="1">
      <alignment horizontal="right"/>
    </xf>
    <xf numFmtId="164" fontId="3" fillId="0" borderId="0" xfId="0" applyNumberFormat="1" applyFont="1" applyFill="1" applyBorder="1" applyAlignment="1">
      <alignment horizontal="right"/>
    </xf>
    <xf numFmtId="164" fontId="3" fillId="0" borderId="2" xfId="0" applyNumberFormat="1" applyFont="1" applyFill="1" applyBorder="1" applyAlignment="1">
      <alignment horizontal="right" wrapText="1"/>
    </xf>
    <xf numFmtId="171" fontId="5" fillId="0" borderId="0" xfId="0" applyNumberFormat="1" applyFont="1" applyFill="1" applyBorder="1" applyAlignment="1">
      <alignment wrapText="1"/>
    </xf>
    <xf numFmtId="168" fontId="10" fillId="0" borderId="0" xfId="0" applyNumberFormat="1" applyFont="1" applyFill="1" applyBorder="1" applyAlignment="1">
      <alignment wrapText="1"/>
    </xf>
    <xf numFmtId="168" fontId="10" fillId="0" borderId="7" xfId="0" applyNumberFormat="1" applyFont="1" applyFill="1" applyBorder="1" applyAlignment="1">
      <alignment wrapText="1"/>
    </xf>
    <xf numFmtId="0" fontId="4" fillId="0" borderId="0" xfId="0" applyFont="1" applyBorder="1" applyAlignment="1">
      <alignment wrapText="1"/>
    </xf>
    <xf numFmtId="164" fontId="4" fillId="0" borderId="0" xfId="0" applyNumberFormat="1" applyFont="1" applyFill="1" applyBorder="1" applyAlignment="1">
      <alignment horizontal="right"/>
    </xf>
    <xf numFmtId="164" fontId="10" fillId="0" borderId="0" xfId="0" applyNumberFormat="1" applyFont="1" applyAlignment="1">
      <alignment horizontal="right" wrapText="1"/>
    </xf>
    <xf numFmtId="164" fontId="10" fillId="0" borderId="7" xfId="0" applyNumberFormat="1" applyFont="1" applyBorder="1" applyAlignment="1">
      <alignment horizontal="right" wrapText="1"/>
    </xf>
    <xf numFmtId="0" fontId="0" fillId="0" borderId="0" xfId="0" applyBorder="1"/>
    <xf numFmtId="166" fontId="10" fillId="0" borderId="7" xfId="0" applyNumberFormat="1" applyFont="1" applyFill="1" applyBorder="1" applyAlignment="1">
      <alignment horizontal="right" wrapText="1"/>
    </xf>
    <xf numFmtId="4" fontId="4" fillId="0" borderId="0" xfId="0" applyNumberFormat="1" applyFont="1" applyFill="1" applyAlignment="1">
      <alignment wrapText="1"/>
    </xf>
    <xf numFmtId="4" fontId="10" fillId="0" borderId="0" xfId="0" applyNumberFormat="1" applyFont="1" applyFill="1" applyBorder="1" applyAlignment="1">
      <alignment horizontal="right"/>
    </xf>
    <xf numFmtId="168" fontId="10" fillId="0" borderId="0" xfId="0" applyNumberFormat="1" applyFont="1" applyFill="1" applyBorder="1" applyAlignment="1">
      <alignment horizontal="right"/>
    </xf>
    <xf numFmtId="3" fontId="0" fillId="0" borderId="0" xfId="0" applyNumberFormat="1"/>
    <xf numFmtId="166" fontId="4" fillId="0" borderId="7" xfId="0" applyNumberFormat="1" applyFont="1" applyFill="1" applyBorder="1" applyAlignment="1">
      <alignment horizontal="right" wrapText="1"/>
    </xf>
    <xf numFmtId="4" fontId="2" fillId="0" borderId="0" xfId="0" applyNumberFormat="1" applyFont="1"/>
    <xf numFmtId="4" fontId="13" fillId="0" borderId="0" xfId="0" applyNumberFormat="1" applyFont="1" applyFill="1" applyBorder="1" applyAlignment="1">
      <alignment wrapText="1"/>
    </xf>
    <xf numFmtId="4" fontId="7" fillId="0" borderId="0" xfId="0" applyNumberFormat="1" applyFont="1"/>
    <xf numFmtId="4" fontId="2" fillId="0" borderId="0" xfId="0" applyNumberFormat="1" applyFont="1" applyBorder="1"/>
    <xf numFmtId="7" fontId="23" fillId="0" borderId="0" xfId="0" applyNumberFormat="1" applyFont="1" applyAlignment="1"/>
    <xf numFmtId="8" fontId="4" fillId="0" borderId="0" xfId="0" applyNumberFormat="1" applyFont="1" applyFill="1" applyBorder="1" applyAlignment="1">
      <alignment horizontal="right" wrapText="1"/>
    </xf>
    <xf numFmtId="0" fontId="4" fillId="0" borderId="9" xfId="0" applyFont="1" applyBorder="1"/>
    <xf numFmtId="0" fontId="3" fillId="0" borderId="9" xfId="0" applyFont="1" applyBorder="1" applyAlignment="1"/>
    <xf numFmtId="0" fontId="3" fillId="0" borderId="9" xfId="0" applyFont="1" applyBorder="1" applyAlignment="1">
      <alignment wrapText="1"/>
    </xf>
    <xf numFmtId="164" fontId="3" fillId="0" borderId="9" xfId="0" applyNumberFormat="1" applyFont="1" applyFill="1" applyBorder="1" applyAlignment="1">
      <alignment horizontal="right"/>
    </xf>
    <xf numFmtId="164" fontId="3" fillId="0" borderId="9" xfId="0" applyNumberFormat="1" applyFont="1" applyFill="1" applyBorder="1" applyAlignment="1">
      <alignment horizontal="right" wrapText="1"/>
    </xf>
    <xf numFmtId="164" fontId="24" fillId="0" borderId="0" xfId="0" applyNumberFormat="1" applyFont="1" applyFill="1" applyBorder="1" applyAlignment="1">
      <alignment horizontal="right" wrapText="1"/>
    </xf>
    <xf numFmtId="8" fontId="15" fillId="0" borderId="0" xfId="0" applyNumberFormat="1" applyFont="1" applyFill="1" applyBorder="1" applyAlignment="1">
      <alignment horizontal="right" wrapText="1"/>
    </xf>
    <xf numFmtId="8" fontId="4" fillId="0" borderId="7" xfId="0" applyNumberFormat="1" applyFont="1" applyFill="1" applyBorder="1" applyAlignment="1">
      <alignment horizontal="right" wrapText="1"/>
    </xf>
    <xf numFmtId="7" fontId="15" fillId="0" borderId="7" xfId="0" applyNumberFormat="1" applyFont="1" applyFill="1" applyBorder="1" applyAlignment="1">
      <alignment horizontal="right" wrapText="1"/>
    </xf>
    <xf numFmtId="8" fontId="3" fillId="0" borderId="7" xfId="0" applyNumberFormat="1" applyFont="1" applyFill="1" applyBorder="1" applyAlignment="1">
      <alignment horizontal="right" wrapText="1"/>
    </xf>
    <xf numFmtId="164" fontId="3" fillId="0" borderId="10" xfId="0" applyNumberFormat="1" applyFont="1" applyFill="1" applyBorder="1" applyAlignment="1">
      <alignment horizontal="right" wrapText="1"/>
    </xf>
    <xf numFmtId="176" fontId="3" fillId="2" borderId="3" xfId="0" applyNumberFormat="1" applyFont="1" applyFill="1" applyBorder="1" applyAlignment="1">
      <alignment horizontal="right" wrapText="1"/>
    </xf>
    <xf numFmtId="171" fontId="5" fillId="0" borderId="0" xfId="0" applyNumberFormat="1" applyFont="1" applyFill="1" applyBorder="1" applyAlignment="1"/>
    <xf numFmtId="171" fontId="17" fillId="0" borderId="0" xfId="0" applyNumberFormat="1" applyFont="1" applyFill="1" applyBorder="1" applyAlignment="1">
      <alignment horizontal="right" wrapText="1"/>
    </xf>
    <xf numFmtId="0" fontId="25" fillId="0" borderId="0" xfId="0" applyFont="1" applyAlignment="1" applyProtection="1">
      <alignment vertical="center"/>
    </xf>
    <xf numFmtId="0" fontId="4" fillId="3" borderId="0" xfId="0" applyFont="1" applyFill="1"/>
    <xf numFmtId="164" fontId="3" fillId="2" borderId="2" xfId="0" applyNumberFormat="1" applyFont="1" applyFill="1" applyBorder="1" applyAlignment="1">
      <alignment horizontal="centerContinuous"/>
    </xf>
    <xf numFmtId="176" fontId="3" fillId="2" borderId="1" xfId="0" applyNumberFormat="1" applyFont="1" applyFill="1" applyBorder="1" applyAlignment="1">
      <alignment horizontal="right" wrapText="1"/>
    </xf>
    <xf numFmtId="0" fontId="4" fillId="0" borderId="0" xfId="3" applyFont="1" applyAlignment="1"/>
    <xf numFmtId="166" fontId="3" fillId="0" borderId="5" xfId="0" applyNumberFormat="1" applyFont="1" applyFill="1" applyBorder="1" applyAlignment="1">
      <alignment horizontal="right"/>
    </xf>
    <xf numFmtId="0" fontId="4" fillId="0" borderId="0" xfId="3" applyFont="1" applyFill="1" applyAlignment="1"/>
    <xf numFmtId="0" fontId="3" fillId="0" borderId="0" xfId="0" applyFont="1" applyFill="1"/>
    <xf numFmtId="0" fontId="4" fillId="0" borderId="1" xfId="0" applyFont="1" applyFill="1" applyBorder="1"/>
    <xf numFmtId="166" fontId="4" fillId="0" borderId="1" xfId="0" applyNumberFormat="1" applyFont="1" applyFill="1" applyBorder="1" applyAlignment="1"/>
    <xf numFmtId="0" fontId="4" fillId="0" borderId="1" xfId="0" applyFont="1" applyBorder="1" applyAlignment="1"/>
    <xf numFmtId="0" fontId="3" fillId="0" borderId="2" xfId="0" applyFont="1" applyBorder="1" applyAlignment="1"/>
    <xf numFmtId="0" fontId="3" fillId="0" borderId="0" xfId="0" applyFont="1" applyAlignment="1">
      <alignment horizontal="right"/>
    </xf>
    <xf numFmtId="0" fontId="4" fillId="0" borderId="0" xfId="0" applyFont="1" applyFill="1" applyAlignment="1">
      <alignment horizontal="right"/>
    </xf>
    <xf numFmtId="166" fontId="3" fillId="0" borderId="2" xfId="0" applyNumberFormat="1" applyFont="1" applyFill="1" applyBorder="1" applyAlignment="1">
      <alignment horizontal="right"/>
    </xf>
    <xf numFmtId="166" fontId="3" fillId="0" borderId="5" xfId="0" applyNumberFormat="1" applyFont="1" applyBorder="1" applyAlignment="1">
      <alignment horizontal="right"/>
    </xf>
    <xf numFmtId="166" fontId="3" fillId="0" borderId="11" xfId="0" applyNumberFormat="1" applyFont="1" applyBorder="1" applyAlignment="1">
      <alignment horizontal="right"/>
    </xf>
    <xf numFmtId="0" fontId="3" fillId="0" borderId="1" xfId="0" applyFont="1" applyBorder="1" applyAlignment="1"/>
    <xf numFmtId="164" fontId="3" fillId="0" borderId="1" xfId="0" applyNumberFormat="1" applyFont="1" applyBorder="1" applyAlignment="1">
      <alignment horizontal="center"/>
    </xf>
    <xf numFmtId="167" fontId="4" fillId="0" borderId="0" xfId="0" applyNumberFormat="1" applyFont="1" applyAlignment="1"/>
    <xf numFmtId="167" fontId="4" fillId="0" borderId="0" xfId="0" applyNumberFormat="1" applyFont="1" applyFill="1" applyAlignment="1"/>
    <xf numFmtId="178" fontId="3" fillId="2" borderId="1" xfId="0" applyNumberFormat="1" applyFont="1" applyFill="1" applyBorder="1" applyAlignment="1">
      <alignment horizontal="right" wrapText="1"/>
    </xf>
    <xf numFmtId="4" fontId="3" fillId="0" borderId="0" xfId="0" applyNumberFormat="1" applyFont="1" applyFill="1" applyAlignment="1">
      <alignment horizontal="right"/>
    </xf>
    <xf numFmtId="3" fontId="15" fillId="0" borderId="0" xfId="0" applyNumberFormat="1" applyFont="1" applyFill="1" applyBorder="1" applyAlignment="1"/>
    <xf numFmtId="169" fontId="4" fillId="4" borderId="0" xfId="0" applyNumberFormat="1" applyFont="1" applyFill="1" applyBorder="1" applyAlignment="1"/>
    <xf numFmtId="0" fontId="3" fillId="0" borderId="0" xfId="0" applyFont="1" applyBorder="1" applyAlignment="1">
      <alignment horizontal="left"/>
    </xf>
    <xf numFmtId="0" fontId="5" fillId="0" borderId="0" xfId="0" applyFont="1" applyFill="1" applyAlignment="1"/>
    <xf numFmtId="9" fontId="5" fillId="0" borderId="0" xfId="0" applyNumberFormat="1" applyFont="1" applyFill="1" applyBorder="1" applyAlignment="1">
      <alignment horizontal="right"/>
    </xf>
    <xf numFmtId="170" fontId="5" fillId="0" borderId="0" xfId="0" applyNumberFormat="1" applyFont="1" applyFill="1" applyBorder="1" applyAlignment="1"/>
    <xf numFmtId="168" fontId="4" fillId="0" borderId="0" xfId="0" applyNumberFormat="1" applyFont="1" applyFill="1" applyBorder="1" applyAlignment="1">
      <alignment horizontal="right"/>
    </xf>
    <xf numFmtId="168" fontId="10" fillId="0" borderId="1" xfId="0" applyNumberFormat="1" applyFont="1" applyBorder="1" applyAlignment="1">
      <alignment horizontal="right"/>
    </xf>
    <xf numFmtId="168" fontId="3" fillId="0" borderId="5" xfId="0" applyNumberFormat="1" applyFont="1" applyFill="1" applyBorder="1" applyAlignment="1">
      <alignment horizontal="right"/>
    </xf>
    <xf numFmtId="169" fontId="4" fillId="0" borderId="0" xfId="0" applyNumberFormat="1" applyFont="1" applyBorder="1" applyAlignment="1">
      <alignment horizontal="right"/>
    </xf>
    <xf numFmtId="169" fontId="4" fillId="0" borderId="0" xfId="0" applyNumberFormat="1" applyFont="1" applyFill="1" applyBorder="1" applyAlignment="1">
      <alignment horizontal="right"/>
    </xf>
    <xf numFmtId="0" fontId="4" fillId="0" borderId="0" xfId="0" applyFont="1" applyFill="1" applyAlignment="1">
      <alignment horizontal="left"/>
    </xf>
    <xf numFmtId="0" fontId="5" fillId="0" borderId="0" xfId="0" applyFont="1" applyFill="1" applyAlignment="1">
      <alignment horizontal="left" indent="1"/>
    </xf>
    <xf numFmtId="0" fontId="5" fillId="0" borderId="0" xfId="0" applyFont="1" applyFill="1" applyAlignment="1">
      <alignment horizontal="left"/>
    </xf>
    <xf numFmtId="170" fontId="5" fillId="0" borderId="0" xfId="0" applyNumberFormat="1" applyFont="1" applyFill="1" applyBorder="1" applyAlignment="1">
      <alignment horizontal="right"/>
    </xf>
    <xf numFmtId="168" fontId="3" fillId="0" borderId="5" xfId="0" applyNumberFormat="1" applyFont="1" applyBorder="1" applyAlignment="1">
      <alignment horizontal="right"/>
    </xf>
    <xf numFmtId="164" fontId="3" fillId="0" borderId="1" xfId="0" applyNumberFormat="1" applyFont="1" applyBorder="1" applyAlignment="1">
      <alignment horizontal="right"/>
    </xf>
    <xf numFmtId="4" fontId="4" fillId="0" borderId="0" xfId="0" applyNumberFormat="1" applyFont="1" applyAlignment="1">
      <alignment horizontal="right"/>
    </xf>
    <xf numFmtId="168" fontId="4" fillId="0" borderId="0" xfId="0" applyNumberFormat="1" applyFont="1" applyAlignment="1"/>
    <xf numFmtId="9" fontId="5" fillId="0" borderId="0" xfId="0" applyNumberFormat="1" applyFont="1" applyFill="1" applyAlignment="1">
      <alignment horizontal="right"/>
    </xf>
    <xf numFmtId="164" fontId="3" fillId="0" borderId="0" xfId="0" applyNumberFormat="1" applyFont="1" applyAlignment="1">
      <alignment horizontal="center"/>
    </xf>
    <xf numFmtId="166" fontId="10" fillId="0" borderId="1" xfId="0" applyNumberFormat="1" applyFont="1" applyBorder="1" applyAlignment="1"/>
    <xf numFmtId="166" fontId="3" fillId="5" borderId="0" xfId="0" applyNumberFormat="1" applyFont="1" applyFill="1" applyBorder="1" applyAlignment="1">
      <alignment horizontal="right"/>
    </xf>
    <xf numFmtId="171" fontId="14" fillId="0" borderId="0" xfId="0" applyNumberFormat="1" applyFont="1" applyFill="1" applyAlignment="1">
      <alignment horizontal="right"/>
    </xf>
    <xf numFmtId="166" fontId="4" fillId="0" borderId="5" xfId="0" applyNumberFormat="1" applyFont="1" applyBorder="1" applyAlignment="1"/>
    <xf numFmtId="164" fontId="3" fillId="5" borderId="0" xfId="0" applyNumberFormat="1" applyFont="1" applyFill="1" applyBorder="1" applyAlignment="1"/>
    <xf numFmtId="37" fontId="4" fillId="0" borderId="0" xfId="0" applyNumberFormat="1" applyFont="1"/>
    <xf numFmtId="9" fontId="4" fillId="0" borderId="0" xfId="0" applyNumberFormat="1" applyFont="1"/>
    <xf numFmtId="0" fontId="4" fillId="3" borderId="0" xfId="1" applyFont="1" applyFill="1" applyAlignment="1"/>
    <xf numFmtId="164" fontId="4" fillId="3" borderId="0" xfId="1" applyNumberFormat="1" applyFont="1" applyFill="1" applyAlignment="1"/>
    <xf numFmtId="0" fontId="4" fillId="0" borderId="0" xfId="1" applyFont="1" applyAlignment="1"/>
    <xf numFmtId="0" fontId="3" fillId="2" borderId="2" xfId="1" applyFont="1" applyFill="1" applyBorder="1" applyAlignment="1"/>
    <xf numFmtId="164" fontId="4" fillId="2" borderId="2" xfId="1" applyNumberFormat="1" applyFont="1" applyFill="1" applyBorder="1" applyAlignment="1"/>
    <xf numFmtId="164" fontId="3" fillId="2" borderId="2" xfId="1" applyNumberFormat="1" applyFont="1" applyFill="1" applyBorder="1" applyAlignment="1"/>
    <xf numFmtId="0" fontId="4" fillId="2" borderId="0" xfId="1" applyFont="1" applyFill="1" applyAlignment="1"/>
    <xf numFmtId="164" fontId="4" fillId="2" borderId="0" xfId="1" applyNumberFormat="1" applyFont="1" applyFill="1" applyAlignment="1"/>
    <xf numFmtId="0" fontId="4" fillId="2" borderId="0" xfId="1" quotePrefix="1" applyFont="1" applyFill="1" applyAlignment="1"/>
    <xf numFmtId="164" fontId="3" fillId="2" borderId="1" xfId="1" applyNumberFormat="1" applyFont="1" applyFill="1" applyBorder="1" applyAlignment="1">
      <alignment horizontal="centerContinuous"/>
    </xf>
    <xf numFmtId="164" fontId="3" fillId="2" borderId="3" xfId="1" applyNumberFormat="1" applyFont="1" applyFill="1" applyBorder="1" applyAlignment="1">
      <alignment horizontal="centerContinuous"/>
    </xf>
    <xf numFmtId="164" fontId="3" fillId="2" borderId="0" xfId="1" applyNumberFormat="1" applyFont="1" applyFill="1" applyBorder="1" applyAlignment="1">
      <alignment horizontal="centerContinuous"/>
    </xf>
    <xf numFmtId="0" fontId="3" fillId="2" borderId="0" xfId="1" applyFont="1" applyFill="1" applyAlignment="1">
      <alignment horizontal="centerContinuous"/>
    </xf>
    <xf numFmtId="0" fontId="3" fillId="2" borderId="1" xfId="1" applyFont="1" applyFill="1" applyBorder="1" applyAlignment="1"/>
    <xf numFmtId="164" fontId="4" fillId="2" borderId="1" xfId="1" applyNumberFormat="1" applyFont="1" applyFill="1" applyBorder="1" applyAlignment="1"/>
    <xf numFmtId="176" fontId="3" fillId="2" borderId="1" xfId="1" applyNumberFormat="1" applyFont="1" applyFill="1" applyBorder="1" applyAlignment="1">
      <alignment horizontal="right"/>
    </xf>
    <xf numFmtId="177" fontId="3" fillId="2" borderId="1" xfId="1" applyNumberFormat="1" applyFont="1" applyFill="1" applyBorder="1" applyAlignment="1">
      <alignment horizontal="right"/>
    </xf>
    <xf numFmtId="0" fontId="3" fillId="0" borderId="0" xfId="1" applyFont="1" applyAlignment="1"/>
    <xf numFmtId="0" fontId="4" fillId="0" borderId="0" xfId="1" applyFont="1"/>
    <xf numFmtId="164" fontId="4" fillId="0" borderId="0" xfId="1" applyNumberFormat="1" applyFont="1"/>
    <xf numFmtId="0" fontId="4" fillId="0" borderId="0" xfId="1" applyFont="1" applyBorder="1" applyAlignment="1"/>
    <xf numFmtId="164" fontId="4" fillId="0" borderId="1" xfId="1" applyNumberFormat="1" applyFont="1" applyBorder="1"/>
    <xf numFmtId="0" fontId="3" fillId="0" borderId="0" xfId="1" applyFont="1"/>
    <xf numFmtId="164" fontId="3" fillId="0" borderId="0" xfId="1" applyNumberFormat="1" applyFont="1"/>
    <xf numFmtId="0" fontId="4" fillId="0" borderId="0" xfId="2" applyFont="1"/>
    <xf numFmtId="10" fontId="10" fillId="0" borderId="12" xfId="2" applyNumberFormat="1" applyFont="1" applyBorder="1"/>
    <xf numFmtId="0" fontId="4" fillId="0" borderId="0" xfId="1" quotePrefix="1" applyFont="1" applyAlignment="1"/>
    <xf numFmtId="0" fontId="6" fillId="2" borderId="13" xfId="1" applyFont="1" applyFill="1" applyBorder="1"/>
    <xf numFmtId="0" fontId="4" fillId="2" borderId="2" xfId="1" applyFont="1" applyFill="1" applyBorder="1"/>
    <xf numFmtId="37" fontId="4" fillId="0" borderId="0" xfId="1" applyNumberFormat="1" applyFont="1"/>
    <xf numFmtId="0" fontId="4" fillId="0" borderId="0" xfId="1" applyFont="1" applyAlignment="1">
      <alignment horizontal="left"/>
    </xf>
    <xf numFmtId="0" fontId="4" fillId="0" borderId="14" xfId="1" applyFont="1" applyBorder="1" applyAlignment="1">
      <alignment horizontal="left"/>
    </xf>
    <xf numFmtId="0" fontId="4" fillId="0" borderId="0" xfId="1" applyFont="1" applyBorder="1"/>
    <xf numFmtId="0" fontId="4" fillId="0" borderId="14" xfId="1" applyFont="1" applyBorder="1"/>
    <xf numFmtId="0" fontId="3" fillId="0" borderId="0" xfId="1" applyFont="1" applyAlignment="1">
      <alignment horizontal="left"/>
    </xf>
    <xf numFmtId="166" fontId="3" fillId="0" borderId="0" xfId="2" applyNumberFormat="1" applyFont="1"/>
    <xf numFmtId="0" fontId="3" fillId="0" borderId="14" xfId="1" applyFont="1" applyBorder="1"/>
    <xf numFmtId="164" fontId="4" fillId="0" borderId="0" xfId="2" applyNumberFormat="1" applyFont="1" applyAlignment="1"/>
    <xf numFmtId="0" fontId="2" fillId="0" borderId="0" xfId="1"/>
    <xf numFmtId="164" fontId="3" fillId="0" borderId="0" xfId="2" applyNumberFormat="1" applyFont="1" applyAlignment="1"/>
    <xf numFmtId="38" fontId="4" fillId="0" borderId="0" xfId="1" applyNumberFormat="1" applyFont="1"/>
    <xf numFmtId="38" fontId="3" fillId="0" borderId="0" xfId="1" applyNumberFormat="1" applyFont="1"/>
    <xf numFmtId="180" fontId="3" fillId="0" borderId="0" xfId="1" applyNumberFormat="1" applyFont="1" applyFill="1" applyBorder="1" applyAlignment="1" applyProtection="1"/>
    <xf numFmtId="170" fontId="4" fillId="0" borderId="0" xfId="1" applyNumberFormat="1" applyFont="1"/>
    <xf numFmtId="174" fontId="4" fillId="5" borderId="15" xfId="1" applyNumberFormat="1" applyFont="1" applyFill="1" applyBorder="1"/>
    <xf numFmtId="171" fontId="10" fillId="0" borderId="15" xfId="1" applyNumberFormat="1" applyFont="1" applyBorder="1"/>
    <xf numFmtId="173" fontId="10" fillId="0" borderId="15" xfId="1" applyNumberFormat="1" applyFont="1" applyBorder="1"/>
    <xf numFmtId="173" fontId="4" fillId="0" borderId="15" xfId="1" applyNumberFormat="1" applyFont="1" applyBorder="1"/>
    <xf numFmtId="164" fontId="4" fillId="0" borderId="0" xfId="1" applyNumberFormat="1" applyFont="1" applyAlignment="1"/>
    <xf numFmtId="0" fontId="4" fillId="3" borderId="0" xfId="1" applyFont="1" applyFill="1"/>
    <xf numFmtId="0" fontId="4" fillId="0" borderId="0" xfId="1" applyFont="1" applyFill="1" applyBorder="1" applyAlignment="1"/>
    <xf numFmtId="0" fontId="3" fillId="0" borderId="0" xfId="1" applyFont="1" applyFill="1" applyBorder="1" applyAlignment="1"/>
    <xf numFmtId="168" fontId="4" fillId="0" borderId="0" xfId="1" applyNumberFormat="1" applyFont="1" applyFill="1" applyBorder="1" applyAlignment="1"/>
    <xf numFmtId="0" fontId="4" fillId="2" borderId="0" xfId="1" applyFont="1" applyFill="1" applyBorder="1" applyAlignment="1"/>
    <xf numFmtId="0" fontId="4" fillId="0" borderId="0" xfId="1" applyFont="1" applyFill="1"/>
    <xf numFmtId="0" fontId="4" fillId="0" borderId="0" xfId="1" applyFont="1" applyFill="1" applyBorder="1"/>
    <xf numFmtId="0" fontId="4" fillId="0" borderId="0" xfId="1" applyFont="1" applyFill="1" applyBorder="1" applyAlignment="1">
      <alignment horizontal="centerContinuous"/>
    </xf>
    <xf numFmtId="0" fontId="3" fillId="0" borderId="0" xfId="1" applyFont="1" applyFill="1" applyBorder="1" applyAlignment="1">
      <alignment horizontal="centerContinuous"/>
    </xf>
    <xf numFmtId="0" fontId="4" fillId="0" borderId="1" xfId="1" applyFont="1" applyFill="1" applyBorder="1" applyAlignment="1"/>
    <xf numFmtId="0" fontId="4" fillId="0" borderId="0" xfId="1" quotePrefix="1" applyFont="1" applyFill="1" applyBorder="1" applyAlignment="1"/>
    <xf numFmtId="0" fontId="10" fillId="0" borderId="0" xfId="1" applyFont="1" applyFill="1" applyBorder="1" applyAlignment="1"/>
    <xf numFmtId="5" fontId="4" fillId="0" borderId="0" xfId="1" applyNumberFormat="1" applyFont="1" applyFill="1" applyBorder="1" applyAlignment="1"/>
    <xf numFmtId="164" fontId="4" fillId="0" borderId="0" xfId="1" applyNumberFormat="1" applyFont="1" applyFill="1" applyBorder="1" applyAlignment="1"/>
    <xf numFmtId="0" fontId="4" fillId="2" borderId="0" xfId="1" quotePrefix="1" applyFont="1" applyFill="1" applyBorder="1" applyAlignment="1"/>
    <xf numFmtId="0" fontId="4" fillId="0" borderId="0" xfId="1" applyFont="1" applyFill="1" applyBorder="1" applyAlignment="1">
      <alignment horizontal="left" wrapText="1"/>
    </xf>
    <xf numFmtId="165" fontId="3" fillId="0" borderId="0" xfId="1" applyNumberFormat="1" applyFont="1" applyFill="1" applyBorder="1" applyAlignment="1">
      <alignment horizontal="left" wrapText="1"/>
    </xf>
    <xf numFmtId="3" fontId="4" fillId="0" borderId="0" xfId="1" applyNumberFormat="1" applyFont="1" applyFill="1" applyBorder="1" applyAlignment="1">
      <alignment horizontal="center"/>
    </xf>
    <xf numFmtId="0" fontId="4" fillId="0" borderId="0" xfId="1" applyNumberFormat="1" applyFont="1" applyFill="1" applyBorder="1" applyAlignment="1">
      <alignment horizontal="center"/>
    </xf>
    <xf numFmtId="175" fontId="4" fillId="0" borderId="0" xfId="1" applyNumberFormat="1" applyFont="1" applyFill="1" applyBorder="1" applyAlignment="1">
      <alignment horizontal="center"/>
    </xf>
    <xf numFmtId="168" fontId="4" fillId="0" borderId="0" xfId="1" applyNumberFormat="1" applyFont="1" applyFill="1" applyBorder="1" applyAlignment="1">
      <alignment horizontal="center"/>
    </xf>
    <xf numFmtId="175" fontId="4" fillId="0" borderId="0" xfId="1" applyNumberFormat="1" applyFont="1" applyFill="1" applyBorder="1" applyAlignment="1">
      <alignment horizontal="right"/>
    </xf>
    <xf numFmtId="0" fontId="4" fillId="2" borderId="0" xfId="1" applyFont="1" applyFill="1" applyBorder="1" applyAlignment="1">
      <alignment wrapText="1"/>
    </xf>
    <xf numFmtId="0" fontId="3" fillId="2" borderId="0" xfId="1" applyFont="1" applyFill="1" applyBorder="1" applyAlignment="1">
      <alignment wrapText="1"/>
    </xf>
    <xf numFmtId="0" fontId="4" fillId="0" borderId="0" xfId="1" applyFont="1" applyBorder="1" applyAlignment="1">
      <alignment wrapText="1"/>
    </xf>
    <xf numFmtId="0" fontId="3" fillId="2" borderId="0" xfId="1" applyFont="1" applyFill="1" applyBorder="1" applyAlignment="1">
      <alignment vertical="top"/>
    </xf>
    <xf numFmtId="164" fontId="3" fillId="2" borderId="0" xfId="1" applyNumberFormat="1" applyFont="1" applyFill="1" applyBorder="1" applyAlignment="1">
      <alignment horizontal="center" vertical="top"/>
    </xf>
    <xf numFmtId="0" fontId="3" fillId="2" borderId="0" xfId="1" applyFont="1" applyFill="1" applyBorder="1" applyAlignment="1">
      <alignment horizontal="center" wrapText="1"/>
    </xf>
    <xf numFmtId="0" fontId="3" fillId="2" borderId="0" xfId="1" applyFont="1" applyFill="1" applyBorder="1" applyAlignment="1">
      <alignment horizontal="center" vertical="top" wrapText="1"/>
    </xf>
    <xf numFmtId="0" fontId="3" fillId="2" borderId="0" xfId="1" applyFont="1" applyFill="1" applyBorder="1" applyAlignment="1">
      <alignment horizontal="center" vertical="top"/>
    </xf>
    <xf numFmtId="165" fontId="3" fillId="2" borderId="0" xfId="1" applyNumberFormat="1" applyFont="1" applyFill="1" applyBorder="1" applyAlignment="1">
      <alignment horizontal="center" wrapText="1"/>
    </xf>
    <xf numFmtId="0" fontId="4" fillId="0" borderId="0" xfId="1" applyFont="1" applyAlignment="1">
      <alignment horizontal="center"/>
    </xf>
    <xf numFmtId="0" fontId="4" fillId="2" borderId="0" xfId="1" applyFont="1" applyFill="1"/>
    <xf numFmtId="0" fontId="29" fillId="2" borderId="1" xfId="1" applyFont="1" applyFill="1" applyBorder="1" applyAlignment="1">
      <alignment horizontal="centerContinuous"/>
    </xf>
    <xf numFmtId="0" fontId="29" fillId="2" borderId="0" xfId="1" applyFont="1" applyFill="1" applyAlignment="1"/>
    <xf numFmtId="0" fontId="29" fillId="2" borderId="0" xfId="1" applyFont="1" applyFill="1" applyBorder="1" applyAlignment="1">
      <alignment horizontal="center" wrapText="1"/>
    </xf>
    <xf numFmtId="0" fontId="29" fillId="2" borderId="0" xfId="1" applyFont="1" applyFill="1" applyBorder="1" applyAlignment="1">
      <alignment wrapText="1"/>
    </xf>
    <xf numFmtId="0" fontId="3" fillId="3" borderId="0" xfId="1" applyFont="1" applyFill="1" applyAlignment="1"/>
    <xf numFmtId="0" fontId="3" fillId="6" borderId="0" xfId="1" applyFont="1" applyFill="1" applyBorder="1" applyAlignment="1"/>
    <xf numFmtId="0" fontId="4" fillId="0" borderId="9" xfId="1" quotePrefix="1" applyFont="1" applyFill="1" applyBorder="1" applyAlignment="1"/>
    <xf numFmtId="0" fontId="3" fillId="0" borderId="9" xfId="1" applyFont="1" applyFill="1" applyBorder="1" applyAlignment="1"/>
    <xf numFmtId="0" fontId="5" fillId="3" borderId="0" xfId="1" applyFont="1" applyFill="1" applyAlignment="1"/>
    <xf numFmtId="0" fontId="5" fillId="0" borderId="0" xfId="1" applyFont="1" applyFill="1" applyAlignment="1"/>
    <xf numFmtId="0" fontId="3" fillId="6" borderId="0" xfId="1" applyFont="1" applyFill="1" applyAlignment="1"/>
    <xf numFmtId="0" fontId="4" fillId="0" borderId="9" xfId="1" applyFont="1" applyBorder="1" applyAlignment="1"/>
    <xf numFmtId="0" fontId="4" fillId="2" borderId="0" xfId="0" applyFont="1" applyFill="1" applyBorder="1"/>
    <xf numFmtId="0" fontId="3" fillId="2" borderId="0" xfId="0" applyFont="1" applyFill="1" applyBorder="1" applyAlignment="1">
      <alignment horizontal="center"/>
    </xf>
    <xf numFmtId="8" fontId="4" fillId="0" borderId="0" xfId="0" applyNumberFormat="1" applyFont="1" applyAlignment="1">
      <alignment horizontal="right"/>
    </xf>
    <xf numFmtId="0" fontId="11" fillId="0" borderId="0" xfId="0" applyFont="1" applyBorder="1"/>
    <xf numFmtId="0" fontId="4" fillId="7" borderId="0" xfId="1" applyFont="1" applyFill="1" applyAlignment="1"/>
    <xf numFmtId="0" fontId="10" fillId="7" borderId="0" xfId="1" applyFont="1" applyFill="1" applyBorder="1" applyAlignment="1"/>
    <xf numFmtId="5" fontId="4" fillId="7" borderId="0" xfId="1" applyNumberFormat="1" applyFont="1" applyFill="1" applyBorder="1" applyAlignment="1"/>
    <xf numFmtId="0" fontId="3" fillId="7" borderId="0" xfId="1" applyFont="1" applyFill="1" applyAlignment="1"/>
    <xf numFmtId="8" fontId="3" fillId="0" borderId="0" xfId="0" applyNumberFormat="1" applyFont="1" applyAlignment="1">
      <alignment horizontal="right"/>
    </xf>
    <xf numFmtId="6" fontId="4" fillId="0" borderId="0" xfId="1" applyNumberFormat="1" applyFont="1" applyFill="1" applyBorder="1" applyAlignment="1">
      <alignment horizontal="right"/>
    </xf>
    <xf numFmtId="6" fontId="4" fillId="3" borderId="0" xfId="1" applyNumberFormat="1" applyFont="1" applyFill="1" applyAlignment="1"/>
    <xf numFmtId="6" fontId="4" fillId="0" borderId="0" xfId="1" applyNumberFormat="1" applyFont="1" applyFill="1" applyBorder="1" applyAlignment="1">
      <alignment horizontal="center"/>
    </xf>
    <xf numFmtId="0" fontId="4" fillId="0" borderId="0" xfId="0" applyFont="1" applyAlignment="1">
      <alignment horizontal="left" indent="1"/>
    </xf>
    <xf numFmtId="0" fontId="3" fillId="6" borderId="0" xfId="1" applyFont="1" applyFill="1" applyBorder="1" applyAlignment="1">
      <alignment horizontal="right"/>
    </xf>
    <xf numFmtId="8" fontId="3" fillId="6" borderId="0" xfId="1" applyNumberFormat="1" applyFont="1" applyFill="1" applyBorder="1" applyAlignment="1"/>
    <xf numFmtId="0" fontId="4" fillId="0" borderId="16" xfId="1" applyFont="1" applyBorder="1" applyAlignment="1"/>
    <xf numFmtId="164" fontId="4" fillId="0" borderId="16" xfId="1" applyNumberFormat="1" applyFont="1" applyBorder="1" applyAlignment="1"/>
    <xf numFmtId="38" fontId="4" fillId="0" borderId="16" xfId="1" applyNumberFormat="1" applyFont="1" applyBorder="1"/>
    <xf numFmtId="8" fontId="13" fillId="0" borderId="0" xfId="0" applyNumberFormat="1" applyFont="1" applyFill="1" applyBorder="1"/>
    <xf numFmtId="0" fontId="3" fillId="0" borderId="0" xfId="0" applyFont="1" applyBorder="1"/>
    <xf numFmtId="37" fontId="10" fillId="0" borderId="0" xfId="0" applyNumberFormat="1" applyFont="1" applyFill="1" applyBorder="1"/>
    <xf numFmtId="0" fontId="4" fillId="0" borderId="5" xfId="0" applyFont="1" applyFill="1" applyBorder="1"/>
    <xf numFmtId="0" fontId="4" fillId="0" borderId="5" xfId="0" applyFont="1" applyBorder="1"/>
    <xf numFmtId="37" fontId="4" fillId="0" borderId="5" xfId="0" applyNumberFormat="1" applyFont="1" applyBorder="1"/>
    <xf numFmtId="6" fontId="3" fillId="0" borderId="0" xfId="0" applyNumberFormat="1" applyFont="1"/>
    <xf numFmtId="0" fontId="6" fillId="0" borderId="0" xfId="0" applyFont="1"/>
    <xf numFmtId="166" fontId="10" fillId="0" borderId="0" xfId="0" applyNumberFormat="1" applyFont="1" applyFill="1"/>
    <xf numFmtId="166" fontId="10" fillId="0" borderId="1" xfId="0" applyNumberFormat="1" applyFont="1" applyFill="1" applyBorder="1"/>
    <xf numFmtId="0" fontId="3" fillId="0" borderId="17" xfId="0" applyFont="1" applyBorder="1"/>
    <xf numFmtId="180" fontId="3" fillId="0" borderId="8" xfId="0" applyNumberFormat="1" applyFont="1" applyBorder="1"/>
    <xf numFmtId="0" fontId="3" fillId="0" borderId="2" xfId="0" applyFont="1" applyBorder="1" applyAlignment="1">
      <alignment horizontal="left"/>
    </xf>
    <xf numFmtId="0" fontId="4" fillId="0" borderId="2" xfId="0" applyFont="1" applyBorder="1"/>
    <xf numFmtId="0" fontId="3" fillId="0" borderId="2" xfId="0" applyFont="1" applyBorder="1" applyAlignment="1">
      <alignment horizontal="center"/>
    </xf>
    <xf numFmtId="0" fontId="3" fillId="0" borderId="1" xfId="0" applyFont="1" applyBorder="1" applyAlignment="1">
      <alignment horizontal="left"/>
    </xf>
    <xf numFmtId="0" fontId="3" fillId="0" borderId="1" xfId="0" applyFont="1" applyBorder="1" applyAlignment="1">
      <alignment horizontal="center"/>
    </xf>
    <xf numFmtId="4" fontId="10" fillId="0" borderId="0" xfId="0" applyNumberFormat="1" applyFont="1" applyBorder="1" applyAlignment="1">
      <alignment horizontal="left" indent="1"/>
    </xf>
    <xf numFmtId="8" fontId="10" fillId="0" borderId="0" xfId="0" applyNumberFormat="1" applyFont="1" applyBorder="1" applyAlignment="1">
      <alignment horizontal="right"/>
    </xf>
    <xf numFmtId="38" fontId="4" fillId="0" borderId="0" xfId="0" applyNumberFormat="1" applyFont="1" applyBorder="1" applyAlignment="1">
      <alignment horizontal="right"/>
    </xf>
    <xf numFmtId="40" fontId="10" fillId="0" borderId="1" xfId="0" applyNumberFormat="1" applyFont="1" applyBorder="1" applyAlignment="1">
      <alignment horizontal="left" indent="1"/>
    </xf>
    <xf numFmtId="40" fontId="10" fillId="0" borderId="1" xfId="0" applyNumberFormat="1" applyFont="1" applyBorder="1" applyAlignment="1">
      <alignment horizontal="right"/>
    </xf>
    <xf numFmtId="38" fontId="4" fillId="0" borderId="1" xfId="0" applyNumberFormat="1" applyFont="1" applyBorder="1" applyAlignment="1">
      <alignment horizontal="right"/>
    </xf>
    <xf numFmtId="37" fontId="13" fillId="0" borderId="1" xfId="0" applyNumberFormat="1" applyFont="1" applyBorder="1"/>
    <xf numFmtId="6" fontId="24" fillId="6" borderId="0" xfId="1" applyNumberFormat="1" applyFont="1" applyFill="1" applyBorder="1" applyAlignment="1"/>
    <xf numFmtId="180" fontId="24" fillId="6" borderId="0" xfId="1" applyNumberFormat="1" applyFont="1" applyFill="1" applyBorder="1" applyAlignment="1"/>
    <xf numFmtId="0" fontId="3" fillId="0" borderId="0" xfId="1" applyFont="1" applyFill="1" applyBorder="1" applyAlignment="1">
      <alignment horizontal="left" indent="3"/>
    </xf>
    <xf numFmtId="0" fontId="5" fillId="0" borderId="0" xfId="1" applyFont="1" applyFill="1" applyBorder="1" applyAlignment="1"/>
    <xf numFmtId="175" fontId="10" fillId="0" borderId="0" xfId="1" applyNumberFormat="1" applyFont="1" applyFill="1" applyBorder="1" applyAlignment="1">
      <alignment horizontal="center"/>
    </xf>
    <xf numFmtId="0" fontId="4" fillId="0" borderId="0" xfId="1" applyFont="1" applyFill="1" applyBorder="1" applyAlignment="1">
      <alignment horizontal="center"/>
    </xf>
    <xf numFmtId="168" fontId="4" fillId="0" borderId="1" xfId="1" applyNumberFormat="1" applyFont="1" applyFill="1" applyBorder="1" applyAlignment="1">
      <alignment horizontal="center"/>
    </xf>
    <xf numFmtId="0" fontId="4" fillId="0" borderId="1" xfId="1" applyNumberFormat="1" applyFont="1" applyFill="1" applyBorder="1" applyAlignment="1">
      <alignment horizontal="center"/>
    </xf>
    <xf numFmtId="0" fontId="4" fillId="0" borderId="1" xfId="1" applyFont="1" applyFill="1" applyBorder="1" applyAlignment="1">
      <alignment horizontal="center"/>
    </xf>
    <xf numFmtId="173" fontId="10" fillId="3" borderId="0" xfId="1" applyNumberFormat="1" applyFont="1" applyFill="1" applyBorder="1" applyAlignment="1">
      <alignment horizontal="center"/>
    </xf>
    <xf numFmtId="175" fontId="10" fillId="0" borderId="1" xfId="1" applyNumberFormat="1" applyFont="1" applyFill="1" applyBorder="1" applyAlignment="1">
      <alignment horizontal="center"/>
    </xf>
    <xf numFmtId="0" fontId="10" fillId="0" borderId="1" xfId="1" applyNumberFormat="1" applyFont="1" applyFill="1" applyBorder="1" applyAlignment="1">
      <alignment horizontal="center"/>
    </xf>
    <xf numFmtId="0" fontId="10" fillId="0" borderId="1" xfId="1" applyFont="1" applyFill="1" applyBorder="1" applyAlignment="1">
      <alignment horizontal="center"/>
    </xf>
    <xf numFmtId="3" fontId="4" fillId="0" borderId="1" xfId="1" applyNumberFormat="1" applyFont="1" applyFill="1" applyBorder="1" applyAlignment="1">
      <alignment horizontal="center"/>
    </xf>
    <xf numFmtId="3" fontId="3" fillId="0" borderId="0" xfId="1" applyNumberFormat="1" applyFont="1" applyFill="1" applyBorder="1" applyAlignment="1">
      <alignment horizontal="center"/>
    </xf>
    <xf numFmtId="0" fontId="4" fillId="0" borderId="9" xfId="1" applyFont="1" applyFill="1" applyBorder="1" applyAlignment="1"/>
    <xf numFmtId="175" fontId="10" fillId="0" borderId="9" xfId="1" applyNumberFormat="1" applyFont="1" applyFill="1" applyBorder="1" applyAlignment="1">
      <alignment horizontal="center"/>
    </xf>
    <xf numFmtId="168" fontId="4" fillId="0" borderId="9" xfId="1" applyNumberFormat="1" applyFont="1" applyFill="1" applyBorder="1" applyAlignment="1">
      <alignment horizontal="center"/>
    </xf>
    <xf numFmtId="0" fontId="4" fillId="0" borderId="9" xfId="1" applyFont="1" applyFill="1" applyBorder="1" applyAlignment="1">
      <alignment horizontal="center"/>
    </xf>
    <xf numFmtId="37" fontId="13" fillId="0" borderId="1" xfId="1" applyNumberFormat="1" applyFont="1" applyFill="1" applyBorder="1" applyAlignment="1">
      <alignment horizontal="center"/>
    </xf>
    <xf numFmtId="4" fontId="13" fillId="0" borderId="1" xfId="1" applyNumberFormat="1" applyFont="1" applyFill="1" applyBorder="1" applyAlignment="1">
      <alignment horizontal="center"/>
    </xf>
    <xf numFmtId="0" fontId="4" fillId="0" borderId="1" xfId="1" applyFont="1" applyBorder="1"/>
    <xf numFmtId="4" fontId="18" fillId="0" borderId="1" xfId="1" applyNumberFormat="1" applyFont="1" applyFill="1" applyBorder="1" applyAlignment="1">
      <alignment horizontal="center"/>
    </xf>
    <xf numFmtId="37" fontId="4" fillId="0" borderId="1" xfId="1" applyNumberFormat="1" applyFont="1" applyFill="1" applyBorder="1" applyAlignment="1">
      <alignment horizontal="center"/>
    </xf>
    <xf numFmtId="3" fontId="24" fillId="0" borderId="0" xfId="1" applyNumberFormat="1" applyFont="1" applyFill="1" applyBorder="1" applyAlignment="1">
      <alignment horizontal="center"/>
    </xf>
    <xf numFmtId="8" fontId="3" fillId="0" borderId="0" xfId="1" applyNumberFormat="1" applyFont="1" applyFill="1" applyBorder="1" applyAlignment="1">
      <alignment horizontal="center"/>
    </xf>
    <xf numFmtId="0" fontId="1" fillId="0" borderId="2" xfId="0" applyFont="1" applyBorder="1"/>
    <xf numFmtId="0" fontId="1" fillId="0" borderId="0" xfId="0" applyFont="1" applyBorder="1"/>
    <xf numFmtId="0" fontId="11" fillId="0" borderId="0" xfId="0" applyFont="1" applyBorder="1" applyAlignment="1">
      <alignment horizontal="centerContinuous"/>
    </xf>
    <xf numFmtId="0" fontId="1" fillId="0" borderId="1" xfId="0" applyFont="1" applyBorder="1"/>
    <xf numFmtId="0" fontId="11" fillId="0" borderId="1" xfId="0" applyFont="1" applyBorder="1" applyAlignment="1">
      <alignment horizontal="center"/>
    </xf>
    <xf numFmtId="0" fontId="11" fillId="0" borderId="1" xfId="0" applyFont="1" applyBorder="1"/>
    <xf numFmtId="0" fontId="1" fillId="0" borderId="0" xfId="0" applyFont="1"/>
    <xf numFmtId="8" fontId="22" fillId="0" borderId="0" xfId="0" applyNumberFormat="1" applyFont="1"/>
    <xf numFmtId="8" fontId="30" fillId="0" borderId="0" xfId="0" applyNumberFormat="1" applyFont="1"/>
    <xf numFmtId="0" fontId="30" fillId="0" borderId="0" xfId="0" applyFont="1"/>
    <xf numFmtId="8" fontId="1" fillId="0" borderId="0" xfId="0" applyNumberFormat="1" applyFont="1"/>
    <xf numFmtId="164" fontId="13" fillId="0" borderId="0" xfId="1" applyNumberFormat="1" applyFont="1"/>
    <xf numFmtId="0" fontId="31" fillId="3" borderId="0" xfId="0" applyFont="1" applyFill="1" applyAlignment="1" applyProtection="1">
      <alignment vertical="center"/>
    </xf>
    <xf numFmtId="0" fontId="32" fillId="3" borderId="0" xfId="0" applyFont="1" applyFill="1" applyAlignment="1" applyProtection="1">
      <alignment vertical="center"/>
    </xf>
    <xf numFmtId="164" fontId="32" fillId="3" borderId="0" xfId="0" applyNumberFormat="1" applyFont="1" applyFill="1" applyAlignment="1" applyProtection="1">
      <alignment vertical="center"/>
    </xf>
    <xf numFmtId="0" fontId="32" fillId="0" borderId="0" xfId="0" applyFont="1" applyAlignment="1" applyProtection="1">
      <alignment vertical="center"/>
    </xf>
    <xf numFmtId="0" fontId="3" fillId="2" borderId="2" xfId="0" applyFont="1" applyFill="1" applyBorder="1" applyAlignment="1" applyProtection="1"/>
    <xf numFmtId="164" fontId="4" fillId="2" borderId="2" xfId="0" applyNumberFormat="1" applyFont="1" applyFill="1" applyBorder="1" applyAlignment="1" applyProtection="1"/>
    <xf numFmtId="164" fontId="3" fillId="2" borderId="2" xfId="0" applyNumberFormat="1" applyFont="1" applyFill="1" applyBorder="1" applyAlignment="1" applyProtection="1"/>
    <xf numFmtId="0" fontId="3" fillId="2" borderId="2" xfId="0" applyFont="1" applyFill="1" applyBorder="1" applyProtection="1"/>
    <xf numFmtId="0" fontId="4" fillId="0" borderId="0" xfId="0" applyFont="1" applyProtection="1"/>
    <xf numFmtId="0" fontId="4" fillId="2" borderId="0" xfId="0" applyFont="1" applyFill="1" applyAlignment="1" applyProtection="1"/>
    <xf numFmtId="164" fontId="4" fillId="2" borderId="0" xfId="0" applyNumberFormat="1" applyFont="1" applyFill="1" applyAlignment="1" applyProtection="1"/>
    <xf numFmtId="0" fontId="4" fillId="2" borderId="0" xfId="0" quotePrefix="1" applyFont="1" applyFill="1" applyAlignment="1" applyProtection="1"/>
    <xf numFmtId="164" fontId="3" fillId="2" borderId="1" xfId="0" applyNumberFormat="1" applyFont="1" applyFill="1" applyBorder="1" applyAlignment="1" applyProtection="1">
      <alignment horizontal="centerContinuous"/>
    </xf>
    <xf numFmtId="164" fontId="3" fillId="2" borderId="3" xfId="0" applyNumberFormat="1" applyFont="1" applyFill="1" applyBorder="1" applyAlignment="1" applyProtection="1">
      <alignment horizontal="centerContinuous"/>
    </xf>
    <xf numFmtId="164" fontId="3" fillId="2" borderId="4" xfId="0" applyNumberFormat="1" applyFont="1" applyFill="1" applyBorder="1" applyAlignment="1" applyProtection="1">
      <alignment horizontal="centerContinuous"/>
    </xf>
    <xf numFmtId="0" fontId="4" fillId="2" borderId="1" xfId="0" applyFont="1" applyFill="1" applyBorder="1" applyAlignment="1" applyProtection="1">
      <alignment horizontal="centerContinuous"/>
    </xf>
    <xf numFmtId="0" fontId="3" fillId="2" borderId="1" xfId="0" applyFont="1" applyFill="1" applyBorder="1" applyAlignment="1" applyProtection="1">
      <alignment horizontal="centerContinuous"/>
    </xf>
    <xf numFmtId="0" fontId="1" fillId="0" borderId="0" xfId="0" applyFont="1" applyProtection="1"/>
    <xf numFmtId="164" fontId="3" fillId="2" borderId="0" xfId="0" applyNumberFormat="1" applyFont="1" applyFill="1" applyBorder="1" applyAlignment="1" applyProtection="1">
      <alignment horizontal="centerContinuous"/>
    </xf>
    <xf numFmtId="0" fontId="3" fillId="2" borderId="0" xfId="0" applyFont="1" applyFill="1" applyAlignment="1" applyProtection="1">
      <alignment horizontal="centerContinuous"/>
    </xf>
    <xf numFmtId="0" fontId="3" fillId="2" borderId="1" xfId="0" applyFont="1" applyFill="1" applyBorder="1" applyAlignment="1" applyProtection="1"/>
    <xf numFmtId="164" fontId="4" fillId="2" borderId="1" xfId="0" applyNumberFormat="1" applyFont="1" applyFill="1" applyBorder="1" applyAlignment="1" applyProtection="1"/>
    <xf numFmtId="0" fontId="3" fillId="2" borderId="1" xfId="0" applyFont="1" applyFill="1" applyBorder="1" applyAlignment="1" applyProtection="1">
      <alignment wrapText="1"/>
    </xf>
    <xf numFmtId="176" fontId="3" fillId="2" borderId="1" xfId="0" applyNumberFormat="1" applyFont="1" applyFill="1" applyBorder="1" applyAlignment="1" applyProtection="1">
      <alignment horizontal="right" wrapText="1"/>
    </xf>
    <xf numFmtId="177" fontId="3" fillId="2" borderId="1" xfId="0" applyNumberFormat="1" applyFont="1" applyFill="1" applyBorder="1" applyAlignment="1" applyProtection="1">
      <alignment horizontal="right" wrapText="1"/>
    </xf>
    <xf numFmtId="0" fontId="5" fillId="0" borderId="0" xfId="0" applyFont="1" applyFill="1" applyAlignment="1">
      <alignment wrapText="1"/>
    </xf>
    <xf numFmtId="9" fontId="17" fillId="0" borderId="0" xfId="0" applyNumberFormat="1" applyFont="1" applyFill="1" applyAlignment="1">
      <alignment wrapText="1"/>
    </xf>
    <xf numFmtId="168" fontId="12" fillId="0" borderId="0" xfId="0" applyNumberFormat="1" applyFont="1" applyFill="1" applyAlignment="1">
      <alignment wrapText="1"/>
    </xf>
    <xf numFmtId="168" fontId="24" fillId="0" borderId="0" xfId="0" applyNumberFormat="1" applyFont="1" applyBorder="1" applyAlignment="1"/>
    <xf numFmtId="166" fontId="24" fillId="0" borderId="0" xfId="0" applyNumberFormat="1" applyFont="1" applyBorder="1" applyAlignment="1"/>
    <xf numFmtId="168" fontId="24" fillId="0" borderId="0" xfId="0" applyNumberFormat="1" applyFont="1" applyFill="1" applyBorder="1" applyAlignment="1"/>
    <xf numFmtId="168" fontId="16" fillId="0" borderId="7" xfId="0" applyNumberFormat="1" applyFont="1" applyBorder="1" applyAlignment="1"/>
    <xf numFmtId="166" fontId="24" fillId="0" borderId="7" xfId="0" applyNumberFormat="1" applyFont="1" applyBorder="1" applyAlignment="1"/>
    <xf numFmtId="0" fontId="4" fillId="0" borderId="7" xfId="0" applyFont="1" applyBorder="1" applyAlignment="1"/>
    <xf numFmtId="4" fontId="3" fillId="0" borderId="7" xfId="0" applyNumberFormat="1" applyFont="1" applyBorder="1" applyAlignment="1"/>
    <xf numFmtId="3" fontId="15" fillId="0" borderId="7" xfId="0" applyNumberFormat="1" applyFont="1" applyBorder="1" applyAlignment="1"/>
    <xf numFmtId="169" fontId="4" fillId="0" borderId="7" xfId="0" applyNumberFormat="1" applyFont="1" applyBorder="1" applyAlignment="1"/>
    <xf numFmtId="168" fontId="4" fillId="0" borderId="7" xfId="0" applyNumberFormat="1" applyFont="1" applyBorder="1" applyAlignment="1">
      <alignment horizontal="right"/>
    </xf>
    <xf numFmtId="168" fontId="3" fillId="0" borderId="7" xfId="0" applyNumberFormat="1" applyFont="1" applyBorder="1" applyAlignment="1">
      <alignment horizontal="right"/>
    </xf>
    <xf numFmtId="166" fontId="3" fillId="0" borderId="7" xfId="0" applyNumberFormat="1" applyFont="1" applyBorder="1" applyAlignment="1">
      <alignment horizontal="right"/>
    </xf>
    <xf numFmtId="166" fontId="13" fillId="0" borderId="0" xfId="0" applyNumberFormat="1" applyFont="1" applyFill="1" applyAlignment="1">
      <alignment horizontal="right"/>
    </xf>
    <xf numFmtId="166" fontId="13" fillId="0" borderId="0" xfId="0" applyNumberFormat="1" applyFont="1" applyFill="1" applyAlignment="1"/>
    <xf numFmtId="166" fontId="18" fillId="0" borderId="0" xfId="0" applyNumberFormat="1" applyFont="1" applyFill="1" applyAlignment="1">
      <alignment horizontal="right"/>
    </xf>
    <xf numFmtId="170" fontId="17" fillId="0" borderId="0" xfId="0" applyNumberFormat="1" applyFont="1" applyFill="1" applyBorder="1" applyAlignment="1"/>
    <xf numFmtId="170" fontId="13" fillId="0" borderId="0" xfId="0" applyNumberFormat="1" applyFont="1" applyBorder="1" applyAlignment="1"/>
    <xf numFmtId="168" fontId="13" fillId="0" borderId="0" xfId="0" applyNumberFormat="1" applyFont="1" applyBorder="1" applyAlignment="1"/>
    <xf numFmtId="168" fontId="13" fillId="0" borderId="0" xfId="0" applyNumberFormat="1" applyFont="1" applyBorder="1" applyAlignment="1">
      <alignment horizontal="right"/>
    </xf>
    <xf numFmtId="171" fontId="5" fillId="0" borderId="1" xfId="0" applyNumberFormat="1" applyFont="1" applyFill="1" applyBorder="1" applyAlignment="1">
      <alignment horizontal="right"/>
    </xf>
    <xf numFmtId="171" fontId="5" fillId="0" borderId="1" xfId="0" applyNumberFormat="1" applyFont="1" applyFill="1" applyBorder="1" applyAlignment="1"/>
    <xf numFmtId="168" fontId="13" fillId="0" borderId="0" xfId="0" applyNumberFormat="1" applyFont="1" applyFill="1" applyBorder="1" applyAlignment="1">
      <alignment horizontal="right"/>
    </xf>
    <xf numFmtId="168" fontId="5" fillId="0" borderId="0" xfId="0" applyNumberFormat="1" applyFont="1" applyFill="1" applyBorder="1" applyAlignment="1">
      <alignment horizontal="right"/>
    </xf>
    <xf numFmtId="180" fontId="4" fillId="0" borderId="0" xfId="0" applyNumberFormat="1" applyFont="1" applyFill="1" applyBorder="1" applyAlignment="1">
      <alignment horizontal="right"/>
    </xf>
    <xf numFmtId="168" fontId="15" fillId="0" borderId="7" xfId="0" applyNumberFormat="1" applyFont="1" applyBorder="1" applyAlignment="1"/>
    <xf numFmtId="168" fontId="13" fillId="0" borderId="7" xfId="0" applyNumberFormat="1" applyFont="1" applyBorder="1" applyAlignment="1"/>
    <xf numFmtId="170" fontId="5" fillId="0" borderId="7" xfId="0" applyNumberFormat="1" applyFont="1" applyFill="1" applyBorder="1" applyAlignment="1"/>
    <xf numFmtId="170" fontId="13" fillId="0" borderId="7" xfId="0" applyNumberFormat="1" applyFont="1" applyBorder="1" applyAlignment="1"/>
    <xf numFmtId="168" fontId="13" fillId="0" borderId="7" xfId="0" applyNumberFormat="1" applyFont="1" applyBorder="1" applyAlignment="1">
      <alignment horizontal="right"/>
    </xf>
    <xf numFmtId="171" fontId="5" fillId="0" borderId="3" xfId="0" applyNumberFormat="1" applyFont="1" applyFill="1" applyBorder="1" applyAlignment="1">
      <alignment horizontal="right"/>
    </xf>
    <xf numFmtId="168" fontId="3" fillId="0" borderId="8" xfId="0" applyNumberFormat="1" applyFont="1" applyFill="1" applyBorder="1" applyAlignment="1">
      <alignment horizontal="right"/>
    </xf>
    <xf numFmtId="169" fontId="4" fillId="0" borderId="7" xfId="0" applyNumberFormat="1" applyFont="1" applyFill="1" applyBorder="1" applyAlignment="1">
      <alignment horizontal="right"/>
    </xf>
    <xf numFmtId="168" fontId="13" fillId="0" borderId="7" xfId="0" applyNumberFormat="1" applyFont="1" applyFill="1" applyBorder="1" applyAlignment="1">
      <alignment horizontal="right"/>
    </xf>
    <xf numFmtId="170" fontId="5" fillId="0" borderId="7" xfId="0" applyNumberFormat="1" applyFont="1" applyFill="1" applyBorder="1" applyAlignment="1">
      <alignment horizontal="right"/>
    </xf>
    <xf numFmtId="168" fontId="3" fillId="0" borderId="8" xfId="0" applyNumberFormat="1" applyFont="1" applyBorder="1" applyAlignment="1">
      <alignment horizontal="right"/>
    </xf>
    <xf numFmtId="180" fontId="4" fillId="0" borderId="7" xfId="0" applyNumberFormat="1" applyFont="1" applyFill="1" applyBorder="1" applyAlignment="1">
      <alignment horizontal="right"/>
    </xf>
    <xf numFmtId="164" fontId="3" fillId="0" borderId="3" xfId="0" applyNumberFormat="1" applyFont="1" applyBorder="1" applyAlignment="1">
      <alignment horizontal="center"/>
    </xf>
    <xf numFmtId="166" fontId="4" fillId="0" borderId="0" xfId="1" applyNumberFormat="1" applyFont="1"/>
    <xf numFmtId="166" fontId="13" fillId="0" borderId="0" xfId="1" applyNumberFormat="1" applyFont="1"/>
    <xf numFmtId="9" fontId="4" fillId="0" borderId="0" xfId="1" applyNumberFormat="1" applyFont="1"/>
    <xf numFmtId="9" fontId="18" fillId="0" borderId="0" xfId="1" applyNumberFormat="1" applyFont="1" applyAlignment="1">
      <alignment horizontal="center"/>
    </xf>
    <xf numFmtId="166" fontId="4" fillId="0" borderId="1" xfId="1" applyNumberFormat="1" applyFont="1" applyBorder="1"/>
    <xf numFmtId="8" fontId="13" fillId="0" borderId="7" xfId="1" applyNumberFormat="1" applyFont="1" applyBorder="1"/>
    <xf numFmtId="172" fontId="3" fillId="0" borderId="7" xfId="1" applyNumberFormat="1" applyFont="1" applyBorder="1"/>
    <xf numFmtId="0" fontId="4" fillId="0" borderId="1" xfId="1" applyFont="1" applyBorder="1" applyAlignment="1">
      <alignment horizontal="left"/>
    </xf>
    <xf numFmtId="0" fontId="4" fillId="0" borderId="2" xfId="1" applyFont="1" applyBorder="1"/>
    <xf numFmtId="0" fontId="4" fillId="0" borderId="6" xfId="1" applyFont="1" applyBorder="1"/>
    <xf numFmtId="0" fontId="4" fillId="0" borderId="4" xfId="1" applyFont="1" applyBorder="1" applyAlignment="1">
      <alignment horizontal="left"/>
    </xf>
    <xf numFmtId="38" fontId="13" fillId="0" borderId="3" xfId="1" applyNumberFormat="1" applyFont="1" applyBorder="1"/>
    <xf numFmtId="0" fontId="4" fillId="0" borderId="2" xfId="1" applyFont="1" applyBorder="1" applyAlignment="1">
      <alignment horizontal="left"/>
    </xf>
    <xf numFmtId="0" fontId="4" fillId="0" borderId="0" xfId="1" applyFont="1" applyBorder="1" applyAlignment="1">
      <alignment horizontal="left"/>
    </xf>
    <xf numFmtId="0" fontId="3" fillId="0" borderId="0" xfId="1" applyFont="1" applyBorder="1" applyAlignment="1">
      <alignment horizontal="left"/>
    </xf>
    <xf numFmtId="0" fontId="4" fillId="2" borderId="6" xfId="1" applyFont="1" applyFill="1" applyBorder="1"/>
    <xf numFmtId="179" fontId="10" fillId="0" borderId="7" xfId="1" applyNumberFormat="1" applyFont="1" applyBorder="1"/>
    <xf numFmtId="4" fontId="10" fillId="0" borderId="3" xfId="1" applyNumberFormat="1" applyFont="1" applyBorder="1"/>
    <xf numFmtId="10" fontId="4" fillId="0" borderId="7" xfId="1" applyNumberFormat="1" applyFont="1" applyBorder="1"/>
    <xf numFmtId="38" fontId="10" fillId="0" borderId="7" xfId="1" applyNumberFormat="1" applyFont="1" applyBorder="1"/>
    <xf numFmtId="0" fontId="3" fillId="0" borderId="4" xfId="1" applyFont="1" applyBorder="1"/>
    <xf numFmtId="179" fontId="4" fillId="0" borderId="3" xfId="1" applyNumberFormat="1" applyFont="1" applyBorder="1"/>
    <xf numFmtId="168" fontId="4" fillId="0" borderId="7" xfId="1" applyNumberFormat="1" applyFont="1" applyBorder="1"/>
    <xf numFmtId="168" fontId="4" fillId="0" borderId="3" xfId="1" applyNumberFormat="1" applyFont="1" applyBorder="1"/>
    <xf numFmtId="172" fontId="3" fillId="0" borderId="3" xfId="1" applyNumberFormat="1" applyFont="1" applyBorder="1"/>
    <xf numFmtId="0" fontId="3" fillId="0" borderId="1" xfId="1" applyFont="1" applyBorder="1"/>
    <xf numFmtId="172" fontId="4" fillId="0" borderId="0" xfId="1" applyNumberFormat="1" applyFont="1"/>
    <xf numFmtId="168" fontId="4" fillId="0" borderId="1" xfId="1" applyNumberFormat="1" applyFont="1" applyBorder="1"/>
    <xf numFmtId="173" fontId="10" fillId="0" borderId="12" xfId="2" applyNumberFormat="1" applyFont="1" applyBorder="1" applyAlignment="1">
      <alignment horizontal="center"/>
    </xf>
    <xf numFmtId="166" fontId="4" fillId="0" borderId="1" xfId="2" applyNumberFormat="1" applyFont="1" applyBorder="1"/>
    <xf numFmtId="171" fontId="10" fillId="0" borderId="12" xfId="2" applyNumberFormat="1" applyFont="1" applyBorder="1" applyAlignment="1">
      <alignment horizontal="center"/>
    </xf>
    <xf numFmtId="171" fontId="14" fillId="0" borderId="0" xfId="0" applyNumberFormat="1" applyFont="1" applyFill="1" applyAlignment="1">
      <alignment wrapText="1"/>
    </xf>
    <xf numFmtId="171" fontId="17" fillId="0" borderId="0" xfId="0" applyNumberFormat="1" applyFont="1" applyFill="1" applyAlignment="1">
      <alignment wrapText="1"/>
    </xf>
    <xf numFmtId="171" fontId="14" fillId="0" borderId="0" xfId="0" applyNumberFormat="1" applyFont="1" applyFill="1" applyBorder="1" applyAlignment="1">
      <alignment wrapText="1"/>
    </xf>
    <xf numFmtId="171" fontId="17" fillId="0" borderId="0" xfId="0" applyNumberFormat="1" applyFont="1" applyFill="1" applyBorder="1" applyAlignment="1">
      <alignment wrapText="1"/>
    </xf>
    <xf numFmtId="171" fontId="33" fillId="0" borderId="0" xfId="0" applyNumberFormat="1" applyFont="1" applyFill="1" applyAlignment="1">
      <alignment wrapText="1"/>
    </xf>
    <xf numFmtId="177" fontId="3" fillId="0" borderId="0" xfId="1" applyNumberFormat="1" applyFont="1" applyFill="1" applyBorder="1" applyAlignment="1">
      <alignment horizontal="right"/>
    </xf>
    <xf numFmtId="164" fontId="4" fillId="0" borderId="0" xfId="1" applyNumberFormat="1" applyFont="1" applyFill="1" applyBorder="1"/>
    <xf numFmtId="164" fontId="13" fillId="0" borderId="0" xfId="1" applyNumberFormat="1" applyFont="1" applyFill="1" applyBorder="1"/>
    <xf numFmtId="166" fontId="4" fillId="0" borderId="0" xfId="1" applyNumberFormat="1" applyFont="1" applyFill="1" applyBorder="1"/>
    <xf numFmtId="166" fontId="13" fillId="0" borderId="0" xfId="1" applyNumberFormat="1" applyFont="1" applyFill="1" applyBorder="1"/>
    <xf numFmtId="164" fontId="3" fillId="0" borderId="0" xfId="1" applyNumberFormat="1" applyFont="1" applyFill="1" applyBorder="1"/>
    <xf numFmtId="0" fontId="4" fillId="2" borderId="1" xfId="1" applyFont="1" applyFill="1" applyBorder="1" applyAlignment="1">
      <alignment horizontal="center"/>
    </xf>
    <xf numFmtId="0" fontId="3" fillId="2" borderId="1" xfId="1" applyFont="1" applyFill="1" applyBorder="1" applyAlignment="1">
      <alignment horizontal="center"/>
    </xf>
    <xf numFmtId="171" fontId="4" fillId="0" borderId="15" xfId="1" applyNumberFormat="1" applyFont="1" applyBorder="1"/>
    <xf numFmtId="8" fontId="4" fillId="0" borderId="15" xfId="1" applyNumberFormat="1" applyFont="1" applyBorder="1"/>
    <xf numFmtId="173" fontId="10" fillId="0" borderId="0" xfId="1" applyNumberFormat="1" applyFont="1" applyFill="1" applyBorder="1" applyAlignment="1">
      <alignment horizontal="center"/>
    </xf>
    <xf numFmtId="37" fontId="13" fillId="0" borderId="0" xfId="1" applyNumberFormat="1" applyFont="1" applyFill="1" applyBorder="1" applyAlignment="1">
      <alignment horizontal="center"/>
    </xf>
    <xf numFmtId="4" fontId="18" fillId="0" borderId="0" xfId="1" applyNumberFormat="1" applyFont="1" applyFill="1" applyBorder="1" applyAlignment="1">
      <alignment horizontal="center"/>
    </xf>
    <xf numFmtId="166" fontId="18" fillId="0" borderId="0" xfId="0" applyNumberFormat="1" applyFont="1" applyAlignment="1">
      <alignment horizontal="right"/>
    </xf>
    <xf numFmtId="166" fontId="18" fillId="0" borderId="0" xfId="0" applyNumberFormat="1" applyFont="1" applyBorder="1" applyAlignment="1">
      <alignment horizontal="right"/>
    </xf>
    <xf numFmtId="166" fontId="18" fillId="0" borderId="1" xfId="0" applyNumberFormat="1" applyFont="1" applyBorder="1" applyAlignment="1">
      <alignment horizontal="right"/>
    </xf>
    <xf numFmtId="166" fontId="13" fillId="0" borderId="0" xfId="0" applyNumberFormat="1" applyFont="1" applyAlignment="1">
      <alignment horizontal="right"/>
    </xf>
    <xf numFmtId="180" fontId="4" fillId="0" borderId="0" xfId="0" applyNumberFormat="1" applyFont="1" applyBorder="1" applyAlignment="1"/>
    <xf numFmtId="0" fontId="3" fillId="0" borderId="0" xfId="0" applyFont="1" applyAlignment="1" applyProtection="1">
      <alignment vertical="center"/>
    </xf>
    <xf numFmtId="166" fontId="18" fillId="0" borderId="0" xfId="0" applyNumberFormat="1" applyFont="1"/>
    <xf numFmtId="166" fontId="13" fillId="0" borderId="0" xfId="0" applyNumberFormat="1" applyFont="1" applyFill="1" applyBorder="1" applyAlignment="1"/>
    <xf numFmtId="166" fontId="18" fillId="0" borderId="0" xfId="0" applyNumberFormat="1" applyFont="1" applyFill="1" applyBorder="1" applyAlignment="1">
      <alignment horizontal="right"/>
    </xf>
    <xf numFmtId="166" fontId="13" fillId="0" borderId="0" xfId="0" applyNumberFormat="1" applyFont="1" applyFill="1" applyBorder="1" applyAlignment="1">
      <alignment horizontal="right"/>
    </xf>
    <xf numFmtId="4" fontId="4" fillId="0" borderId="0" xfId="0" applyNumberFormat="1" applyFont="1" applyFill="1" applyBorder="1" applyAlignment="1">
      <alignment horizontal="right"/>
    </xf>
    <xf numFmtId="4" fontId="13" fillId="0" borderId="0" xfId="0" applyNumberFormat="1" applyFont="1" applyFill="1" applyBorder="1" applyAlignment="1">
      <alignment horizontal="right" wrapText="1"/>
    </xf>
    <xf numFmtId="166" fontId="13" fillId="0" borderId="7" xfId="0" applyNumberFormat="1" applyFont="1" applyFill="1" applyBorder="1" applyAlignment="1">
      <alignment horizontal="right"/>
    </xf>
    <xf numFmtId="4" fontId="4" fillId="0" borderId="7" xfId="0" applyNumberFormat="1" applyFont="1" applyFill="1" applyBorder="1" applyAlignment="1">
      <alignment horizontal="right"/>
    </xf>
    <xf numFmtId="171" fontId="5" fillId="0" borderId="0" xfId="0" applyNumberFormat="1" applyFont="1" applyFill="1" applyBorder="1" applyAlignment="1">
      <alignment horizontal="right"/>
    </xf>
    <xf numFmtId="0" fontId="4" fillId="0" borderId="0" xfId="0" applyFont="1" applyBorder="1" applyAlignment="1">
      <alignment horizontal="left" indent="1"/>
    </xf>
    <xf numFmtId="171" fontId="5" fillId="0" borderId="7" xfId="0" applyNumberFormat="1" applyFont="1" applyFill="1" applyBorder="1" applyAlignment="1">
      <alignment horizontal="right"/>
    </xf>
    <xf numFmtId="9" fontId="10" fillId="0" borderId="15" xfId="0" applyNumberFormat="1" applyFont="1" applyBorder="1" applyAlignment="1">
      <alignment horizontal="center"/>
    </xf>
    <xf numFmtId="171" fontId="14" fillId="0" borderId="0" xfId="0" applyNumberFormat="1" applyFont="1" applyFill="1" applyBorder="1" applyAlignment="1">
      <alignment horizontal="right" wrapText="1"/>
    </xf>
    <xf numFmtId="175" fontId="3" fillId="0" borderId="0" xfId="1" applyNumberFormat="1" applyFont="1"/>
    <xf numFmtId="0" fontId="28" fillId="0" borderId="0" xfId="0" applyFont="1" applyAlignment="1">
      <alignment horizontal="center"/>
    </xf>
    <xf numFmtId="8" fontId="28" fillId="0" borderId="0" xfId="0" applyNumberFormat="1" applyFont="1" applyAlignment="1">
      <alignment horizontal="right"/>
    </xf>
    <xf numFmtId="171" fontId="34" fillId="0" borderId="0" xfId="0" applyNumberFormat="1" applyFont="1" applyFill="1" applyAlignment="1">
      <alignment wrapText="1"/>
    </xf>
    <xf numFmtId="0" fontId="15" fillId="8" borderId="15" xfId="0" applyFont="1" applyFill="1" applyBorder="1" applyAlignment="1">
      <alignment horizontal="center"/>
    </xf>
    <xf numFmtId="166" fontId="10" fillId="0" borderId="7" xfId="0" applyNumberFormat="1" applyFont="1" applyFill="1" applyBorder="1" applyAlignment="1"/>
    <xf numFmtId="166" fontId="4" fillId="0" borderId="7" xfId="0" applyNumberFormat="1" applyFont="1" applyFill="1" applyBorder="1" applyAlignment="1">
      <alignment horizontal="right"/>
    </xf>
    <xf numFmtId="166" fontId="10" fillId="0" borderId="7" xfId="0" applyNumberFormat="1" applyFont="1" applyFill="1" applyBorder="1" applyAlignment="1">
      <alignment horizontal="right"/>
    </xf>
    <xf numFmtId="166" fontId="4" fillId="0" borderId="7" xfId="0" applyNumberFormat="1" applyFont="1" applyBorder="1" applyAlignment="1">
      <alignment horizontal="right"/>
    </xf>
    <xf numFmtId="166" fontId="3" fillId="0" borderId="8" xfId="0" applyNumberFormat="1" applyFont="1" applyFill="1" applyBorder="1" applyAlignment="1">
      <alignment horizontal="right"/>
    </xf>
    <xf numFmtId="166" fontId="3" fillId="0" borderId="7" xfId="0" applyNumberFormat="1" applyFont="1" applyFill="1" applyBorder="1" applyAlignment="1">
      <alignment horizontal="right"/>
    </xf>
    <xf numFmtId="166" fontId="3" fillId="0" borderId="7" xfId="0" applyNumberFormat="1" applyFont="1" applyBorder="1" applyAlignment="1"/>
    <xf numFmtId="166" fontId="10" fillId="0" borderId="3" xfId="0" applyNumberFormat="1" applyFont="1" applyFill="1" applyBorder="1" applyAlignment="1">
      <alignment horizontal="right"/>
    </xf>
    <xf numFmtId="166" fontId="4" fillId="0" borderId="3" xfId="0" applyNumberFormat="1" applyFont="1" applyFill="1" applyBorder="1" applyAlignment="1"/>
    <xf numFmtId="168" fontId="4" fillId="0" borderId="4" xfId="0" applyNumberFormat="1" applyFont="1" applyBorder="1" applyAlignment="1">
      <alignment horizontal="right"/>
    </xf>
    <xf numFmtId="168" fontId="3" fillId="0" borderId="0" xfId="0" applyNumberFormat="1" applyFont="1" applyBorder="1" applyAlignment="1">
      <alignment horizontal="right"/>
    </xf>
    <xf numFmtId="166" fontId="12" fillId="0" borderId="1" xfId="0" applyNumberFormat="1" applyFont="1" applyFill="1" applyBorder="1" applyAlignment="1">
      <alignment horizontal="right" wrapText="1"/>
    </xf>
    <xf numFmtId="166" fontId="12" fillId="0" borderId="0" xfId="0" applyNumberFormat="1" applyFont="1" applyFill="1" applyBorder="1" applyAlignment="1">
      <alignment horizontal="right"/>
    </xf>
    <xf numFmtId="166" fontId="12" fillId="0" borderId="7" xfId="0" applyNumberFormat="1" applyFont="1" applyFill="1" applyBorder="1" applyAlignment="1">
      <alignment horizontal="right"/>
    </xf>
    <xf numFmtId="0" fontId="3" fillId="2" borderId="7" xfId="0" applyFont="1" applyFill="1" applyBorder="1" applyAlignment="1">
      <alignment horizontal="centerContinuous"/>
    </xf>
    <xf numFmtId="171" fontId="19" fillId="0" borderId="0" xfId="0" applyNumberFormat="1" applyFont="1" applyFill="1" applyAlignment="1">
      <alignment wrapText="1"/>
    </xf>
    <xf numFmtId="182" fontId="4" fillId="3" borderId="0" xfId="1" applyNumberFormat="1" applyFont="1" applyFill="1" applyAlignment="1"/>
    <xf numFmtId="182" fontId="4" fillId="3" borderId="0" xfId="1" applyNumberFormat="1" applyFont="1" applyFill="1" applyAlignment="1">
      <alignment horizontal="right"/>
    </xf>
    <xf numFmtId="182" fontId="4" fillId="2" borderId="13" xfId="1" applyNumberFormat="1" applyFont="1" applyFill="1" applyBorder="1" applyAlignment="1"/>
    <xf numFmtId="182" fontId="4" fillId="2" borderId="2" xfId="1" applyNumberFormat="1" applyFont="1" applyFill="1" applyBorder="1" applyAlignment="1"/>
    <xf numFmtId="182" fontId="5" fillId="2" borderId="2" xfId="1" applyNumberFormat="1" applyFont="1" applyFill="1" applyBorder="1" applyAlignment="1"/>
    <xf numFmtId="182" fontId="4" fillId="2" borderId="6" xfId="1" applyNumberFormat="1" applyFont="1" applyFill="1" applyBorder="1" applyAlignment="1"/>
    <xf numFmtId="182" fontId="4" fillId="2" borderId="4" xfId="1" applyNumberFormat="1" applyFont="1" applyFill="1" applyBorder="1" applyAlignment="1"/>
    <xf numFmtId="182" fontId="4" fillId="2" borderId="1" xfId="1" applyNumberFormat="1" applyFont="1" applyFill="1" applyBorder="1" applyAlignment="1"/>
    <xf numFmtId="182" fontId="5" fillId="2" borderId="1" xfId="1" applyNumberFormat="1" applyFont="1" applyFill="1" applyBorder="1" applyAlignment="1"/>
    <xf numFmtId="182" fontId="4" fillId="2" borderId="3" xfId="1" applyNumberFormat="1" applyFont="1" applyFill="1" applyBorder="1" applyAlignment="1"/>
    <xf numFmtId="182" fontId="5" fillId="0" borderId="0" xfId="1" applyNumberFormat="1" applyFont="1" applyFill="1" applyAlignment="1"/>
    <xf numFmtId="182" fontId="3" fillId="6" borderId="0" xfId="1" applyNumberFormat="1" applyFont="1" applyFill="1" applyAlignment="1">
      <alignment horizontal="center"/>
    </xf>
    <xf numFmtId="9" fontId="5" fillId="0" borderId="7" xfId="0" applyNumberFormat="1" applyFont="1" applyFill="1" applyBorder="1" applyAlignment="1"/>
    <xf numFmtId="166" fontId="24" fillId="0" borderId="0" xfId="0" applyNumberFormat="1" applyFont="1" applyAlignment="1">
      <alignment horizontal="right"/>
    </xf>
    <xf numFmtId="166" fontId="24" fillId="0" borderId="7" xfId="0" applyNumberFormat="1" applyFont="1" applyBorder="1" applyAlignment="1">
      <alignment horizontal="right"/>
    </xf>
    <xf numFmtId="4" fontId="3" fillId="0" borderId="0" xfId="0" applyNumberFormat="1" applyFont="1" applyBorder="1" applyAlignment="1">
      <alignment horizontal="right"/>
    </xf>
    <xf numFmtId="166" fontId="4" fillId="0" borderId="0" xfId="0" applyNumberFormat="1" applyFont="1" applyBorder="1" applyAlignment="1"/>
    <xf numFmtId="0" fontId="5" fillId="0" borderId="1" xfId="0" applyFont="1" applyBorder="1" applyAlignment="1">
      <alignment horizontal="left" indent="1"/>
    </xf>
    <xf numFmtId="171" fontId="5" fillId="0" borderId="1" xfId="0" applyNumberFormat="1" applyFont="1" applyBorder="1" applyAlignment="1">
      <alignment horizontal="right"/>
    </xf>
    <xf numFmtId="171" fontId="5" fillId="0" borderId="3" xfId="0" applyNumberFormat="1" applyFont="1" applyBorder="1" applyAlignment="1">
      <alignment horizontal="right"/>
    </xf>
    <xf numFmtId="171" fontId="17" fillId="0" borderId="1" xfId="0" applyNumberFormat="1" applyFont="1" applyBorder="1" applyAlignment="1">
      <alignment horizontal="right"/>
    </xf>
    <xf numFmtId="164" fontId="10" fillId="0" borderId="3" xfId="0" applyNumberFormat="1" applyFont="1" applyFill="1" applyBorder="1" applyAlignment="1">
      <alignment horizontal="right"/>
    </xf>
    <xf numFmtId="164" fontId="13" fillId="0" borderId="0" xfId="0" applyNumberFormat="1" applyFont="1" applyFill="1" applyBorder="1" applyAlignment="1">
      <alignment horizontal="right" wrapText="1"/>
    </xf>
    <xf numFmtId="164" fontId="13" fillId="0" borderId="1" xfId="0" applyNumberFormat="1" applyFont="1" applyFill="1" applyBorder="1" applyAlignment="1">
      <alignment horizontal="right" wrapText="1"/>
    </xf>
    <xf numFmtId="168" fontId="13" fillId="0" borderId="0" xfId="0" applyNumberFormat="1" applyFont="1" applyAlignment="1">
      <alignment wrapText="1"/>
    </xf>
    <xf numFmtId="166" fontId="13" fillId="0" borderId="0" xfId="0" applyNumberFormat="1" applyFont="1" applyFill="1" applyBorder="1" applyAlignment="1">
      <alignment horizontal="right" wrapText="1"/>
    </xf>
    <xf numFmtId="0" fontId="3" fillId="0" borderId="6" xfId="0" applyFont="1" applyBorder="1" applyAlignment="1"/>
    <xf numFmtId="166" fontId="10" fillId="0" borderId="7" xfId="0" applyNumberFormat="1" applyFont="1" applyBorder="1" applyAlignment="1">
      <alignment horizontal="right"/>
    </xf>
    <xf numFmtId="166" fontId="10" fillId="0" borderId="3" xfId="0" applyNumberFormat="1" applyFont="1" applyBorder="1" applyAlignment="1">
      <alignment horizontal="right"/>
    </xf>
    <xf numFmtId="0" fontId="3" fillId="0" borderId="7" xfId="0" applyFont="1" applyBorder="1" applyAlignment="1">
      <alignment horizontal="right"/>
    </xf>
    <xf numFmtId="0" fontId="4" fillId="0" borderId="7" xfId="0" applyFont="1" applyBorder="1" applyAlignment="1">
      <alignment horizontal="right"/>
    </xf>
    <xf numFmtId="166" fontId="3" fillId="0" borderId="6" xfId="0" applyNumberFormat="1" applyFont="1" applyFill="1" applyBorder="1" applyAlignment="1">
      <alignment horizontal="right"/>
    </xf>
    <xf numFmtId="0" fontId="3" fillId="0" borderId="7" xfId="0" applyFont="1" applyBorder="1" applyAlignment="1"/>
    <xf numFmtId="166" fontId="3" fillId="0" borderId="8" xfId="0" applyNumberFormat="1" applyFont="1" applyBorder="1" applyAlignment="1">
      <alignment horizontal="right"/>
    </xf>
    <xf numFmtId="166" fontId="3" fillId="0" borderId="18" xfId="0" applyNumberFormat="1" applyFont="1" applyBorder="1" applyAlignment="1">
      <alignment horizontal="right"/>
    </xf>
    <xf numFmtId="166" fontId="36" fillId="0" borderId="0" xfId="0" applyNumberFormat="1" applyFont="1" applyAlignment="1"/>
    <xf numFmtId="166" fontId="36" fillId="0" borderId="0" xfId="0" applyNumberFormat="1" applyFont="1" applyAlignment="1">
      <alignment horizontal="right"/>
    </xf>
    <xf numFmtId="8" fontId="0" fillId="0" borderId="0" xfId="0" applyNumberFormat="1"/>
    <xf numFmtId="4" fontId="0" fillId="0" borderId="0" xfId="0" applyNumberFormat="1" applyBorder="1"/>
    <xf numFmtId="166" fontId="36" fillId="0" borderId="0" xfId="1" applyNumberFormat="1" applyFont="1"/>
    <xf numFmtId="164" fontId="3" fillId="2" borderId="1" xfId="1" applyNumberFormat="1" applyFont="1" applyFill="1" applyBorder="1" applyAlignment="1">
      <alignment horizontal="center"/>
    </xf>
    <xf numFmtId="0" fontId="3" fillId="2" borderId="7" xfId="1" applyFont="1" applyFill="1" applyBorder="1" applyAlignment="1">
      <alignment horizontal="centerContinuous"/>
    </xf>
    <xf numFmtId="176" fontId="3" fillId="2" borderId="3" xfId="1" applyNumberFormat="1" applyFont="1" applyFill="1" applyBorder="1" applyAlignment="1">
      <alignment horizontal="right"/>
    </xf>
    <xf numFmtId="164" fontId="4" fillId="0" borderId="7" xfId="1" applyNumberFormat="1" applyFont="1" applyBorder="1"/>
    <xf numFmtId="166" fontId="13" fillId="0" borderId="7" xfId="1" applyNumberFormat="1" applyFont="1" applyBorder="1"/>
    <xf numFmtId="166" fontId="36" fillId="0" borderId="7" xfId="1" applyNumberFormat="1" applyFont="1" applyBorder="1"/>
    <xf numFmtId="166" fontId="4" fillId="0" borderId="7" xfId="1" applyNumberFormat="1" applyFont="1" applyBorder="1"/>
    <xf numFmtId="166" fontId="4" fillId="0" borderId="3" xfId="1" applyNumberFormat="1" applyFont="1" applyBorder="1"/>
    <xf numFmtId="8" fontId="4" fillId="9" borderId="15" xfId="1" applyNumberFormat="1" applyFont="1" applyFill="1" applyBorder="1"/>
    <xf numFmtId="8" fontId="35" fillId="0" borderId="0" xfId="0" applyNumberFormat="1" applyFont="1" applyAlignment="1">
      <alignment horizontal="left" indent="1"/>
    </xf>
    <xf numFmtId="9" fontId="5" fillId="0" borderId="0" xfId="0" applyNumberFormat="1" applyFont="1" applyAlignment="1">
      <alignment horizontal="right"/>
    </xf>
    <xf numFmtId="9" fontId="5" fillId="0" borderId="7" xfId="0" applyNumberFormat="1" applyFont="1" applyBorder="1" applyAlignment="1">
      <alignment horizontal="right"/>
    </xf>
    <xf numFmtId="171" fontId="5" fillId="0" borderId="0" xfId="0" applyNumberFormat="1" applyFont="1" applyAlignment="1"/>
    <xf numFmtId="181" fontId="3" fillId="2" borderId="15" xfId="1" applyNumberFormat="1" applyFont="1" applyFill="1" applyBorder="1" applyAlignment="1">
      <alignment horizontal="center"/>
    </xf>
  </cellXfs>
  <cellStyles count="4">
    <cellStyle name="Normal" xfId="0" builtinId="0"/>
    <cellStyle name="Normal 2" xfId="1"/>
    <cellStyle name="Normal_DCF analysis" xfId="2"/>
    <cellStyle name="Normal_temp"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plotArea>
      <c:layout>
        <c:manualLayout>
          <c:layoutTarget val="inner"/>
          <c:xMode val="edge"/>
          <c:yMode val="edge"/>
          <c:x val="0.2356020942408377"/>
          <c:y val="4.9833967883694819E-2"/>
          <c:w val="0.71989528795811575"/>
          <c:h val="0.81395480876701487"/>
        </c:manualLayout>
      </c:layout>
      <c:barChart>
        <c:barDir val="bar"/>
        <c:grouping val="stacked"/>
        <c:ser>
          <c:idx val="0"/>
          <c:order val="0"/>
          <c:tx>
            <c:strRef>
              <c:f>'Football field'!$U$16</c:f>
              <c:strCache>
                <c:ptCount val="1"/>
                <c:pt idx="0">
                  <c:v>Low</c:v>
                </c:pt>
              </c:strCache>
            </c:strRef>
          </c:tx>
          <c:spPr>
            <a:noFill/>
            <a:ln w="25400">
              <a:noFill/>
            </a:ln>
          </c:spPr>
          <c:dLbls>
            <c:dLbl>
              <c:idx val="0"/>
              <c:layout>
                <c:manualLayout>
                  <c:x val="6.9961038923466973E-2"/>
                  <c:y val="-3.4828004558767672E-3"/>
                </c:manualLayout>
              </c:layout>
              <c:dLblPos val="ctr"/>
              <c:showVal val="1"/>
            </c:dLbl>
            <c:dLbl>
              <c:idx val="1"/>
              <c:layout>
                <c:manualLayout>
                  <c:x val="3.372607219909031E-2"/>
                  <c:y val="-5.9743318146508739E-3"/>
                </c:manualLayout>
              </c:layout>
              <c:dLblPos val="ctr"/>
              <c:showVal val="1"/>
            </c:dLbl>
            <c:dLbl>
              <c:idx val="2"/>
              <c:layout>
                <c:manualLayout>
                  <c:x val="2.456376853416883E-2"/>
                  <c:y val="-5.1438341867789126E-3"/>
                </c:manualLayout>
              </c:layout>
              <c:dLblPos val="ctr"/>
              <c:showVal val="1"/>
            </c:dLbl>
            <c:dLbl>
              <c:idx val="3"/>
              <c:layout>
                <c:manualLayout>
                  <c:x val="0.11828442867075652"/>
                  <c:y val="-1.2082484983552379E-2"/>
                </c:manualLayout>
              </c:layout>
              <c:dLblPos val="ctr"/>
              <c:showVal val="1"/>
            </c:dLbl>
            <c:spPr>
              <a:noFill/>
              <a:ln w="25400">
                <a:noFill/>
              </a:ln>
            </c:spPr>
            <c:txPr>
              <a:bodyPr/>
              <a:lstStyle/>
              <a:p>
                <a:pPr>
                  <a:defRPr sz="825" b="0" i="0" u="none" strike="noStrike" baseline="0">
                    <a:solidFill>
                      <a:srgbClr val="000000"/>
                    </a:solidFill>
                    <a:latin typeface="Arial"/>
                    <a:ea typeface="Arial"/>
                    <a:cs typeface="Arial"/>
                  </a:defRPr>
                </a:pPr>
                <a:endParaRPr lang="en-US"/>
              </a:p>
            </c:txPr>
            <c:showVal val="1"/>
          </c:dLbls>
          <c:cat>
            <c:strRef>
              <c:f>'Football field'!$T$17:$T$20</c:f>
              <c:strCache>
                <c:ptCount val="4"/>
                <c:pt idx="0">
                  <c:v>DCF EBITDA method analysis </c:v>
                </c:pt>
                <c:pt idx="1">
                  <c:v>52 week high low </c:v>
                </c:pt>
                <c:pt idx="2">
                  <c:v>Comparable company analysis</c:v>
                </c:pt>
                <c:pt idx="3">
                  <c:v>DCF Perpetuity method analysis </c:v>
                </c:pt>
              </c:strCache>
            </c:strRef>
          </c:cat>
          <c:val>
            <c:numRef>
              <c:f>'Football field'!$U$17:$U$20</c:f>
              <c:numCache>
                <c:formatCode>"$"#,##0.00_);[Red]\("$"#,##0.00\)</c:formatCode>
                <c:ptCount val="4"/>
                <c:pt idx="0">
                  <c:v>13.968165086692398</c:v>
                </c:pt>
                <c:pt idx="1">
                  <c:v>11.41</c:v>
                </c:pt>
                <c:pt idx="2">
                  <c:v>8.5443106733134773</c:v>
                </c:pt>
                <c:pt idx="3">
                  <c:v>22.889175935062305</c:v>
                </c:pt>
              </c:numCache>
            </c:numRef>
          </c:val>
        </c:ser>
        <c:ser>
          <c:idx val="1"/>
          <c:order val="1"/>
          <c:tx>
            <c:strRef>
              <c:f>'Football field'!$V$16</c:f>
              <c:strCache>
                <c:ptCount val="1"/>
                <c:pt idx="0">
                  <c:v>Spread</c:v>
                </c:pt>
              </c:strCache>
            </c:strRef>
          </c:tx>
          <c:spPr>
            <a:solidFill>
              <a:srgbClr val="4F81BD"/>
            </a:solidFill>
            <a:ln w="25400">
              <a:noFill/>
            </a:ln>
          </c:spPr>
          <c:cat>
            <c:strRef>
              <c:f>'Football field'!$T$17:$T$20</c:f>
              <c:strCache>
                <c:ptCount val="4"/>
                <c:pt idx="0">
                  <c:v>DCF EBITDA method analysis </c:v>
                </c:pt>
                <c:pt idx="1">
                  <c:v>52 week high low </c:v>
                </c:pt>
                <c:pt idx="2">
                  <c:v>Comparable company analysis</c:v>
                </c:pt>
                <c:pt idx="3">
                  <c:v>DCF Perpetuity method analysis </c:v>
                </c:pt>
              </c:strCache>
            </c:strRef>
          </c:cat>
          <c:val>
            <c:numRef>
              <c:f>'Football field'!$V$17:$V$20</c:f>
              <c:numCache>
                <c:formatCode>"$"#,##0.00_);[Red]\("$"#,##0.00\)</c:formatCode>
                <c:ptCount val="4"/>
                <c:pt idx="0">
                  <c:v>5.8128646098219363</c:v>
                </c:pt>
                <c:pt idx="1">
                  <c:v>17.100000000000001</c:v>
                </c:pt>
                <c:pt idx="2">
                  <c:v>8.3645175406385714</c:v>
                </c:pt>
                <c:pt idx="3">
                  <c:v>7.3900851797260145</c:v>
                </c:pt>
              </c:numCache>
            </c:numRef>
          </c:val>
        </c:ser>
        <c:ser>
          <c:idx val="2"/>
          <c:order val="2"/>
          <c:tx>
            <c:strRef>
              <c:f>'Football field'!$W$16</c:f>
              <c:strCache>
                <c:ptCount val="1"/>
                <c:pt idx="0">
                  <c:v>High</c:v>
                </c:pt>
              </c:strCache>
            </c:strRef>
          </c:tx>
          <c:spPr>
            <a:noFill/>
            <a:ln w="25400">
              <a:noFill/>
            </a:ln>
          </c:spPr>
          <c:dLbls>
            <c:dLbl>
              <c:idx val="0"/>
              <c:layout>
                <c:manualLayout>
                  <c:x val="-0.10109068172761135"/>
                  <c:y val="-3.4829137105533339E-3"/>
                </c:manualLayout>
              </c:layout>
              <c:dLblPos val="ctr"/>
              <c:showVal val="1"/>
            </c:dLbl>
            <c:dLbl>
              <c:idx val="1"/>
              <c:layout>
                <c:manualLayout>
                  <c:x val="-0.14954641845609676"/>
                  <c:y val="-5.9743665606338901E-3"/>
                </c:manualLayout>
              </c:layout>
              <c:dLblPos val="ctr"/>
              <c:showVal val="1"/>
            </c:dLbl>
            <c:dLbl>
              <c:idx val="2"/>
              <c:layout>
                <c:manualLayout>
                  <c:x val="-8.0174734525057467E-2"/>
                  <c:y val="4.2751576923956387E-4"/>
                </c:manualLayout>
              </c:layout>
              <c:dLblPos val="ctr"/>
              <c:showVal val="1"/>
            </c:dLbl>
            <c:dLbl>
              <c:idx val="3"/>
              <c:layout>
                <c:manualLayout>
                  <c:x val="-0.16912711125267138"/>
                  <c:y val="-7.6357607662371121E-3"/>
                </c:manualLayout>
              </c:layout>
              <c:dLblPos val="ctr"/>
              <c:showVal val="1"/>
            </c:dLbl>
            <c:spPr>
              <a:noFill/>
              <a:ln w="25400">
                <a:noFill/>
              </a:ln>
            </c:spPr>
            <c:txPr>
              <a:bodyPr/>
              <a:lstStyle/>
              <a:p>
                <a:pPr>
                  <a:defRPr sz="825" b="0" i="0" u="none" strike="noStrike" baseline="0">
                    <a:solidFill>
                      <a:srgbClr val="000000"/>
                    </a:solidFill>
                    <a:latin typeface="Arial"/>
                    <a:ea typeface="Arial"/>
                    <a:cs typeface="Arial"/>
                  </a:defRPr>
                </a:pPr>
                <a:endParaRPr lang="en-US"/>
              </a:p>
            </c:txPr>
            <c:showVal val="1"/>
          </c:dLbls>
          <c:cat>
            <c:strRef>
              <c:f>'Football field'!$T$17:$T$20</c:f>
              <c:strCache>
                <c:ptCount val="4"/>
                <c:pt idx="0">
                  <c:v>DCF EBITDA method analysis </c:v>
                </c:pt>
                <c:pt idx="1">
                  <c:v>52 week high low </c:v>
                </c:pt>
                <c:pt idx="2">
                  <c:v>Comparable company analysis</c:v>
                </c:pt>
                <c:pt idx="3">
                  <c:v>DCF Perpetuity method analysis </c:v>
                </c:pt>
              </c:strCache>
            </c:strRef>
          </c:cat>
          <c:val>
            <c:numRef>
              <c:f>'Football field'!$W$17:$W$20</c:f>
              <c:numCache>
                <c:formatCode>"$"#,##0.00_);[Red]\("$"#,##0.00\)</c:formatCode>
                <c:ptCount val="4"/>
                <c:pt idx="0">
                  <c:v>19.781029696514334</c:v>
                </c:pt>
                <c:pt idx="1">
                  <c:v>28.51</c:v>
                </c:pt>
                <c:pt idx="2">
                  <c:v>16.908828213952049</c:v>
                </c:pt>
                <c:pt idx="3">
                  <c:v>30.279261114788319</c:v>
                </c:pt>
              </c:numCache>
            </c:numRef>
          </c:val>
        </c:ser>
        <c:gapWidth val="40"/>
        <c:overlap val="100"/>
        <c:axId val="74143232"/>
        <c:axId val="74144768"/>
      </c:barChart>
      <c:catAx>
        <c:axId val="74143232"/>
        <c:scaling>
          <c:orientation val="minMax"/>
        </c:scaling>
        <c:axPos val="l"/>
        <c:numFmt formatCode="General" sourceLinked="1"/>
        <c:majorTickMark val="none"/>
        <c:minorTickMark val="in"/>
        <c:tickLblPos val="low"/>
        <c:spPr>
          <a:ln w="9525">
            <a:noFill/>
          </a:ln>
        </c:spPr>
        <c:txPr>
          <a:bodyPr rot="0" vert="horz"/>
          <a:lstStyle/>
          <a:p>
            <a:pPr>
              <a:defRPr sz="825" b="0" i="0" u="none" strike="noStrike" baseline="0">
                <a:solidFill>
                  <a:srgbClr val="000000"/>
                </a:solidFill>
                <a:latin typeface="Arial"/>
                <a:ea typeface="Arial"/>
                <a:cs typeface="Arial"/>
              </a:defRPr>
            </a:pPr>
            <a:endParaRPr lang="en-US"/>
          </a:p>
        </c:txPr>
        <c:crossAx val="74144768"/>
        <c:crosses val="autoZero"/>
        <c:auto val="1"/>
        <c:lblAlgn val="ctr"/>
        <c:lblOffset val="100"/>
        <c:tickLblSkip val="1"/>
        <c:tickMarkSkip val="1"/>
      </c:catAx>
      <c:valAx>
        <c:axId val="74144768"/>
        <c:scaling>
          <c:orientation val="minMax"/>
          <c:max val="55"/>
          <c:min val="0"/>
        </c:scaling>
        <c:axPos val="b"/>
        <c:numFmt formatCode="&quot;$&quot;#,##0.00_);[Red]\(&quot;$&quot;#,##0.00\)" sourceLinked="1"/>
        <c:tickLblPos val="nextTo"/>
        <c:spPr>
          <a:ln w="3175">
            <a:solidFill>
              <a:srgbClr val="000000"/>
            </a:solidFill>
            <a:prstDash val="solid"/>
          </a:ln>
        </c:spPr>
        <c:txPr>
          <a:bodyPr rot="0" vert="horz"/>
          <a:lstStyle/>
          <a:p>
            <a:pPr>
              <a:defRPr sz="825" b="0" i="0" u="none" strike="noStrike" baseline="0">
                <a:solidFill>
                  <a:srgbClr val="000000"/>
                </a:solidFill>
                <a:latin typeface="Arial"/>
                <a:ea typeface="Arial"/>
                <a:cs typeface="Arial"/>
              </a:defRPr>
            </a:pPr>
            <a:endParaRPr lang="en-US"/>
          </a:p>
        </c:txPr>
        <c:crossAx val="74143232"/>
        <c:crosses val="autoZero"/>
        <c:crossBetween val="between"/>
      </c:valAx>
      <c:spPr>
        <a:noFill/>
        <a:ln w="25400">
          <a:noFill/>
        </a:ln>
      </c:spPr>
    </c:plotArea>
    <c:plotVisOnly val="1"/>
    <c:dispBlanksAs val="gap"/>
  </c:chart>
  <c:spPr>
    <a:noFill/>
    <a:ln w="9525">
      <a:noFill/>
    </a:ln>
  </c:spPr>
  <c:txPr>
    <a:bodyPr/>
    <a:lstStyle/>
    <a:p>
      <a:pPr>
        <a:defRPr sz="825" b="0" i="0" u="none" strike="noStrike" baseline="0">
          <a:solidFill>
            <a:srgbClr val="000000"/>
          </a:solidFill>
          <a:latin typeface="Arial"/>
          <a:ea typeface="Arial"/>
          <a:cs typeface="Arial"/>
        </a:defRPr>
      </a:pPr>
      <a:endParaRPr lang="en-US"/>
    </a:p>
  </c:txPr>
  <c:printSettings>
    <c:headerFooter alignWithMargins="0"/>
    <c:pageMargins b="1" l="0.75000000000000033" r="0.75000000000000033" t="1" header="0.5" footer="0.5"/>
    <c:pageSetup/>
  </c:printSettings>
</c:chartSpace>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3.jpeg"/></Relationships>
</file>

<file path=xl/drawings/_rels/drawing4.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3.jpeg"/></Relationships>
</file>

<file path=xl/drawings/_rels/drawing5.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3.jpeg"/></Relationships>
</file>

<file path=xl/drawings/_rels/drawing6.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3.jpeg"/></Relationships>
</file>

<file path=xl/drawings/_rels/drawing7.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3.jpeg"/></Relationships>
</file>

<file path=xl/drawings/_rels/drawing8.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4.jpeg"/></Relationships>
</file>

<file path=xl/drawings/_rels/drawing10.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image" Target="../media/image5.jpeg"/><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11</xdr:col>
      <xdr:colOff>142875</xdr:colOff>
      <xdr:row>0</xdr:row>
      <xdr:rowOff>19050</xdr:rowOff>
    </xdr:from>
    <xdr:to>
      <xdr:col>12</xdr:col>
      <xdr:colOff>561975</xdr:colOff>
      <xdr:row>0</xdr:row>
      <xdr:rowOff>790575</xdr:rowOff>
    </xdr:to>
    <xdr:pic>
      <xdr:nvPicPr>
        <xdr:cNvPr id="24644" name="Picture 3" descr="bbylogo"/>
        <xdr:cNvPicPr>
          <a:picLocks noChangeAspect="1" noChangeArrowheads="1"/>
        </xdr:cNvPicPr>
      </xdr:nvPicPr>
      <xdr:blipFill>
        <a:blip xmlns:r="http://schemas.openxmlformats.org/officeDocument/2006/relationships" r:embed="rId1" cstate="print"/>
        <a:srcRect/>
        <a:stretch>
          <a:fillRect/>
        </a:stretch>
      </xdr:blipFill>
      <xdr:spPr bwMode="auto">
        <a:xfrm>
          <a:off x="7724775" y="19050"/>
          <a:ext cx="1066800" cy="771525"/>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5</xdr:col>
      <xdr:colOff>178954</xdr:colOff>
      <xdr:row>0</xdr:row>
      <xdr:rowOff>742684</xdr:rowOff>
    </xdr:to>
    <xdr:pic>
      <xdr:nvPicPr>
        <xdr:cNvPr id="4" name="Picture 3" descr="NYSF_horiz.jpg"/>
        <xdr:cNvPicPr>
          <a:picLocks noChangeAspect="1"/>
        </xdr:cNvPicPr>
      </xdr:nvPicPr>
      <xdr:blipFill>
        <a:blip xmlns:r="http://schemas.openxmlformats.org/officeDocument/2006/relationships" r:embed="rId2" cstate="print"/>
        <a:stretch>
          <a:fillRect/>
        </a:stretch>
      </xdr:blipFill>
      <xdr:spPr>
        <a:xfrm>
          <a:off x="0" y="0"/>
          <a:ext cx="3861954" cy="74268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152400</xdr:colOff>
      <xdr:row>0</xdr:row>
      <xdr:rowOff>19050</xdr:rowOff>
    </xdr:from>
    <xdr:to>
      <xdr:col>12</xdr:col>
      <xdr:colOff>571500</xdr:colOff>
      <xdr:row>0</xdr:row>
      <xdr:rowOff>790575</xdr:rowOff>
    </xdr:to>
    <xdr:pic>
      <xdr:nvPicPr>
        <xdr:cNvPr id="16466" name="Picture 18" descr="bbylogo"/>
        <xdr:cNvPicPr>
          <a:picLocks noChangeAspect="1" noChangeArrowheads="1"/>
        </xdr:cNvPicPr>
      </xdr:nvPicPr>
      <xdr:blipFill>
        <a:blip xmlns:r="http://schemas.openxmlformats.org/officeDocument/2006/relationships" r:embed="rId1" cstate="print"/>
        <a:srcRect/>
        <a:stretch>
          <a:fillRect/>
        </a:stretch>
      </xdr:blipFill>
      <xdr:spPr bwMode="auto">
        <a:xfrm>
          <a:off x="7705725" y="19050"/>
          <a:ext cx="1066800" cy="771525"/>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5</xdr:col>
      <xdr:colOff>191166</xdr:colOff>
      <xdr:row>0</xdr:row>
      <xdr:rowOff>742684</xdr:rowOff>
    </xdr:to>
    <xdr:pic>
      <xdr:nvPicPr>
        <xdr:cNvPr id="5" name="Picture 4" descr="NYSF_horiz.jpg"/>
        <xdr:cNvPicPr>
          <a:picLocks noChangeAspect="1"/>
        </xdr:cNvPicPr>
      </xdr:nvPicPr>
      <xdr:blipFill>
        <a:blip xmlns:r="http://schemas.openxmlformats.org/officeDocument/2006/relationships" r:embed="rId2" cstate="print"/>
        <a:stretch>
          <a:fillRect/>
        </a:stretch>
      </xdr:blipFill>
      <xdr:spPr>
        <a:xfrm>
          <a:off x="0" y="0"/>
          <a:ext cx="3861954" cy="74268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171450</xdr:colOff>
      <xdr:row>0</xdr:row>
      <xdr:rowOff>28575</xdr:rowOff>
    </xdr:from>
    <xdr:to>
      <xdr:col>12</xdr:col>
      <xdr:colOff>590550</xdr:colOff>
      <xdr:row>0</xdr:row>
      <xdr:rowOff>800100</xdr:rowOff>
    </xdr:to>
    <xdr:pic>
      <xdr:nvPicPr>
        <xdr:cNvPr id="17496" name="Picture 24" descr="bbylogo"/>
        <xdr:cNvPicPr>
          <a:picLocks noChangeAspect="1" noChangeArrowheads="1"/>
        </xdr:cNvPicPr>
      </xdr:nvPicPr>
      <xdr:blipFill>
        <a:blip xmlns:r="http://schemas.openxmlformats.org/officeDocument/2006/relationships" r:embed="rId1" cstate="print"/>
        <a:srcRect/>
        <a:stretch>
          <a:fillRect/>
        </a:stretch>
      </xdr:blipFill>
      <xdr:spPr bwMode="auto">
        <a:xfrm>
          <a:off x="8867775" y="28575"/>
          <a:ext cx="1066800" cy="771525"/>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3</xdr:col>
      <xdr:colOff>3250766</xdr:colOff>
      <xdr:row>0</xdr:row>
      <xdr:rowOff>742684</xdr:rowOff>
    </xdr:to>
    <xdr:pic>
      <xdr:nvPicPr>
        <xdr:cNvPr id="4" name="Picture 3" descr="NYSF_horiz.jpg"/>
        <xdr:cNvPicPr>
          <a:picLocks noChangeAspect="1"/>
        </xdr:cNvPicPr>
      </xdr:nvPicPr>
      <xdr:blipFill>
        <a:blip xmlns:r="http://schemas.openxmlformats.org/officeDocument/2006/relationships" r:embed="rId2" cstate="print"/>
        <a:stretch>
          <a:fillRect/>
        </a:stretch>
      </xdr:blipFill>
      <xdr:spPr>
        <a:xfrm>
          <a:off x="0" y="0"/>
          <a:ext cx="3861954" cy="74268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11</xdr:col>
      <xdr:colOff>200025</xdr:colOff>
      <xdr:row>0</xdr:row>
      <xdr:rowOff>28575</xdr:rowOff>
    </xdr:from>
    <xdr:to>
      <xdr:col>12</xdr:col>
      <xdr:colOff>619125</xdr:colOff>
      <xdr:row>0</xdr:row>
      <xdr:rowOff>800100</xdr:rowOff>
    </xdr:to>
    <xdr:pic>
      <xdr:nvPicPr>
        <xdr:cNvPr id="20546" name="Picture 2" descr="bbylogo"/>
        <xdr:cNvPicPr>
          <a:picLocks noChangeAspect="1" noChangeArrowheads="1"/>
        </xdr:cNvPicPr>
      </xdr:nvPicPr>
      <xdr:blipFill>
        <a:blip xmlns:r="http://schemas.openxmlformats.org/officeDocument/2006/relationships" r:embed="rId1" cstate="print"/>
        <a:srcRect/>
        <a:stretch>
          <a:fillRect/>
        </a:stretch>
      </xdr:blipFill>
      <xdr:spPr bwMode="auto">
        <a:xfrm>
          <a:off x="7591425" y="28575"/>
          <a:ext cx="1066800" cy="771525"/>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5</xdr:col>
      <xdr:colOff>356754</xdr:colOff>
      <xdr:row>0</xdr:row>
      <xdr:rowOff>742684</xdr:rowOff>
    </xdr:to>
    <xdr:pic>
      <xdr:nvPicPr>
        <xdr:cNvPr id="4" name="Picture 3" descr="NYSF_horiz.jpg"/>
        <xdr:cNvPicPr>
          <a:picLocks noChangeAspect="1"/>
        </xdr:cNvPicPr>
      </xdr:nvPicPr>
      <xdr:blipFill>
        <a:blip xmlns:r="http://schemas.openxmlformats.org/officeDocument/2006/relationships" r:embed="rId2" cstate="print"/>
        <a:stretch>
          <a:fillRect/>
        </a:stretch>
      </xdr:blipFill>
      <xdr:spPr>
        <a:xfrm>
          <a:off x="0" y="0"/>
          <a:ext cx="3861954" cy="74268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11</xdr:col>
      <xdr:colOff>190500</xdr:colOff>
      <xdr:row>0</xdr:row>
      <xdr:rowOff>38100</xdr:rowOff>
    </xdr:from>
    <xdr:to>
      <xdr:col>12</xdr:col>
      <xdr:colOff>609600</xdr:colOff>
      <xdr:row>0</xdr:row>
      <xdr:rowOff>809625</xdr:rowOff>
    </xdr:to>
    <xdr:pic>
      <xdr:nvPicPr>
        <xdr:cNvPr id="18498" name="Picture 2" descr="bbylogo"/>
        <xdr:cNvPicPr>
          <a:picLocks noChangeAspect="1" noChangeArrowheads="1"/>
        </xdr:cNvPicPr>
      </xdr:nvPicPr>
      <xdr:blipFill>
        <a:blip xmlns:r="http://schemas.openxmlformats.org/officeDocument/2006/relationships" r:embed="rId1" cstate="print"/>
        <a:srcRect/>
        <a:stretch>
          <a:fillRect/>
        </a:stretch>
      </xdr:blipFill>
      <xdr:spPr bwMode="auto">
        <a:xfrm>
          <a:off x="8286750" y="38100"/>
          <a:ext cx="1066800" cy="771525"/>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4</xdr:col>
      <xdr:colOff>299604</xdr:colOff>
      <xdr:row>0</xdr:row>
      <xdr:rowOff>742684</xdr:rowOff>
    </xdr:to>
    <xdr:pic>
      <xdr:nvPicPr>
        <xdr:cNvPr id="4" name="Picture 3" descr="NYSF_horiz.jpg"/>
        <xdr:cNvPicPr>
          <a:picLocks noChangeAspect="1"/>
        </xdr:cNvPicPr>
      </xdr:nvPicPr>
      <xdr:blipFill>
        <a:blip xmlns:r="http://schemas.openxmlformats.org/officeDocument/2006/relationships" r:embed="rId2" cstate="print"/>
        <a:stretch>
          <a:fillRect/>
        </a:stretch>
      </xdr:blipFill>
      <xdr:spPr>
        <a:xfrm>
          <a:off x="0" y="0"/>
          <a:ext cx="3861954" cy="74268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11</xdr:col>
      <xdr:colOff>200025</xdr:colOff>
      <xdr:row>0</xdr:row>
      <xdr:rowOff>0</xdr:rowOff>
    </xdr:from>
    <xdr:to>
      <xdr:col>12</xdr:col>
      <xdr:colOff>619125</xdr:colOff>
      <xdr:row>0</xdr:row>
      <xdr:rowOff>771525</xdr:rowOff>
    </xdr:to>
    <xdr:pic>
      <xdr:nvPicPr>
        <xdr:cNvPr id="19522" name="Picture 2" descr="bbylogo"/>
        <xdr:cNvPicPr>
          <a:picLocks noChangeAspect="1" noChangeArrowheads="1"/>
        </xdr:cNvPicPr>
      </xdr:nvPicPr>
      <xdr:blipFill>
        <a:blip xmlns:r="http://schemas.openxmlformats.org/officeDocument/2006/relationships" r:embed="rId1" cstate="print"/>
        <a:srcRect/>
        <a:stretch>
          <a:fillRect/>
        </a:stretch>
      </xdr:blipFill>
      <xdr:spPr bwMode="auto">
        <a:xfrm>
          <a:off x="7353300" y="0"/>
          <a:ext cx="1066800" cy="771525"/>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5</xdr:col>
      <xdr:colOff>594879</xdr:colOff>
      <xdr:row>0</xdr:row>
      <xdr:rowOff>742684</xdr:rowOff>
    </xdr:to>
    <xdr:pic>
      <xdr:nvPicPr>
        <xdr:cNvPr id="4" name="Picture 3" descr="NYSF_horiz.jpg"/>
        <xdr:cNvPicPr>
          <a:picLocks noChangeAspect="1"/>
        </xdr:cNvPicPr>
      </xdr:nvPicPr>
      <xdr:blipFill>
        <a:blip xmlns:r="http://schemas.openxmlformats.org/officeDocument/2006/relationships" r:embed="rId2" cstate="print"/>
        <a:stretch>
          <a:fillRect/>
        </a:stretch>
      </xdr:blipFill>
      <xdr:spPr>
        <a:xfrm>
          <a:off x="0" y="0"/>
          <a:ext cx="3861954" cy="74268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11</xdr:col>
      <xdr:colOff>180975</xdr:colOff>
      <xdr:row>0</xdr:row>
      <xdr:rowOff>38100</xdr:rowOff>
    </xdr:from>
    <xdr:to>
      <xdr:col>12</xdr:col>
      <xdr:colOff>600075</xdr:colOff>
      <xdr:row>0</xdr:row>
      <xdr:rowOff>809625</xdr:rowOff>
    </xdr:to>
    <xdr:pic>
      <xdr:nvPicPr>
        <xdr:cNvPr id="21570" name="Picture 2" descr="bbylogo"/>
        <xdr:cNvPicPr>
          <a:picLocks noChangeAspect="1" noChangeArrowheads="1"/>
        </xdr:cNvPicPr>
      </xdr:nvPicPr>
      <xdr:blipFill>
        <a:blip xmlns:r="http://schemas.openxmlformats.org/officeDocument/2006/relationships" r:embed="rId1" cstate="print"/>
        <a:srcRect/>
        <a:stretch>
          <a:fillRect/>
        </a:stretch>
      </xdr:blipFill>
      <xdr:spPr bwMode="auto">
        <a:xfrm>
          <a:off x="7248525" y="38100"/>
          <a:ext cx="1066800" cy="771525"/>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6</xdr:col>
      <xdr:colOff>32904</xdr:colOff>
      <xdr:row>0</xdr:row>
      <xdr:rowOff>742684</xdr:rowOff>
    </xdr:to>
    <xdr:pic>
      <xdr:nvPicPr>
        <xdr:cNvPr id="4" name="Picture 3" descr="NYSF_horiz.jpg"/>
        <xdr:cNvPicPr>
          <a:picLocks noChangeAspect="1"/>
        </xdr:cNvPicPr>
      </xdr:nvPicPr>
      <xdr:blipFill>
        <a:blip xmlns:r="http://schemas.openxmlformats.org/officeDocument/2006/relationships" r:embed="rId2" cstate="print"/>
        <a:stretch>
          <a:fillRect/>
        </a:stretch>
      </xdr:blipFill>
      <xdr:spPr>
        <a:xfrm>
          <a:off x="0" y="0"/>
          <a:ext cx="3861954" cy="742684"/>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10</xdr:col>
      <xdr:colOff>200025</xdr:colOff>
      <xdr:row>0</xdr:row>
      <xdr:rowOff>19050</xdr:rowOff>
    </xdr:from>
    <xdr:to>
      <xdr:col>11</xdr:col>
      <xdr:colOff>619125</xdr:colOff>
      <xdr:row>0</xdr:row>
      <xdr:rowOff>790575</xdr:rowOff>
    </xdr:to>
    <xdr:pic>
      <xdr:nvPicPr>
        <xdr:cNvPr id="22614" name="Picture 22" descr="bbylogo"/>
        <xdr:cNvPicPr>
          <a:picLocks noChangeAspect="1" noChangeArrowheads="1"/>
        </xdr:cNvPicPr>
      </xdr:nvPicPr>
      <xdr:blipFill>
        <a:blip xmlns:r="http://schemas.openxmlformats.org/officeDocument/2006/relationships" r:embed="rId1" cstate="print"/>
        <a:srcRect/>
        <a:stretch>
          <a:fillRect/>
        </a:stretch>
      </xdr:blipFill>
      <xdr:spPr bwMode="auto">
        <a:xfrm>
          <a:off x="6353175" y="19050"/>
          <a:ext cx="1066800" cy="771525"/>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4</xdr:col>
      <xdr:colOff>359685</xdr:colOff>
      <xdr:row>0</xdr:row>
      <xdr:rowOff>742684</xdr:rowOff>
    </xdr:to>
    <xdr:pic>
      <xdr:nvPicPr>
        <xdr:cNvPr id="4" name="Picture 3" descr="NYSF_horiz.jpg"/>
        <xdr:cNvPicPr>
          <a:picLocks noChangeAspect="1"/>
        </xdr:cNvPicPr>
      </xdr:nvPicPr>
      <xdr:blipFill>
        <a:blip xmlns:r="http://schemas.openxmlformats.org/officeDocument/2006/relationships" r:embed="rId2" cstate="print"/>
        <a:stretch>
          <a:fillRect/>
        </a:stretch>
      </xdr:blipFill>
      <xdr:spPr>
        <a:xfrm>
          <a:off x="0" y="0"/>
          <a:ext cx="3861954" cy="742684"/>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17</xdr:col>
      <xdr:colOff>123825</xdr:colOff>
      <xdr:row>0</xdr:row>
      <xdr:rowOff>76200</xdr:rowOff>
    </xdr:from>
    <xdr:to>
      <xdr:col>19</xdr:col>
      <xdr:colOff>104775</xdr:colOff>
      <xdr:row>1</xdr:row>
      <xdr:rowOff>66675</xdr:rowOff>
    </xdr:to>
    <xdr:pic>
      <xdr:nvPicPr>
        <xdr:cNvPr id="23629" name="Picture 13" descr="bbylogo"/>
        <xdr:cNvPicPr>
          <a:picLocks noChangeAspect="1" noChangeArrowheads="1"/>
        </xdr:cNvPicPr>
      </xdr:nvPicPr>
      <xdr:blipFill>
        <a:blip xmlns:r="http://schemas.openxmlformats.org/officeDocument/2006/relationships" r:embed="rId1" cstate="print"/>
        <a:srcRect/>
        <a:stretch>
          <a:fillRect/>
        </a:stretch>
      </xdr:blipFill>
      <xdr:spPr bwMode="auto">
        <a:xfrm>
          <a:off x="9363075" y="76200"/>
          <a:ext cx="1143000" cy="828675"/>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6</xdr:col>
      <xdr:colOff>51954</xdr:colOff>
      <xdr:row>0</xdr:row>
      <xdr:rowOff>742684</xdr:rowOff>
    </xdr:to>
    <xdr:pic>
      <xdr:nvPicPr>
        <xdr:cNvPr id="4" name="Picture 3" descr="NYSF_horiz.jpg"/>
        <xdr:cNvPicPr>
          <a:picLocks noChangeAspect="1"/>
        </xdr:cNvPicPr>
      </xdr:nvPicPr>
      <xdr:blipFill>
        <a:blip xmlns:r="http://schemas.openxmlformats.org/officeDocument/2006/relationships" r:embed="rId2" cstate="print"/>
        <a:stretch>
          <a:fillRect/>
        </a:stretch>
      </xdr:blipFill>
      <xdr:spPr>
        <a:xfrm>
          <a:off x="0" y="0"/>
          <a:ext cx="3861954" cy="742684"/>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2</xdr:col>
      <xdr:colOff>1143000</xdr:colOff>
      <xdr:row>13</xdr:row>
      <xdr:rowOff>95250</xdr:rowOff>
    </xdr:from>
    <xdr:to>
      <xdr:col>15</xdr:col>
      <xdr:colOff>85725</xdr:colOff>
      <xdr:row>31</xdr:row>
      <xdr:rowOff>152400</xdr:rowOff>
    </xdr:to>
    <xdr:graphicFrame macro="">
      <xdr:nvGraphicFramePr>
        <xdr:cNvPr id="25756"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371475</xdr:colOff>
      <xdr:row>14</xdr:row>
      <xdr:rowOff>133350</xdr:rowOff>
    </xdr:from>
    <xdr:to>
      <xdr:col>7</xdr:col>
      <xdr:colOff>371475</xdr:colOff>
      <xdr:row>29</xdr:row>
      <xdr:rowOff>76200</xdr:rowOff>
    </xdr:to>
    <xdr:sp macro="" textlink="">
      <xdr:nvSpPr>
        <xdr:cNvPr id="25757" name="Line 2"/>
        <xdr:cNvSpPr>
          <a:spLocks noChangeShapeType="1"/>
        </xdr:cNvSpPr>
      </xdr:nvSpPr>
      <xdr:spPr bwMode="auto">
        <a:xfrm flipV="1">
          <a:off x="5181600" y="2324100"/>
          <a:ext cx="0" cy="2343150"/>
        </a:xfrm>
        <a:prstGeom prst="line">
          <a:avLst/>
        </a:prstGeom>
        <a:noFill/>
        <a:ln w="9525">
          <a:solidFill>
            <a:srgbClr val="000000"/>
          </a:solidFill>
          <a:prstDash val="dash"/>
          <a:round/>
          <a:headEnd/>
          <a:tailEnd/>
        </a:ln>
      </xdr:spPr>
    </xdr:sp>
    <xdr:clientData/>
  </xdr:twoCellAnchor>
  <xdr:twoCellAnchor editAs="oneCell">
    <xdr:from>
      <xdr:col>12</xdr:col>
      <xdr:colOff>419100</xdr:colOff>
      <xdr:row>17</xdr:row>
      <xdr:rowOff>152400</xdr:rowOff>
    </xdr:from>
    <xdr:to>
      <xdr:col>14</xdr:col>
      <xdr:colOff>266700</xdr:colOff>
      <xdr:row>22</xdr:row>
      <xdr:rowOff>114300</xdr:rowOff>
    </xdr:to>
    <xdr:pic>
      <xdr:nvPicPr>
        <xdr:cNvPr id="25758" name="Picture 4" descr="bbylogo"/>
        <xdr:cNvPicPr>
          <a:picLocks noChangeAspect="1" noChangeArrowheads="1"/>
        </xdr:cNvPicPr>
      </xdr:nvPicPr>
      <xdr:blipFill>
        <a:blip xmlns:r="http://schemas.openxmlformats.org/officeDocument/2006/relationships" r:embed="rId2" cstate="print"/>
        <a:srcRect/>
        <a:stretch>
          <a:fillRect/>
        </a:stretch>
      </xdr:blipFill>
      <xdr:spPr bwMode="auto">
        <a:xfrm>
          <a:off x="8143875" y="2800350"/>
          <a:ext cx="1066800" cy="771525"/>
        </a:xfrm>
        <a:prstGeom prst="rect">
          <a:avLst/>
        </a:prstGeom>
        <a:noFill/>
        <a:ln w="9525">
          <a:noFill/>
          <a:miter lim="800000"/>
          <a:headEnd/>
          <a:tailEnd/>
        </a:ln>
      </xdr:spPr>
    </xdr:pic>
    <xdr:clientData/>
  </xdr:twoCellAnchor>
  <xdr:twoCellAnchor>
    <xdr:from>
      <xdr:col>9</xdr:col>
      <xdr:colOff>304800</xdr:colOff>
      <xdr:row>14</xdr:row>
      <xdr:rowOff>142875</xdr:rowOff>
    </xdr:from>
    <xdr:to>
      <xdr:col>9</xdr:col>
      <xdr:colOff>304800</xdr:colOff>
      <xdr:row>29</xdr:row>
      <xdr:rowOff>85725</xdr:rowOff>
    </xdr:to>
    <xdr:sp macro="" textlink="">
      <xdr:nvSpPr>
        <xdr:cNvPr id="25759" name="Line 5"/>
        <xdr:cNvSpPr>
          <a:spLocks noChangeShapeType="1"/>
        </xdr:cNvSpPr>
      </xdr:nvSpPr>
      <xdr:spPr bwMode="auto">
        <a:xfrm flipV="1">
          <a:off x="6200775" y="2324100"/>
          <a:ext cx="0" cy="2352675"/>
        </a:xfrm>
        <a:prstGeom prst="line">
          <a:avLst/>
        </a:prstGeom>
        <a:noFill/>
        <a:ln w="9525">
          <a:solidFill>
            <a:srgbClr val="000000"/>
          </a:solidFill>
          <a:prstDash val="dash"/>
          <a:round/>
          <a:headEnd/>
          <a:tailEnd/>
        </a:ln>
      </xdr:spPr>
    </xdr:sp>
    <xdr:clientData/>
  </xdr:twoCellAnchor>
  <xdr:twoCellAnchor editAs="oneCell">
    <xdr:from>
      <xdr:col>0</xdr:col>
      <xdr:colOff>0</xdr:colOff>
      <xdr:row>0</xdr:row>
      <xdr:rowOff>0</xdr:rowOff>
    </xdr:from>
    <xdr:to>
      <xdr:col>5</xdr:col>
      <xdr:colOff>279089</xdr:colOff>
      <xdr:row>0</xdr:row>
      <xdr:rowOff>742684</xdr:rowOff>
    </xdr:to>
    <xdr:pic>
      <xdr:nvPicPr>
        <xdr:cNvPr id="7" name="Picture 6" descr="NYSF_horiz.jpg"/>
        <xdr:cNvPicPr>
          <a:picLocks noChangeAspect="1"/>
        </xdr:cNvPicPr>
      </xdr:nvPicPr>
      <xdr:blipFill>
        <a:blip xmlns:r="http://schemas.openxmlformats.org/officeDocument/2006/relationships" r:embed="rId3" cstate="print"/>
        <a:stretch>
          <a:fillRect/>
        </a:stretch>
      </xdr:blipFill>
      <xdr:spPr>
        <a:xfrm>
          <a:off x="0" y="0"/>
          <a:ext cx="3861954" cy="74268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AnEx/Training/Materials%20'12/Case%20Study/Best%20Buy/AnEx%20Training%20-%20Best%20buy%20case%20study.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Assumptions"/>
      <sheetName val="Scenarios"/>
      <sheetName val="Income Statement"/>
      <sheetName val="Cash Flow Statement"/>
      <sheetName val="Balance Sheet"/>
      <sheetName val="Balance Sheet Adjustments"/>
      <sheetName val="Depreciation"/>
      <sheetName val="Operating Working Capital"/>
      <sheetName val="Debt Schedule"/>
      <sheetName val="Returns Analysis"/>
      <sheetName val="Debt Covenants"/>
      <sheetName val="DCF Analysis"/>
    </sheetNames>
    <sheetDataSet>
      <sheetData sheetId="0" refreshError="1"/>
      <sheetData sheetId="1" refreshError="1"/>
      <sheetData sheetId="2">
        <row r="5">
          <cell r="D5">
            <v>2010</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dimension ref="A1"/>
  <sheetViews>
    <sheetView view="pageBreakPreview" zoomScale="60" zoomScaleNormal="100" workbookViewId="0"/>
  </sheetViews>
  <sheetFormatPr defaultRowHeight="12.75"/>
  <sheetData/>
  <phoneticPr fontId="28"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dimension ref="A1:V26"/>
  <sheetViews>
    <sheetView showGridLines="0" tabSelected="1" zoomScale="90" zoomScaleNormal="90" workbookViewId="0"/>
  </sheetViews>
  <sheetFormatPr defaultColWidth="9.140625" defaultRowHeight="20.100000000000001" customHeight="1"/>
  <cols>
    <col min="1" max="1" width="3.7109375" style="43" customWidth="1"/>
    <col min="2" max="2" width="2.7109375" style="43" customWidth="1"/>
    <col min="3" max="3" width="2.7109375" style="2" customWidth="1"/>
    <col min="4" max="4" width="36.5703125" style="2" customWidth="1"/>
    <col min="5" max="6" width="9.7109375" style="8" customWidth="1"/>
    <col min="7" max="7" width="9.7109375" style="43" customWidth="1"/>
    <col min="8" max="8" width="9.7109375" style="2" customWidth="1"/>
    <col min="9" max="13" width="9.7109375" style="43" customWidth="1"/>
    <col min="14" max="16384" width="9.140625" style="43"/>
  </cols>
  <sheetData>
    <row r="1" spans="1:22" s="416" customFormat="1" ht="66" customHeight="1">
      <c r="A1"/>
      <c r="B1" s="188"/>
      <c r="C1" s="413"/>
      <c r="D1" s="414"/>
      <c r="E1" s="415"/>
      <c r="F1" s="415"/>
      <c r="G1" s="414"/>
      <c r="H1" s="414"/>
      <c r="I1" s="414"/>
      <c r="J1" s="414"/>
      <c r="K1" s="414"/>
      <c r="L1" s="414"/>
      <c r="M1" s="414"/>
    </row>
    <row r="2" spans="1:22" s="421" customFormat="1" ht="12.75" customHeight="1">
      <c r="B2" s="417" t="s">
        <v>22</v>
      </c>
      <c r="C2" s="418"/>
      <c r="D2" s="417"/>
      <c r="E2" s="419"/>
      <c r="F2" s="419"/>
      <c r="G2" s="420"/>
      <c r="H2" s="417"/>
      <c r="I2" s="420"/>
      <c r="J2" s="420"/>
      <c r="K2" s="420"/>
      <c r="L2" s="420"/>
      <c r="M2" s="420"/>
    </row>
    <row r="3" spans="1:22" s="421" customFormat="1" ht="12.75" customHeight="1">
      <c r="B3" s="422" t="s">
        <v>15</v>
      </c>
      <c r="C3" s="423"/>
      <c r="D3" s="424"/>
      <c r="E3" s="425" t="s">
        <v>23</v>
      </c>
      <c r="F3" s="425"/>
      <c r="G3" s="426"/>
      <c r="H3" s="427" t="s">
        <v>20</v>
      </c>
      <c r="I3" s="428"/>
      <c r="J3" s="429"/>
      <c r="K3" s="428"/>
      <c r="L3" s="428"/>
      <c r="M3" s="428"/>
      <c r="N3" s="430"/>
      <c r="O3" s="430"/>
    </row>
    <row r="4" spans="1:22" s="421" customFormat="1" ht="12.75" customHeight="1">
      <c r="B4" s="422"/>
      <c r="C4" s="423"/>
      <c r="D4" s="424"/>
      <c r="E4" s="431"/>
      <c r="F4" s="431"/>
      <c r="G4" s="432"/>
      <c r="H4" s="432"/>
      <c r="I4" s="432"/>
      <c r="J4" s="432"/>
      <c r="K4" s="432"/>
      <c r="L4" s="432"/>
      <c r="M4" s="432"/>
    </row>
    <row r="5" spans="1:22" s="421" customFormat="1" ht="12.75" customHeight="1">
      <c r="B5" s="433" t="s">
        <v>19</v>
      </c>
      <c r="C5" s="434"/>
      <c r="D5" s="435"/>
      <c r="E5" s="436">
        <v>2010</v>
      </c>
      <c r="F5" s="436">
        <f t="shared" ref="F5:L5" si="0">E5+1</f>
        <v>2011</v>
      </c>
      <c r="G5" s="436">
        <f t="shared" si="0"/>
        <v>2012</v>
      </c>
      <c r="H5" s="437">
        <f t="shared" si="0"/>
        <v>2013</v>
      </c>
      <c r="I5" s="437">
        <f t="shared" si="0"/>
        <v>2014</v>
      </c>
      <c r="J5" s="437">
        <f t="shared" si="0"/>
        <v>2015</v>
      </c>
      <c r="K5" s="437">
        <f t="shared" si="0"/>
        <v>2016</v>
      </c>
      <c r="L5" s="437">
        <f t="shared" si="0"/>
        <v>2017</v>
      </c>
      <c r="M5" s="437">
        <f>L5+1</f>
        <v>2018</v>
      </c>
    </row>
    <row r="6" spans="1:22" s="45" customFormat="1" ht="21" customHeight="1">
      <c r="B6" s="57" t="str">
        <f>"Current Case - "&amp;CHOOSE($O$7,B10,B14,B18,B23)&amp;" Case"</f>
        <v>Current Case - Case A (Street) Case</v>
      </c>
      <c r="E6" s="60"/>
      <c r="F6" s="60"/>
      <c r="G6" s="60"/>
      <c r="H6" s="61"/>
      <c r="I6" s="61"/>
      <c r="J6" s="61"/>
      <c r="K6" s="61"/>
      <c r="L6" s="61"/>
      <c r="M6" s="61"/>
    </row>
    <row r="7" spans="1:22" ht="12.75" customHeight="1">
      <c r="D7" s="7" t="s">
        <v>25</v>
      </c>
      <c r="E7" s="64"/>
      <c r="F7" s="64"/>
      <c r="G7" s="64"/>
      <c r="H7" s="64">
        <f t="shared" ref="H7:M9" si="1">CHOOSE($O$7,H11,H15,H19,H24)</f>
        <v>-3.2000000000000001E-2</v>
      </c>
      <c r="I7" s="64">
        <f t="shared" si="1"/>
        <v>-0.02</v>
      </c>
      <c r="J7" s="64">
        <f t="shared" si="1"/>
        <v>-0.02</v>
      </c>
      <c r="K7" s="64">
        <f t="shared" si="1"/>
        <v>-0.02</v>
      </c>
      <c r="L7" s="64">
        <f t="shared" si="1"/>
        <v>0.01</v>
      </c>
      <c r="M7" s="64">
        <f t="shared" si="1"/>
        <v>0.01</v>
      </c>
      <c r="O7" s="550">
        <v>1</v>
      </c>
      <c r="Q7" s="64"/>
      <c r="R7" s="64"/>
      <c r="S7" s="64"/>
      <c r="T7" s="64"/>
      <c r="U7" s="64"/>
      <c r="V7" s="64"/>
    </row>
    <row r="8" spans="1:22" ht="12.75" customHeight="1">
      <c r="D8" s="7" t="s">
        <v>27</v>
      </c>
      <c r="E8" s="67"/>
      <c r="F8" s="67"/>
      <c r="G8" s="67"/>
      <c r="H8" s="64">
        <f t="shared" si="1"/>
        <v>0.73499999999999999</v>
      </c>
      <c r="I8" s="64">
        <f t="shared" si="1"/>
        <v>0.73599999999999999</v>
      </c>
      <c r="J8" s="64">
        <f t="shared" si="1"/>
        <v>0.73599999999999999</v>
      </c>
      <c r="K8" s="64">
        <f t="shared" si="1"/>
        <v>0.73599999999999999</v>
      </c>
      <c r="L8" s="64">
        <f t="shared" si="1"/>
        <v>0.73599999999999999</v>
      </c>
      <c r="M8" s="64">
        <f t="shared" si="1"/>
        <v>0.73599999999999999</v>
      </c>
      <c r="Q8" s="64"/>
      <c r="R8" s="64"/>
      <c r="S8" s="64"/>
      <c r="T8" s="64"/>
      <c r="U8" s="64"/>
      <c r="V8" s="64"/>
    </row>
    <row r="9" spans="1:22" s="45" customFormat="1" ht="12.75" customHeight="1">
      <c r="C9" s="19"/>
      <c r="D9" s="438" t="s">
        <v>291</v>
      </c>
      <c r="E9" s="67"/>
      <c r="F9" s="67"/>
      <c r="G9" s="67"/>
      <c r="H9" s="64">
        <f t="shared" si="1"/>
        <v>0.215</v>
      </c>
      <c r="I9" s="64">
        <f t="shared" si="1"/>
        <v>0.216</v>
      </c>
      <c r="J9" s="64">
        <f t="shared" si="1"/>
        <v>0.216</v>
      </c>
      <c r="K9" s="64">
        <f t="shared" si="1"/>
        <v>0.216</v>
      </c>
      <c r="L9" s="64">
        <f t="shared" si="1"/>
        <v>0.216</v>
      </c>
      <c r="M9" s="64">
        <f t="shared" si="1"/>
        <v>0.216</v>
      </c>
      <c r="Q9" s="64"/>
      <c r="R9" s="64"/>
      <c r="S9" s="64"/>
      <c r="T9" s="64"/>
      <c r="U9" s="64"/>
      <c r="V9" s="64"/>
    </row>
    <row r="10" spans="1:22" s="45" customFormat="1" ht="21" customHeight="1">
      <c r="B10" s="57" t="s">
        <v>292</v>
      </c>
      <c r="C10" s="88"/>
      <c r="D10" s="59"/>
      <c r="E10" s="60"/>
      <c r="F10" s="60"/>
      <c r="G10" s="60"/>
      <c r="H10" s="61"/>
      <c r="I10" s="61"/>
      <c r="J10" s="61"/>
      <c r="K10" s="61"/>
      <c r="L10" s="61"/>
      <c r="M10" s="61"/>
    </row>
    <row r="11" spans="1:22" ht="12.75" customHeight="1">
      <c r="D11" s="7" t="s">
        <v>25</v>
      </c>
      <c r="E11" s="138">
        <f>'Income statement'!E7</f>
        <v>0</v>
      </c>
      <c r="F11" s="138">
        <f>'Income statement'!F7</f>
        <v>1.0234957252807542E-2</v>
      </c>
      <c r="G11" s="138">
        <f>'Income statement'!G7</f>
        <v>1.9257442659858848E-2</v>
      </c>
      <c r="H11" s="509">
        <v>-3.2000000000000001E-2</v>
      </c>
      <c r="I11" s="509">
        <v>-0.02</v>
      </c>
      <c r="J11" s="510">
        <f>I11</f>
        <v>-0.02</v>
      </c>
      <c r="K11" s="510">
        <f>J11</f>
        <v>-0.02</v>
      </c>
      <c r="L11" s="509">
        <v>0.01</v>
      </c>
      <c r="M11" s="510">
        <f>L11</f>
        <v>0.01</v>
      </c>
    </row>
    <row r="12" spans="1:22" ht="12.75" customHeight="1">
      <c r="D12" s="7" t="s">
        <v>27</v>
      </c>
      <c r="E12" s="154">
        <f>'Income statement'!E9</f>
        <v>0.7384399813171415</v>
      </c>
      <c r="F12" s="154">
        <f>'Income statement'!F9</f>
        <v>0.72748105413391762</v>
      </c>
      <c r="G12" s="154">
        <f>'Income statement'!G9</f>
        <v>0.73227492357755641</v>
      </c>
      <c r="H12" s="511">
        <v>0.73499999999999999</v>
      </c>
      <c r="I12" s="511">
        <v>0.73599999999999999</v>
      </c>
      <c r="J12" s="512">
        <f t="shared" ref="J12:L13" si="2">I12</f>
        <v>0.73599999999999999</v>
      </c>
      <c r="K12" s="512">
        <f t="shared" si="2"/>
        <v>0.73599999999999999</v>
      </c>
      <c r="L12" s="512">
        <f t="shared" si="2"/>
        <v>0.73599999999999999</v>
      </c>
      <c r="M12" s="512">
        <f>L12</f>
        <v>0.73599999999999999</v>
      </c>
    </row>
    <row r="13" spans="1:22" s="45" customFormat="1" ht="12.75" customHeight="1">
      <c r="C13" s="19"/>
      <c r="D13" s="438" t="s">
        <v>291</v>
      </c>
      <c r="E13" s="154">
        <f>'Income statement'!E14</f>
        <v>0.19809922222447859</v>
      </c>
      <c r="F13" s="154">
        <f>'Income statement'!F14</f>
        <v>0.20755020403240396</v>
      </c>
      <c r="G13" s="154">
        <f>'Income statement'!G14</f>
        <v>0.20611379548368011</v>
      </c>
      <c r="H13" s="511">
        <v>0.215</v>
      </c>
      <c r="I13" s="511">
        <v>0.216</v>
      </c>
      <c r="J13" s="512">
        <f t="shared" si="2"/>
        <v>0.216</v>
      </c>
      <c r="K13" s="512">
        <f t="shared" si="2"/>
        <v>0.216</v>
      </c>
      <c r="L13" s="512">
        <f t="shared" si="2"/>
        <v>0.216</v>
      </c>
      <c r="M13" s="512">
        <f>L13</f>
        <v>0.216</v>
      </c>
    </row>
    <row r="14" spans="1:22" s="45" customFormat="1" ht="21" customHeight="1">
      <c r="B14" s="57" t="s">
        <v>293</v>
      </c>
      <c r="C14" s="88"/>
      <c r="D14" s="59"/>
      <c r="E14" s="60"/>
      <c r="F14" s="60"/>
      <c r="G14" s="60"/>
      <c r="H14" s="61"/>
      <c r="I14" s="61"/>
      <c r="J14" s="61"/>
      <c r="K14" s="61"/>
      <c r="L14" s="61"/>
      <c r="M14" s="61"/>
    </row>
    <row r="15" spans="1:22" ht="12.75" customHeight="1">
      <c r="D15" s="7" t="s">
        <v>25</v>
      </c>
      <c r="E15" s="138">
        <f>E11</f>
        <v>0</v>
      </c>
      <c r="F15" s="138">
        <f>F11</f>
        <v>1.0234957252807542E-2</v>
      </c>
      <c r="G15" s="138">
        <f>G11</f>
        <v>1.9257442659858848E-2</v>
      </c>
      <c r="H15" s="513">
        <v>-0.05</v>
      </c>
      <c r="I15" s="513">
        <v>-0.04</v>
      </c>
      <c r="J15" s="513">
        <v>-0.03</v>
      </c>
      <c r="K15" s="513">
        <v>-0.02</v>
      </c>
      <c r="L15" s="513">
        <v>-0.01</v>
      </c>
      <c r="M15" s="513">
        <v>-0.01</v>
      </c>
    </row>
    <row r="16" spans="1:22" ht="12.75" customHeight="1">
      <c r="D16" s="7" t="s">
        <v>27</v>
      </c>
      <c r="E16" s="138">
        <f t="shared" ref="E16:G17" si="3">E12</f>
        <v>0.7384399813171415</v>
      </c>
      <c r="F16" s="138">
        <f t="shared" si="3"/>
        <v>0.72748105413391762</v>
      </c>
      <c r="G16" s="138">
        <f t="shared" si="3"/>
        <v>0.73227492357755641</v>
      </c>
      <c r="H16" s="512">
        <f t="shared" ref="H16:M17" si="4">H12</f>
        <v>0.73499999999999999</v>
      </c>
      <c r="I16" s="512">
        <f t="shared" si="4"/>
        <v>0.73599999999999999</v>
      </c>
      <c r="J16" s="512">
        <f t="shared" si="4"/>
        <v>0.73599999999999999</v>
      </c>
      <c r="K16" s="512">
        <f t="shared" si="4"/>
        <v>0.73599999999999999</v>
      </c>
      <c r="L16" s="512">
        <f t="shared" si="4"/>
        <v>0.73599999999999999</v>
      </c>
      <c r="M16" s="512">
        <f t="shared" si="4"/>
        <v>0.73599999999999999</v>
      </c>
    </row>
    <row r="17" spans="2:13" s="45" customFormat="1" ht="12.75" customHeight="1">
      <c r="C17" s="19"/>
      <c r="D17" s="438" t="s">
        <v>291</v>
      </c>
      <c r="E17" s="138">
        <f t="shared" si="3"/>
        <v>0.19809922222447859</v>
      </c>
      <c r="F17" s="138">
        <f t="shared" si="3"/>
        <v>0.20755020403240396</v>
      </c>
      <c r="G17" s="138">
        <f t="shared" si="3"/>
        <v>0.20611379548368011</v>
      </c>
      <c r="H17" s="512">
        <f t="shared" si="4"/>
        <v>0.215</v>
      </c>
      <c r="I17" s="512">
        <f t="shared" si="4"/>
        <v>0.216</v>
      </c>
      <c r="J17" s="512">
        <f t="shared" si="4"/>
        <v>0.216</v>
      </c>
      <c r="K17" s="512">
        <f t="shared" si="4"/>
        <v>0.216</v>
      </c>
      <c r="L17" s="512">
        <f t="shared" si="4"/>
        <v>0.216</v>
      </c>
      <c r="M17" s="512">
        <f t="shared" si="4"/>
        <v>0.216</v>
      </c>
    </row>
    <row r="18" spans="2:13" s="45" customFormat="1" ht="21" customHeight="1">
      <c r="B18" s="57" t="s">
        <v>294</v>
      </c>
      <c r="C18" s="88"/>
      <c r="D18" s="59"/>
      <c r="E18" s="60"/>
      <c r="F18" s="60"/>
      <c r="G18" s="60"/>
      <c r="H18" s="61"/>
      <c r="I18" s="61"/>
      <c r="J18" s="61"/>
      <c r="K18" s="61"/>
      <c r="L18" s="61"/>
      <c r="M18" s="61"/>
    </row>
    <row r="19" spans="2:13" ht="12.75" customHeight="1">
      <c r="D19" s="7" t="s">
        <v>25</v>
      </c>
      <c r="E19" s="138">
        <f t="shared" ref="E19:G21" si="5">E15</f>
        <v>0</v>
      </c>
      <c r="F19" s="138">
        <f t="shared" si="5"/>
        <v>1.0234957252807542E-2</v>
      </c>
      <c r="G19" s="138">
        <f t="shared" si="5"/>
        <v>1.9257442659858848E-2</v>
      </c>
      <c r="H19" s="513">
        <v>0.01</v>
      </c>
      <c r="I19" s="513">
        <v>0</v>
      </c>
      <c r="J19" s="513">
        <v>0</v>
      </c>
      <c r="K19" s="513">
        <v>0</v>
      </c>
      <c r="L19" s="513">
        <v>0</v>
      </c>
      <c r="M19" s="513">
        <v>0</v>
      </c>
    </row>
    <row r="20" spans="2:13" ht="12.75" customHeight="1">
      <c r="D20" s="7" t="s">
        <v>27</v>
      </c>
      <c r="E20" s="138">
        <f t="shared" si="5"/>
        <v>0.7384399813171415</v>
      </c>
      <c r="F20" s="138">
        <f t="shared" si="5"/>
        <v>0.72748105413391762</v>
      </c>
      <c r="G20" s="138">
        <f t="shared" si="5"/>
        <v>0.73227492357755641</v>
      </c>
      <c r="H20" s="512">
        <f t="shared" ref="H20:M21" si="6">G20</f>
        <v>0.73227492357755641</v>
      </c>
      <c r="I20" s="512">
        <f t="shared" si="6"/>
        <v>0.73227492357755641</v>
      </c>
      <c r="J20" s="512">
        <f t="shared" si="6"/>
        <v>0.73227492357755641</v>
      </c>
      <c r="K20" s="512">
        <f t="shared" si="6"/>
        <v>0.73227492357755641</v>
      </c>
      <c r="L20" s="512">
        <f t="shared" si="6"/>
        <v>0.73227492357755641</v>
      </c>
      <c r="M20" s="512">
        <f t="shared" si="6"/>
        <v>0.73227492357755641</v>
      </c>
    </row>
    <row r="21" spans="2:13" s="45" customFormat="1" ht="12.75" customHeight="1">
      <c r="C21" s="19"/>
      <c r="D21" s="438" t="s">
        <v>291</v>
      </c>
      <c r="E21" s="138">
        <f t="shared" si="5"/>
        <v>0.19809922222447859</v>
      </c>
      <c r="F21" s="138">
        <f t="shared" si="5"/>
        <v>0.20755020403240396</v>
      </c>
      <c r="G21" s="138">
        <f t="shared" si="5"/>
        <v>0.20611379548368011</v>
      </c>
      <c r="H21" s="512">
        <f t="shared" si="6"/>
        <v>0.20611379548368011</v>
      </c>
      <c r="I21" s="512">
        <f t="shared" si="6"/>
        <v>0.20611379548368011</v>
      </c>
      <c r="J21" s="512">
        <f t="shared" si="6"/>
        <v>0.20611379548368011</v>
      </c>
      <c r="K21" s="512">
        <f t="shared" si="6"/>
        <v>0.20611379548368011</v>
      </c>
      <c r="L21" s="512">
        <f t="shared" si="6"/>
        <v>0.20611379548368011</v>
      </c>
      <c r="M21" s="512">
        <f t="shared" si="6"/>
        <v>0.20611379548368011</v>
      </c>
    </row>
    <row r="23" spans="2:13" ht="20.100000000000001" customHeight="1">
      <c r="B23" s="57" t="s">
        <v>308</v>
      </c>
      <c r="C23" s="88"/>
      <c r="D23" s="59"/>
      <c r="E23" s="60"/>
      <c r="F23" s="60"/>
      <c r="G23" s="60"/>
      <c r="H23" s="61"/>
      <c r="I23" s="61"/>
      <c r="J23" s="61"/>
      <c r="K23" s="61"/>
      <c r="L23" s="61"/>
      <c r="M23" s="61"/>
    </row>
    <row r="24" spans="2:13" ht="12" customHeight="1">
      <c r="D24" s="7" t="s">
        <v>25</v>
      </c>
      <c r="E24" s="549">
        <f t="shared" ref="E24:G26" si="7">E19</f>
        <v>0</v>
      </c>
      <c r="F24" s="549">
        <f t="shared" si="7"/>
        <v>1.0234957252807542E-2</v>
      </c>
      <c r="G24" s="549">
        <f t="shared" si="7"/>
        <v>1.9257442659858848E-2</v>
      </c>
      <c r="H24" s="513">
        <v>0.01</v>
      </c>
      <c r="I24" s="566">
        <f>H24</f>
        <v>0.01</v>
      </c>
      <c r="J24" s="566">
        <f>I24</f>
        <v>0.01</v>
      </c>
      <c r="K24" s="566">
        <f>J24</f>
        <v>0.01</v>
      </c>
      <c r="L24" s="566">
        <f>K24</f>
        <v>0.01</v>
      </c>
      <c r="M24" s="566">
        <f>L24</f>
        <v>0.01</v>
      </c>
    </row>
    <row r="25" spans="2:13" ht="12" customHeight="1">
      <c r="D25" s="7" t="s">
        <v>27</v>
      </c>
      <c r="E25" s="549">
        <f t="shared" si="7"/>
        <v>0.7384399813171415</v>
      </c>
      <c r="F25" s="549">
        <f t="shared" si="7"/>
        <v>0.72748105413391762</v>
      </c>
      <c r="G25" s="549">
        <f t="shared" si="7"/>
        <v>0.73227492357755641</v>
      </c>
      <c r="H25" s="511">
        <v>0.73</v>
      </c>
      <c r="I25" s="512">
        <f t="shared" ref="I25:M26" si="8">H25</f>
        <v>0.73</v>
      </c>
      <c r="J25" s="512">
        <f t="shared" si="8"/>
        <v>0.73</v>
      </c>
      <c r="K25" s="512">
        <f t="shared" si="8"/>
        <v>0.73</v>
      </c>
      <c r="L25" s="512">
        <f t="shared" si="8"/>
        <v>0.73</v>
      </c>
      <c r="M25" s="512">
        <f t="shared" si="8"/>
        <v>0.73</v>
      </c>
    </row>
    <row r="26" spans="2:13" ht="12" customHeight="1">
      <c r="B26" s="45"/>
      <c r="C26" s="19"/>
      <c r="D26" s="438" t="s">
        <v>291</v>
      </c>
      <c r="E26" s="549">
        <f t="shared" si="7"/>
        <v>0.19809922222447859</v>
      </c>
      <c r="F26" s="549">
        <f t="shared" si="7"/>
        <v>0.20755020403240396</v>
      </c>
      <c r="G26" s="549">
        <f t="shared" si="7"/>
        <v>0.20611379548368011</v>
      </c>
      <c r="H26" s="511">
        <v>0.20230000000000001</v>
      </c>
      <c r="I26" s="512">
        <f>H26</f>
        <v>0.20230000000000001</v>
      </c>
      <c r="J26" s="512">
        <f>I26</f>
        <v>0.20230000000000001</v>
      </c>
      <c r="K26" s="512">
        <f>J26</f>
        <v>0.20230000000000001</v>
      </c>
      <c r="L26" s="512">
        <f>K26</f>
        <v>0.20230000000000001</v>
      </c>
      <c r="M26" s="512">
        <f t="shared" si="8"/>
        <v>0.20230000000000001</v>
      </c>
    </row>
  </sheetData>
  <phoneticPr fontId="28" type="noConversion"/>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dimension ref="B1:P66"/>
  <sheetViews>
    <sheetView showGridLines="0" zoomScale="85" zoomScaleNormal="85" workbookViewId="0"/>
  </sheetViews>
  <sheetFormatPr defaultRowHeight="12" customHeight="1"/>
  <cols>
    <col min="1" max="1" width="3.7109375" customWidth="1"/>
    <col min="2" max="3" width="2.7109375" style="2" customWidth="1"/>
    <col min="4" max="4" width="36.140625" style="8" customWidth="1"/>
    <col min="5" max="5" width="9.7109375" style="8" customWidth="1"/>
    <col min="6" max="7" width="9.7109375" style="111" customWidth="1"/>
    <col min="8" max="13" width="9.7109375" customWidth="1"/>
    <col min="15" max="15" width="10.140625" style="168" bestFit="1" customWidth="1"/>
  </cols>
  <sheetData>
    <row r="1" spans="2:15" ht="66" customHeight="1">
      <c r="C1" s="105"/>
      <c r="D1" s="106"/>
      <c r="E1" s="106"/>
      <c r="F1" s="108"/>
      <c r="G1" s="108"/>
      <c r="H1" s="107"/>
      <c r="I1" s="107"/>
      <c r="J1" s="107"/>
      <c r="K1" s="107"/>
      <c r="L1" s="107"/>
      <c r="M1" s="107"/>
    </row>
    <row r="2" spans="2:15" ht="12" customHeight="1">
      <c r="B2" s="37" t="s">
        <v>22</v>
      </c>
      <c r="C2" s="52"/>
      <c r="D2" s="37"/>
      <c r="E2" s="38"/>
      <c r="F2" s="38"/>
      <c r="G2" s="44"/>
      <c r="H2" s="37"/>
      <c r="I2" s="44"/>
      <c r="J2" s="44"/>
      <c r="K2" s="44"/>
      <c r="L2" s="44"/>
      <c r="M2" s="44"/>
    </row>
    <row r="3" spans="2:15" ht="12" customHeight="1">
      <c r="B3" s="12" t="s">
        <v>15</v>
      </c>
      <c r="C3" s="14"/>
      <c r="D3" s="13"/>
      <c r="E3" s="46" t="s">
        <v>23</v>
      </c>
      <c r="F3" s="46"/>
      <c r="G3" s="53"/>
      <c r="H3" s="54" t="s">
        <v>20</v>
      </c>
      <c r="I3" s="55"/>
      <c r="J3" s="51"/>
      <c r="K3" s="55"/>
      <c r="L3" s="55"/>
      <c r="M3" s="55"/>
    </row>
    <row r="4" spans="2:15" ht="12" customHeight="1">
      <c r="B4" s="12"/>
      <c r="C4" s="14"/>
      <c r="D4" s="13"/>
      <c r="E4" s="56"/>
      <c r="F4" s="56"/>
      <c r="G4" s="93"/>
      <c r="H4" s="47"/>
      <c r="I4" s="47"/>
      <c r="J4" s="47"/>
      <c r="K4" s="47"/>
      <c r="L4" s="47"/>
      <c r="M4" s="47"/>
    </row>
    <row r="5" spans="2:15" ht="12" customHeight="1">
      <c r="B5" s="48" t="s">
        <v>309</v>
      </c>
      <c r="C5" s="36"/>
      <c r="D5" s="49"/>
      <c r="E5" s="75">
        <v>2010</v>
      </c>
      <c r="F5" s="75">
        <f>E5+1</f>
        <v>2011</v>
      </c>
      <c r="G5" s="185">
        <f>F5+1</f>
        <v>2012</v>
      </c>
      <c r="H5" s="50">
        <f t="shared" ref="H5:M5" si="0">G5+1</f>
        <v>2013</v>
      </c>
      <c r="I5" s="50">
        <f t="shared" si="0"/>
        <v>2014</v>
      </c>
      <c r="J5" s="50">
        <f t="shared" si="0"/>
        <v>2015</v>
      </c>
      <c r="K5" s="50">
        <f t="shared" si="0"/>
        <v>2016</v>
      </c>
      <c r="L5" s="50">
        <f t="shared" si="0"/>
        <v>2017</v>
      </c>
      <c r="M5" s="50">
        <f t="shared" si="0"/>
        <v>2018</v>
      </c>
    </row>
    <row r="6" spans="2:15" ht="12" customHeight="1">
      <c r="B6" s="1" t="s">
        <v>24</v>
      </c>
      <c r="D6" s="4"/>
      <c r="E6" s="144">
        <v>49243</v>
      </c>
      <c r="F6" s="144">
        <v>49747</v>
      </c>
      <c r="G6" s="104">
        <f>50705</f>
        <v>50705</v>
      </c>
      <c r="H6" s="62">
        <f t="shared" ref="H6:M6" si="1">G6*(1+H7)</f>
        <v>49082.439999999995</v>
      </c>
      <c r="I6" s="62">
        <f t="shared" si="1"/>
        <v>48100.791199999992</v>
      </c>
      <c r="J6" s="62">
        <f t="shared" si="1"/>
        <v>47138.775375999991</v>
      </c>
      <c r="K6" s="62">
        <f t="shared" si="1"/>
        <v>46195.999868479987</v>
      </c>
      <c r="L6" s="62">
        <f t="shared" si="1"/>
        <v>46657.959867164784</v>
      </c>
      <c r="M6" s="62">
        <f t="shared" si="1"/>
        <v>47124.539465836431</v>
      </c>
    </row>
    <row r="7" spans="2:15" ht="12" customHeight="1">
      <c r="B7" s="43"/>
      <c r="C7" s="6" t="s">
        <v>25</v>
      </c>
      <c r="E7" s="145"/>
      <c r="F7" s="145">
        <f>F6/E6-1</f>
        <v>1.0234957252807542E-2</v>
      </c>
      <c r="G7" s="579">
        <f>G6/F6-1</f>
        <v>1.9257442659858848E-2</v>
      </c>
      <c r="H7" s="439">
        <f>Scenario!H7</f>
        <v>-3.2000000000000001E-2</v>
      </c>
      <c r="I7" s="439">
        <f>Scenario!I7</f>
        <v>-0.02</v>
      </c>
      <c r="J7" s="439">
        <f>Scenario!J7</f>
        <v>-0.02</v>
      </c>
      <c r="K7" s="439">
        <f>Scenario!K7</f>
        <v>-0.02</v>
      </c>
      <c r="L7" s="439">
        <f>Scenario!L7</f>
        <v>0.01</v>
      </c>
      <c r="M7" s="439">
        <f>Scenario!M7</f>
        <v>0.01</v>
      </c>
    </row>
    <row r="8" spans="2:15" ht="12" customHeight="1">
      <c r="B8" s="1" t="s">
        <v>26</v>
      </c>
      <c r="D8" s="5"/>
      <c r="E8" s="146">
        <f>37201-E20</f>
        <v>36363</v>
      </c>
      <c r="F8" s="146">
        <f>37197-111-F20</f>
        <v>36190</v>
      </c>
      <c r="G8" s="103">
        <f>38113-86-G20</f>
        <v>37130</v>
      </c>
      <c r="H8" s="62">
        <f t="shared" ref="H8:M8" si="2">H9*H6</f>
        <v>36075.593399999998</v>
      </c>
      <c r="I8" s="62">
        <f t="shared" si="2"/>
        <v>35402.182323199995</v>
      </c>
      <c r="J8" s="62">
        <f t="shared" si="2"/>
        <v>34694.138676735995</v>
      </c>
      <c r="K8" s="62">
        <f t="shared" si="2"/>
        <v>34000.255903201272</v>
      </c>
      <c r="L8" s="62">
        <f t="shared" si="2"/>
        <v>34340.25846223328</v>
      </c>
      <c r="M8" s="62">
        <f t="shared" si="2"/>
        <v>34683.66104685561</v>
      </c>
    </row>
    <row r="9" spans="2:15" ht="12" customHeight="1">
      <c r="B9" s="43"/>
      <c r="C9" s="6" t="s">
        <v>27</v>
      </c>
      <c r="E9" s="147">
        <f>E8/E6</f>
        <v>0.7384399813171415</v>
      </c>
      <c r="F9" s="147">
        <f>F8/F6</f>
        <v>0.72748105413391762</v>
      </c>
      <c r="G9" s="95">
        <f>G8/G6</f>
        <v>0.73227492357755641</v>
      </c>
      <c r="H9" s="131">
        <f>Scenario!H8</f>
        <v>0.73499999999999999</v>
      </c>
      <c r="I9" s="131">
        <f>Scenario!I8</f>
        <v>0.73599999999999999</v>
      </c>
      <c r="J9" s="131">
        <f>Scenario!J8</f>
        <v>0.73599999999999999</v>
      </c>
      <c r="K9" s="131">
        <f>Scenario!K8</f>
        <v>0.73599999999999999</v>
      </c>
      <c r="L9" s="131">
        <f>Scenario!L8</f>
        <v>0.73599999999999999</v>
      </c>
      <c r="M9" s="131">
        <f>Scenario!M8</f>
        <v>0.73599999999999999</v>
      </c>
      <c r="O9" s="169"/>
    </row>
    <row r="10" spans="2:15" ht="12" customHeight="1">
      <c r="B10" s="1" t="s">
        <v>28</v>
      </c>
      <c r="D10" s="4"/>
      <c r="E10" s="148">
        <f>E6-E8</f>
        <v>12880</v>
      </c>
      <c r="F10" s="148">
        <f>F6-F8</f>
        <v>13557</v>
      </c>
      <c r="G10" s="142">
        <f>G6-G8</f>
        <v>13575</v>
      </c>
      <c r="H10" s="143">
        <f t="shared" ref="H10:M10" si="3">H6-H8</f>
        <v>13006.846599999997</v>
      </c>
      <c r="I10" s="143">
        <f t="shared" si="3"/>
        <v>12698.608876799997</v>
      </c>
      <c r="J10" s="143">
        <f t="shared" si="3"/>
        <v>12444.636699263996</v>
      </c>
      <c r="K10" s="143">
        <f t="shared" si="3"/>
        <v>12195.743965278714</v>
      </c>
      <c r="L10" s="143">
        <f t="shared" si="3"/>
        <v>12317.701404931504</v>
      </c>
      <c r="M10" s="143">
        <f t="shared" si="3"/>
        <v>12440.878418980821</v>
      </c>
    </row>
    <row r="11" spans="2:15" ht="12" customHeight="1">
      <c r="B11" s="43"/>
      <c r="C11" s="6" t="s">
        <v>29</v>
      </c>
      <c r="E11" s="145">
        <f>E10/E6</f>
        <v>0.2615600186828585</v>
      </c>
      <c r="F11" s="145">
        <f t="shared" ref="F11:M11" si="4">F10/F6</f>
        <v>0.27251894586608238</v>
      </c>
      <c r="G11" s="94">
        <f t="shared" si="4"/>
        <v>0.26772507642244353</v>
      </c>
      <c r="H11" s="64">
        <f t="shared" si="4"/>
        <v>0.26499999999999996</v>
      </c>
      <c r="I11" s="64">
        <f t="shared" si="4"/>
        <v>0.26399999999999996</v>
      </c>
      <c r="J11" s="64">
        <f t="shared" si="4"/>
        <v>0.26399999999999996</v>
      </c>
      <c r="K11" s="64">
        <f t="shared" si="4"/>
        <v>0.26399999999999996</v>
      </c>
      <c r="L11" s="64">
        <f t="shared" si="4"/>
        <v>0.26400000000000001</v>
      </c>
      <c r="M11" s="64">
        <f t="shared" si="4"/>
        <v>0.26400000000000007</v>
      </c>
      <c r="O11" s="163"/>
    </row>
    <row r="12" spans="2:15" ht="12" customHeight="1">
      <c r="B12" s="1" t="s">
        <v>30</v>
      </c>
      <c r="D12" s="2"/>
      <c r="E12" s="58"/>
      <c r="F12" s="58"/>
      <c r="G12" s="96"/>
      <c r="H12" s="11"/>
      <c r="I12" s="11"/>
      <c r="J12" s="11"/>
      <c r="K12" s="11"/>
      <c r="L12" s="11"/>
      <c r="M12" s="11"/>
      <c r="O12" s="170"/>
    </row>
    <row r="13" spans="2:15" ht="12" customHeight="1">
      <c r="B13" s="43"/>
      <c r="C13" s="2" t="s">
        <v>31</v>
      </c>
      <c r="D13" s="2"/>
      <c r="E13" s="146">
        <f>9622+133</f>
        <v>9755</v>
      </c>
      <c r="F13" s="146">
        <v>10325</v>
      </c>
      <c r="G13" s="103">
        <f>10242+255-46</f>
        <v>10451</v>
      </c>
      <c r="H13" s="62">
        <f t="shared" ref="H13:M13" si="5">H14*H6</f>
        <v>10552.7246</v>
      </c>
      <c r="I13" s="62">
        <f t="shared" si="5"/>
        <v>10389.770899199999</v>
      </c>
      <c r="J13" s="62">
        <f t="shared" si="5"/>
        <v>10181.975481215997</v>
      </c>
      <c r="K13" s="62">
        <f t="shared" si="5"/>
        <v>9978.3359715916777</v>
      </c>
      <c r="L13" s="62">
        <f t="shared" si="5"/>
        <v>10078.119331307593</v>
      </c>
      <c r="M13" s="62">
        <f t="shared" si="5"/>
        <v>10178.900524620669</v>
      </c>
      <c r="O13" s="170"/>
    </row>
    <row r="14" spans="2:15" ht="12" customHeight="1">
      <c r="B14" s="43"/>
      <c r="C14" s="6" t="s">
        <v>32</v>
      </c>
      <c r="E14" s="186">
        <f>E13/E6</f>
        <v>0.19809922222447859</v>
      </c>
      <c r="F14" s="186">
        <f>F13/F6</f>
        <v>0.20755020403240396</v>
      </c>
      <c r="G14" s="137">
        <f>G13/G6</f>
        <v>0.20611379548368011</v>
      </c>
      <c r="H14" s="187">
        <f>Scenario!H9</f>
        <v>0.215</v>
      </c>
      <c r="I14" s="187">
        <f>Scenario!I9</f>
        <v>0.216</v>
      </c>
      <c r="J14" s="187">
        <f>Scenario!J9</f>
        <v>0.216</v>
      </c>
      <c r="K14" s="187">
        <f>Scenario!K9</f>
        <v>0.216</v>
      </c>
      <c r="L14" s="187">
        <f>Scenario!L9</f>
        <v>0.216</v>
      </c>
      <c r="M14" s="187">
        <f>Scenario!M9</f>
        <v>0.216</v>
      </c>
      <c r="O14" s="170"/>
    </row>
    <row r="15" spans="2:15" ht="12" customHeight="1">
      <c r="B15" s="43"/>
      <c r="C15" s="2" t="s">
        <v>0</v>
      </c>
      <c r="D15" s="2"/>
      <c r="E15" s="149">
        <v>0</v>
      </c>
      <c r="F15" s="149">
        <v>0</v>
      </c>
      <c r="G15" s="133">
        <v>0</v>
      </c>
      <c r="H15" s="132">
        <f t="shared" ref="H15:M15" si="6">G15</f>
        <v>0</v>
      </c>
      <c r="I15" s="132">
        <f t="shared" si="6"/>
        <v>0</v>
      </c>
      <c r="J15" s="132">
        <f t="shared" si="6"/>
        <v>0</v>
      </c>
      <c r="K15" s="132">
        <f t="shared" si="6"/>
        <v>0</v>
      </c>
      <c r="L15" s="132">
        <f t="shared" si="6"/>
        <v>0</v>
      </c>
      <c r="M15" s="132">
        <f t="shared" si="6"/>
        <v>0</v>
      </c>
      <c r="O15" s="170"/>
    </row>
    <row r="16" spans="2:15" ht="12" customHeight="1">
      <c r="B16" s="1" t="s">
        <v>33</v>
      </c>
      <c r="D16" s="2"/>
      <c r="E16" s="153">
        <f t="shared" ref="E16:M16" si="7">E13+E15</f>
        <v>9755</v>
      </c>
      <c r="F16" s="153">
        <f t="shared" si="7"/>
        <v>10325</v>
      </c>
      <c r="G16" s="139">
        <f t="shared" si="7"/>
        <v>10451</v>
      </c>
      <c r="H16" s="153">
        <f t="shared" si="7"/>
        <v>10552.7246</v>
      </c>
      <c r="I16" s="153">
        <f t="shared" si="7"/>
        <v>10389.770899199999</v>
      </c>
      <c r="J16" s="153">
        <f t="shared" si="7"/>
        <v>10181.975481215997</v>
      </c>
      <c r="K16" s="153">
        <f t="shared" si="7"/>
        <v>9978.3359715916777</v>
      </c>
      <c r="L16" s="153">
        <f t="shared" si="7"/>
        <v>10078.119331307593</v>
      </c>
      <c r="M16" s="153">
        <f t="shared" si="7"/>
        <v>10178.900524620669</v>
      </c>
      <c r="O16" s="170"/>
    </row>
    <row r="17" spans="2:16" ht="12" customHeight="1">
      <c r="B17" s="43"/>
      <c r="C17" s="2" t="s">
        <v>13</v>
      </c>
      <c r="D17" s="2"/>
      <c r="E17" s="149">
        <v>0</v>
      </c>
      <c r="F17" s="149">
        <v>0</v>
      </c>
      <c r="G17" s="133">
        <v>0</v>
      </c>
      <c r="H17" s="110">
        <v>0</v>
      </c>
      <c r="I17" s="110">
        <v>0</v>
      </c>
      <c r="J17" s="110">
        <v>0</v>
      </c>
      <c r="K17" s="110">
        <v>0</v>
      </c>
      <c r="L17" s="110">
        <v>0</v>
      </c>
      <c r="M17" s="110">
        <v>0</v>
      </c>
      <c r="O17" s="170"/>
    </row>
    <row r="18" spans="2:16" ht="12" customHeight="1">
      <c r="B18" s="1" t="s">
        <v>2</v>
      </c>
      <c r="D18" s="4"/>
      <c r="E18" s="153">
        <f>E10-E16-E17</f>
        <v>3125</v>
      </c>
      <c r="F18" s="153">
        <f>F10-F16-F17</f>
        <v>3232</v>
      </c>
      <c r="G18" s="139">
        <f>G10-G16</f>
        <v>3124</v>
      </c>
      <c r="H18" s="153">
        <f t="shared" ref="H18:M18" si="8">H10-H16-H17</f>
        <v>2454.1219999999976</v>
      </c>
      <c r="I18" s="153">
        <f t="shared" si="8"/>
        <v>2308.8379775999983</v>
      </c>
      <c r="J18" s="153">
        <f t="shared" si="8"/>
        <v>2262.6612180479988</v>
      </c>
      <c r="K18" s="153">
        <f t="shared" si="8"/>
        <v>2217.4079936870367</v>
      </c>
      <c r="L18" s="153">
        <f t="shared" si="8"/>
        <v>2239.5820736239111</v>
      </c>
      <c r="M18" s="153">
        <f t="shared" si="8"/>
        <v>2261.9778943601523</v>
      </c>
      <c r="O18" s="170"/>
    </row>
    <row r="19" spans="2:16" ht="12" customHeight="1">
      <c r="B19" s="43"/>
      <c r="C19" s="6" t="s">
        <v>34</v>
      </c>
      <c r="E19" s="154">
        <f t="shared" ref="E19:M19" si="9">E18/E6</f>
        <v>6.3460796458379876E-2</v>
      </c>
      <c r="F19" s="154">
        <f t="shared" si="9"/>
        <v>6.4968741833678414E-2</v>
      </c>
      <c r="G19" s="137">
        <f t="shared" si="9"/>
        <v>6.1611280938763432E-2</v>
      </c>
      <c r="H19" s="138">
        <f t="shared" si="9"/>
        <v>4.9999999999999954E-2</v>
      </c>
      <c r="I19" s="138">
        <f t="shared" si="9"/>
        <v>4.7999999999999973E-2</v>
      </c>
      <c r="J19" s="138">
        <f t="shared" si="9"/>
        <v>4.799999999999998E-2</v>
      </c>
      <c r="K19" s="138">
        <f t="shared" si="9"/>
        <v>4.7999999999999939E-2</v>
      </c>
      <c r="L19" s="138">
        <f t="shared" si="9"/>
        <v>4.8000000000000036E-2</v>
      </c>
      <c r="M19" s="138">
        <f t="shared" si="9"/>
        <v>4.8000000000000077E-2</v>
      </c>
      <c r="O19" s="170"/>
    </row>
    <row r="20" spans="2:16" s="161" customFormat="1" ht="12" customHeight="1">
      <c r="B20" s="72"/>
      <c r="C20" s="33" t="s">
        <v>312</v>
      </c>
      <c r="D20" s="33"/>
      <c r="E20" s="151">
        <f>838</f>
        <v>838</v>
      </c>
      <c r="F20" s="165">
        <f>896</f>
        <v>896</v>
      </c>
      <c r="G20" s="103">
        <f>897</f>
        <v>897</v>
      </c>
      <c r="H20" s="589">
        <f>'Depreciation schedule'!H18</f>
        <v>905.22299999999996</v>
      </c>
      <c r="I20" s="589">
        <f>'Depreciation schedule'!I18</f>
        <v>943.74599999999998</v>
      </c>
      <c r="J20" s="589">
        <f>'Depreciation schedule'!J18</f>
        <v>981.745</v>
      </c>
      <c r="K20" s="589">
        <f>'Depreciation schedule'!K18</f>
        <v>1016.395</v>
      </c>
      <c r="L20" s="589">
        <f>'Depreciation schedule'!L18</f>
        <v>1050.5615</v>
      </c>
      <c r="M20" s="589">
        <f>'Depreciation schedule'!M18</f>
        <v>1084.7280000000001</v>
      </c>
      <c r="N20" s="151"/>
      <c r="O20" s="164"/>
      <c r="P20" s="112"/>
    </row>
    <row r="21" spans="2:16" ht="12" customHeight="1">
      <c r="B21" s="43"/>
      <c r="C21" s="2" t="s">
        <v>310</v>
      </c>
      <c r="D21" s="2"/>
      <c r="E21" s="149">
        <v>88</v>
      </c>
      <c r="F21" s="149">
        <v>82</v>
      </c>
      <c r="G21" s="588">
        <v>48</v>
      </c>
      <c r="H21" s="590">
        <f>'Depreciation schedule'!H20</f>
        <v>46.463999999999999</v>
      </c>
      <c r="I21" s="590">
        <f>'Depreciation schedule'!I20</f>
        <v>45.534719999999993</v>
      </c>
      <c r="J21" s="590">
        <f>'Depreciation schedule'!J20</f>
        <v>44.624025599999989</v>
      </c>
      <c r="K21" s="590">
        <f>'Depreciation schedule'!K20</f>
        <v>43.73154508799999</v>
      </c>
      <c r="L21" s="590">
        <f>'Depreciation schedule'!L20</f>
        <v>44.168860538879983</v>
      </c>
      <c r="M21" s="590">
        <f>'Depreciation schedule'!M20</f>
        <v>44.610549144268788</v>
      </c>
      <c r="N21" s="151"/>
      <c r="O21" s="151"/>
      <c r="P21" s="151"/>
    </row>
    <row r="22" spans="2:16" ht="12" customHeight="1">
      <c r="B22" s="1" t="s">
        <v>123</v>
      </c>
      <c r="D22" s="4"/>
      <c r="E22" s="91">
        <f t="shared" ref="E22:M22" si="10">E18-E20-E21</f>
        <v>2199</v>
      </c>
      <c r="F22" s="91">
        <f t="shared" si="10"/>
        <v>2254</v>
      </c>
      <c r="G22" s="139">
        <f t="shared" si="10"/>
        <v>2179</v>
      </c>
      <c r="H22" s="91">
        <f t="shared" si="10"/>
        <v>1502.4349999999977</v>
      </c>
      <c r="I22" s="91">
        <f t="shared" si="10"/>
        <v>1319.5572575999981</v>
      </c>
      <c r="J22" s="91">
        <f t="shared" si="10"/>
        <v>1236.2921924479988</v>
      </c>
      <c r="K22" s="91">
        <f t="shared" si="10"/>
        <v>1157.2814485990366</v>
      </c>
      <c r="L22" s="91">
        <f t="shared" si="10"/>
        <v>1144.8517130850312</v>
      </c>
      <c r="M22" s="91">
        <f t="shared" si="10"/>
        <v>1132.6393452158834</v>
      </c>
      <c r="N22" s="161"/>
      <c r="O22" s="171"/>
      <c r="P22" s="161"/>
    </row>
    <row r="23" spans="2:16" ht="12" customHeight="1">
      <c r="B23" s="43"/>
      <c r="C23" s="6" t="s">
        <v>36</v>
      </c>
      <c r="E23" s="154">
        <f t="shared" ref="E23:M23" si="11">E22/E6</f>
        <v>4.465609325183275E-2</v>
      </c>
      <c r="F23" s="154">
        <f t="shared" si="11"/>
        <v>4.5309264880294291E-2</v>
      </c>
      <c r="G23" s="137">
        <f t="shared" si="11"/>
        <v>4.2974065673996649E-2</v>
      </c>
      <c r="H23" s="138">
        <f t="shared" si="11"/>
        <v>3.0610438274869745E-2</v>
      </c>
      <c r="I23" s="138">
        <f t="shared" si="11"/>
        <v>2.7433171569119601E-2</v>
      </c>
      <c r="J23" s="138">
        <f t="shared" si="11"/>
        <v>2.6226650620148242E-2</v>
      </c>
      <c r="K23" s="138">
        <f t="shared" si="11"/>
        <v>2.5051551041081845E-2</v>
      </c>
      <c r="L23" s="138">
        <f t="shared" si="11"/>
        <v>2.4537114703352313E-2</v>
      </c>
      <c r="M23" s="138">
        <f t="shared" si="11"/>
        <v>2.4035022051239471E-2</v>
      </c>
      <c r="N23" s="161"/>
      <c r="O23" s="171"/>
      <c r="P23" s="605"/>
    </row>
    <row r="24" spans="2:16" ht="12" customHeight="1">
      <c r="B24" s="1" t="s">
        <v>122</v>
      </c>
      <c r="D24" s="6"/>
      <c r="E24" s="155">
        <v>2368</v>
      </c>
      <c r="F24" s="155">
        <v>2374</v>
      </c>
      <c r="G24" s="156">
        <v>1085</v>
      </c>
      <c r="H24" s="440">
        <v>0</v>
      </c>
      <c r="I24" s="440">
        <v>0</v>
      </c>
      <c r="J24" s="440">
        <v>0</v>
      </c>
      <c r="K24" s="440">
        <v>0</v>
      </c>
      <c r="L24" s="440">
        <v>0</v>
      </c>
      <c r="M24" s="440">
        <v>0</v>
      </c>
    </row>
    <row r="25" spans="2:16" ht="12" customHeight="1">
      <c r="C25" s="65" t="s">
        <v>37</v>
      </c>
      <c r="D25" s="6"/>
      <c r="E25" s="145"/>
      <c r="F25" s="145"/>
      <c r="G25" s="94"/>
      <c r="H25" s="10"/>
      <c r="I25" s="10"/>
      <c r="J25" s="10"/>
      <c r="K25" s="10"/>
      <c r="L25" s="10"/>
      <c r="M25" s="10"/>
    </row>
    <row r="26" spans="2:16" ht="12" customHeight="1">
      <c r="B26" s="65"/>
      <c r="C26" s="2" t="s">
        <v>117</v>
      </c>
      <c r="D26" s="6"/>
      <c r="E26" s="155">
        <v>92</v>
      </c>
      <c r="F26" s="155">
        <v>86</v>
      </c>
      <c r="G26" s="156">
        <v>134</v>
      </c>
      <c r="H26" s="591">
        <f ca="1">'Debt schedule'!H26</f>
        <v>76.675000075196238</v>
      </c>
      <c r="I26" s="591">
        <f ca="1">'Debt schedule'!I26</f>
        <v>9.8550000751962319</v>
      </c>
      <c r="J26" s="591">
        <f ca="1">'Debt schedule'!J26</f>
        <v>0</v>
      </c>
      <c r="K26" s="591">
        <f ca="1">'Debt schedule'!K26</f>
        <v>0</v>
      </c>
      <c r="L26" s="591">
        <f ca="1">'Debt schedule'!L26</f>
        <v>0</v>
      </c>
      <c r="M26" s="591">
        <f ca="1">'Debt schedule'!M26</f>
        <v>0</v>
      </c>
    </row>
    <row r="27" spans="2:16" s="161" customFormat="1" ht="12" customHeight="1">
      <c r="B27" s="72"/>
      <c r="C27" s="33" t="s">
        <v>17</v>
      </c>
      <c r="D27" s="33"/>
      <c r="E27" s="114">
        <v>-53</v>
      </c>
      <c r="F27" s="114">
        <v>-43</v>
      </c>
      <c r="G27" s="162">
        <v>-37</v>
      </c>
      <c r="H27" s="592">
        <f ca="1">-'Debt schedule'!H28</f>
        <v>-0.25035000000000002</v>
      </c>
      <c r="I27" s="592">
        <f ca="1">-'Debt schedule'!I28</f>
        <v>-2.9560038686841579</v>
      </c>
      <c r="J27" s="592">
        <f ca="1">-'Debt schedule'!J28</f>
        <v>-8.1674273760978533</v>
      </c>
      <c r="K27" s="592">
        <f ca="1">-'Debt schedule'!K28</f>
        <v>-13.773577993797787</v>
      </c>
      <c r="L27" s="592">
        <f ca="1">-'Debt schedule'!L28</f>
        <v>-18.186616030948688</v>
      </c>
      <c r="M27" s="592">
        <f ca="1">-'Debt schedule'!M28</f>
        <v>-23.853665676453801</v>
      </c>
      <c r="O27" s="171"/>
    </row>
    <row r="28" spans="2:16" ht="12" customHeight="1">
      <c r="B28" s="43"/>
      <c r="C28" s="2" t="s">
        <v>128</v>
      </c>
      <c r="D28" s="2"/>
      <c r="E28" s="115">
        <v>0</v>
      </c>
      <c r="F28" s="115">
        <v>0</v>
      </c>
      <c r="G28" s="134">
        <v>0</v>
      </c>
      <c r="H28" s="562">
        <v>0</v>
      </c>
      <c r="I28" s="562">
        <v>0</v>
      </c>
      <c r="J28" s="562">
        <v>0</v>
      </c>
      <c r="K28" s="562">
        <v>0</v>
      </c>
      <c r="L28" s="562">
        <v>0</v>
      </c>
      <c r="M28" s="562">
        <v>0</v>
      </c>
    </row>
    <row r="29" spans="2:16" ht="12" customHeight="1">
      <c r="B29" s="1" t="s">
        <v>38</v>
      </c>
      <c r="D29" s="2"/>
      <c r="E29" s="68">
        <f t="shared" ref="E29:M29" si="12">SUM(E26:E28)</f>
        <v>39</v>
      </c>
      <c r="F29" s="68">
        <f t="shared" si="12"/>
        <v>43</v>
      </c>
      <c r="G29" s="98">
        <f t="shared" si="12"/>
        <v>97</v>
      </c>
      <c r="H29" s="68">
        <f ca="1">SUM(H26:H28)</f>
        <v>76.42465007519624</v>
      </c>
      <c r="I29" s="68">
        <f t="shared" ca="1" si="12"/>
        <v>6.8989962065120736</v>
      </c>
      <c r="J29" s="68">
        <f t="shared" ca="1" si="12"/>
        <v>-8.1674273760978533</v>
      </c>
      <c r="K29" s="68">
        <f t="shared" ca="1" si="12"/>
        <v>-13.773577993797787</v>
      </c>
      <c r="L29" s="68">
        <f t="shared" ca="1" si="12"/>
        <v>-18.186616030948688</v>
      </c>
      <c r="M29" s="68">
        <f t="shared" ca="1" si="12"/>
        <v>-23.853665676453801</v>
      </c>
    </row>
    <row r="30" spans="2:16" ht="12" customHeight="1">
      <c r="B30" s="1" t="s">
        <v>39</v>
      </c>
      <c r="D30" s="2"/>
      <c r="E30" s="63">
        <f t="shared" ref="E30:M30" si="13">E22-E29</f>
        <v>2160</v>
      </c>
      <c r="F30" s="63">
        <f t="shared" si="13"/>
        <v>2211</v>
      </c>
      <c r="G30" s="97">
        <f t="shared" si="13"/>
        <v>2082</v>
      </c>
      <c r="H30" s="63">
        <f t="shared" ca="1" si="13"/>
        <v>1426.0103499248014</v>
      </c>
      <c r="I30" s="63">
        <f t="shared" ca="1" si="13"/>
        <v>1312.6582613934861</v>
      </c>
      <c r="J30" s="63">
        <f t="shared" ca="1" si="13"/>
        <v>1244.4596198240965</v>
      </c>
      <c r="K30" s="63">
        <f t="shared" ca="1" si="13"/>
        <v>1171.0550265928343</v>
      </c>
      <c r="L30" s="63">
        <f t="shared" ca="1" si="13"/>
        <v>1163.0383291159799</v>
      </c>
      <c r="M30" s="63">
        <f t="shared" ca="1" si="13"/>
        <v>1156.4930108923372</v>
      </c>
    </row>
    <row r="31" spans="2:16" ht="12" customHeight="1">
      <c r="B31" s="43"/>
      <c r="C31" s="6" t="s">
        <v>40</v>
      </c>
      <c r="E31" s="64">
        <f t="shared" ref="E31:M31" si="14">E30/E6</f>
        <v>4.3864102512032169E-2</v>
      </c>
      <c r="F31" s="64">
        <f t="shared" si="14"/>
        <v>4.4444891149215029E-2</v>
      </c>
      <c r="G31" s="94">
        <f t="shared" si="14"/>
        <v>4.1061039345232225E-2</v>
      </c>
      <c r="H31" s="64">
        <f t="shared" ca="1" si="14"/>
        <v>2.9053371224511283E-2</v>
      </c>
      <c r="I31" s="64">
        <f t="shared" ca="1" si="14"/>
        <v>2.7289743653810965E-2</v>
      </c>
      <c r="J31" s="64">
        <f t="shared" ca="1" si="14"/>
        <v>2.6399914081299929E-2</v>
      </c>
      <c r="K31" s="64">
        <f t="shared" ca="1" si="14"/>
        <v>2.5349706250039572E-2</v>
      </c>
      <c r="L31" s="64">
        <f t="shared" ca="1" si="14"/>
        <v>2.4926900628041818E-2</v>
      </c>
      <c r="M31" s="64">
        <f t="shared" ca="1" si="14"/>
        <v>2.4541205579966512E-2</v>
      </c>
    </row>
    <row r="32" spans="2:16" ht="12" customHeight="1">
      <c r="B32" s="43"/>
      <c r="C32" s="2" t="s">
        <v>41</v>
      </c>
      <c r="D32" s="2"/>
      <c r="E32" s="146">
        <f>835+1</f>
        <v>836</v>
      </c>
      <c r="F32" s="159">
        <f>779+2</f>
        <v>781</v>
      </c>
      <c r="G32" s="160">
        <f>709-4</f>
        <v>705</v>
      </c>
      <c r="H32" s="9">
        <f t="shared" ref="H32:M32" ca="1" si="15">H30*H33</f>
        <v>482.87093981603505</v>
      </c>
      <c r="I32" s="9">
        <f t="shared" ca="1" si="15"/>
        <v>444.48802799347152</v>
      </c>
      <c r="J32" s="9">
        <f t="shared" ca="1" si="15"/>
        <v>421.39482803841884</v>
      </c>
      <c r="K32" s="9">
        <f t="shared" ca="1" si="15"/>
        <v>396.53880583474938</v>
      </c>
      <c r="L32" s="9">
        <f t="shared" ca="1" si="15"/>
        <v>393.82421807241394</v>
      </c>
      <c r="M32" s="9">
        <f t="shared" ca="1" si="15"/>
        <v>391.60786391887501</v>
      </c>
    </row>
    <row r="33" spans="2:16" ht="12" customHeight="1">
      <c r="B33" s="43"/>
      <c r="C33" s="6" t="s">
        <v>42</v>
      </c>
      <c r="E33" s="66">
        <f>E32/E30</f>
        <v>0.38703703703703701</v>
      </c>
      <c r="F33" s="66">
        <f>F32/F30</f>
        <v>0.35323383084577115</v>
      </c>
      <c r="G33" s="95">
        <f>G32/G30</f>
        <v>0.33861671469740634</v>
      </c>
      <c r="H33" s="140">
        <f t="shared" ref="H33:M33" si="16">G33</f>
        <v>0.33861671469740634</v>
      </c>
      <c r="I33" s="140">
        <f t="shared" si="16"/>
        <v>0.33861671469740634</v>
      </c>
      <c r="J33" s="140">
        <f t="shared" si="16"/>
        <v>0.33861671469740634</v>
      </c>
      <c r="K33" s="140">
        <f t="shared" si="16"/>
        <v>0.33861671469740634</v>
      </c>
      <c r="L33" s="140">
        <f t="shared" si="16"/>
        <v>0.33861671469740634</v>
      </c>
      <c r="M33" s="140">
        <f t="shared" si="16"/>
        <v>0.33861671469740634</v>
      </c>
    </row>
    <row r="34" spans="2:16" ht="12" customHeight="1">
      <c r="B34" s="43"/>
      <c r="C34" s="1" t="s">
        <v>43</v>
      </c>
      <c r="D34" s="2"/>
      <c r="E34" s="63">
        <f t="shared" ref="E34:M34" si="17">E30-E32</f>
        <v>1324</v>
      </c>
      <c r="F34" s="63">
        <f t="shared" si="17"/>
        <v>1430</v>
      </c>
      <c r="G34" s="97">
        <f t="shared" si="17"/>
        <v>1377</v>
      </c>
      <c r="H34" s="63">
        <f t="shared" ca="1" si="17"/>
        <v>943.13941010876636</v>
      </c>
      <c r="I34" s="63">
        <f t="shared" ca="1" si="17"/>
        <v>868.17023340001458</v>
      </c>
      <c r="J34" s="63">
        <f t="shared" ca="1" si="17"/>
        <v>823.0647917856777</v>
      </c>
      <c r="K34" s="63">
        <f t="shared" ca="1" si="17"/>
        <v>774.51622075808496</v>
      </c>
      <c r="L34" s="63">
        <f t="shared" ca="1" si="17"/>
        <v>769.21411104356594</v>
      </c>
      <c r="M34" s="63">
        <f t="shared" ca="1" si="17"/>
        <v>764.88514697346227</v>
      </c>
    </row>
    <row r="35" spans="2:16" ht="12" customHeight="1">
      <c r="B35" s="1" t="s">
        <v>44</v>
      </c>
      <c r="D35" s="2"/>
      <c r="E35" s="58"/>
      <c r="F35" s="90"/>
      <c r="G35" s="96"/>
      <c r="H35" s="11"/>
      <c r="I35" s="11"/>
      <c r="J35" s="11"/>
      <c r="K35" s="11"/>
      <c r="L35" s="11"/>
      <c r="M35" s="11"/>
    </row>
    <row r="36" spans="2:16" ht="12" customHeight="1">
      <c r="B36" s="43"/>
      <c r="C36" s="2" t="s">
        <v>124</v>
      </c>
      <c r="D36" s="2"/>
      <c r="E36" s="150">
        <f>52*(1-E33)</f>
        <v>31.874074074074073</v>
      </c>
      <c r="F36" s="70">
        <f>9*(1-F33)</f>
        <v>5.8208955223880592</v>
      </c>
      <c r="G36" s="167">
        <f>19*(1-0.37)</f>
        <v>11.97</v>
      </c>
      <c r="H36" s="109">
        <v>0</v>
      </c>
      <c r="I36" s="109">
        <v>0</v>
      </c>
      <c r="J36" s="109">
        <v>0</v>
      </c>
      <c r="K36" s="109">
        <v>0</v>
      </c>
      <c r="L36" s="109">
        <v>0</v>
      </c>
      <c r="M36" s="109">
        <v>0</v>
      </c>
    </row>
    <row r="37" spans="2:16" ht="12" customHeight="1">
      <c r="B37" s="43"/>
      <c r="C37" s="2" t="s">
        <v>125</v>
      </c>
      <c r="D37" s="2"/>
      <c r="E37" s="146">
        <v>0</v>
      </c>
      <c r="F37" s="70">
        <f>138*(1-0.37)</f>
        <v>86.94</v>
      </c>
      <c r="G37" s="167">
        <f>39*(1-G33)</f>
        <v>25.793948126801151</v>
      </c>
      <c r="H37" s="109">
        <v>0</v>
      </c>
      <c r="I37" s="109">
        <v>0</v>
      </c>
      <c r="J37" s="109">
        <v>0</v>
      </c>
      <c r="K37" s="109">
        <v>0</v>
      </c>
      <c r="L37" s="109">
        <v>0</v>
      </c>
      <c r="M37" s="109">
        <v>0</v>
      </c>
    </row>
    <row r="38" spans="2:16" ht="12" customHeight="1">
      <c r="B38" s="43"/>
      <c r="C38" s="2" t="s">
        <v>126</v>
      </c>
      <c r="D38" s="2"/>
      <c r="E38" s="146">
        <v>0</v>
      </c>
      <c r="F38" s="112">
        <v>0</v>
      </c>
      <c r="G38" s="167">
        <f>46*(1-G33)</f>
        <v>30.423631123919307</v>
      </c>
      <c r="H38" s="109">
        <v>0</v>
      </c>
      <c r="I38" s="109">
        <v>0</v>
      </c>
      <c r="J38" s="109">
        <v>0</v>
      </c>
      <c r="K38" s="109">
        <v>0</v>
      </c>
      <c r="L38" s="109">
        <v>0</v>
      </c>
      <c r="M38" s="109">
        <v>0</v>
      </c>
    </row>
    <row r="39" spans="2:16" ht="12" customHeight="1">
      <c r="B39" s="43"/>
      <c r="C39" s="2" t="s">
        <v>127</v>
      </c>
      <c r="D39" s="2"/>
      <c r="E39" s="151">
        <v>0</v>
      </c>
      <c r="F39" s="112">
        <v>0</v>
      </c>
      <c r="G39" s="162">
        <v>1180</v>
      </c>
      <c r="H39" s="112">
        <v>0</v>
      </c>
      <c r="I39" s="112">
        <v>0</v>
      </c>
      <c r="J39" s="112">
        <v>0</v>
      </c>
      <c r="K39" s="112">
        <v>0</v>
      </c>
      <c r="L39" s="112">
        <v>0</v>
      </c>
      <c r="M39" s="112">
        <v>0</v>
      </c>
    </row>
    <row r="40" spans="2:16" ht="12" customHeight="1">
      <c r="B40" s="43"/>
      <c r="C40" s="2" t="s">
        <v>128</v>
      </c>
      <c r="D40" s="2"/>
      <c r="E40" s="151">
        <v>0</v>
      </c>
      <c r="F40" s="112">
        <v>0</v>
      </c>
      <c r="G40" s="162">
        <v>48</v>
      </c>
      <c r="H40" s="112">
        <v>0</v>
      </c>
      <c r="I40" s="112">
        <v>0</v>
      </c>
      <c r="J40" s="112">
        <v>0</v>
      </c>
      <c r="K40" s="112">
        <v>0</v>
      </c>
      <c r="L40" s="112">
        <v>0</v>
      </c>
      <c r="M40" s="112">
        <v>0</v>
      </c>
    </row>
    <row r="41" spans="2:16" ht="12" customHeight="1">
      <c r="B41" s="43"/>
      <c r="C41" s="2" t="s">
        <v>129</v>
      </c>
      <c r="D41" s="2"/>
      <c r="E41" s="151">
        <v>0</v>
      </c>
      <c r="F41" s="112">
        <v>0</v>
      </c>
      <c r="G41" s="162">
        <v>-4</v>
      </c>
      <c r="H41" s="112">
        <v>0</v>
      </c>
      <c r="I41" s="112">
        <v>0</v>
      </c>
      <c r="J41" s="112">
        <v>0</v>
      </c>
      <c r="K41" s="112">
        <v>0</v>
      </c>
      <c r="L41" s="112">
        <v>0</v>
      </c>
      <c r="M41" s="112">
        <v>0</v>
      </c>
    </row>
    <row r="42" spans="2:16" ht="12" customHeight="1">
      <c r="B42" s="43"/>
      <c r="C42" s="2" t="s">
        <v>130</v>
      </c>
      <c r="D42" s="2"/>
      <c r="E42" s="151">
        <v>0</v>
      </c>
      <c r="F42" s="112">
        <v>0</v>
      </c>
      <c r="G42" s="162">
        <v>-13</v>
      </c>
      <c r="H42" s="112">
        <v>0</v>
      </c>
      <c r="I42" s="112">
        <v>0</v>
      </c>
      <c r="J42" s="112">
        <v>0</v>
      </c>
      <c r="K42" s="112">
        <v>0</v>
      </c>
      <c r="L42" s="112">
        <v>0</v>
      </c>
      <c r="M42" s="112">
        <v>0</v>
      </c>
    </row>
    <row r="43" spans="2:16" ht="12" customHeight="1">
      <c r="B43" s="43"/>
      <c r="C43" s="2" t="s">
        <v>131</v>
      </c>
      <c r="D43" s="2"/>
      <c r="E43" s="151">
        <v>0</v>
      </c>
      <c r="F43" s="112">
        <v>0</v>
      </c>
      <c r="G43" s="162">
        <v>1303</v>
      </c>
      <c r="H43" s="112">
        <v>0</v>
      </c>
      <c r="I43" s="112">
        <v>0</v>
      </c>
      <c r="J43" s="112">
        <v>0</v>
      </c>
      <c r="K43" s="112">
        <v>0</v>
      </c>
      <c r="L43" s="112">
        <v>0</v>
      </c>
      <c r="M43" s="112">
        <v>0</v>
      </c>
    </row>
    <row r="44" spans="2:16" ht="12" customHeight="1">
      <c r="B44" s="65" t="s">
        <v>45</v>
      </c>
      <c r="D44" s="2"/>
      <c r="E44" s="151">
        <v>0</v>
      </c>
      <c r="F44" s="112">
        <v>0</v>
      </c>
      <c r="G44" s="162">
        <v>0</v>
      </c>
      <c r="H44" s="112">
        <v>0</v>
      </c>
      <c r="I44" s="112">
        <v>0</v>
      </c>
      <c r="J44" s="112">
        <v>0</v>
      </c>
      <c r="K44" s="112">
        <v>0</v>
      </c>
      <c r="L44" s="112">
        <v>0</v>
      </c>
      <c r="M44" s="112">
        <v>0</v>
      </c>
    </row>
    <row r="45" spans="2:16" ht="12" customHeight="1">
      <c r="C45" s="43" t="s">
        <v>124</v>
      </c>
      <c r="D45" s="2"/>
      <c r="E45" s="151">
        <v>0</v>
      </c>
      <c r="F45" s="112">
        <v>10</v>
      </c>
      <c r="G45" s="162">
        <v>8</v>
      </c>
      <c r="H45" s="112">
        <v>0</v>
      </c>
      <c r="I45" s="112">
        <v>0</v>
      </c>
      <c r="J45" s="112">
        <v>0</v>
      </c>
      <c r="K45" s="112">
        <v>0</v>
      </c>
      <c r="L45" s="112">
        <v>0</v>
      </c>
      <c r="M45" s="112">
        <v>0</v>
      </c>
    </row>
    <row r="46" spans="2:16" ht="12" customHeight="1">
      <c r="C46" s="43" t="s">
        <v>125</v>
      </c>
      <c r="D46" s="2"/>
      <c r="E46" s="151">
        <v>0</v>
      </c>
      <c r="F46" s="112">
        <v>44</v>
      </c>
      <c r="G46" s="162">
        <v>178</v>
      </c>
      <c r="H46" s="112">
        <v>0</v>
      </c>
      <c r="I46" s="112">
        <v>0</v>
      </c>
      <c r="J46" s="112">
        <v>0</v>
      </c>
      <c r="K46" s="112">
        <v>0</v>
      </c>
      <c r="L46" s="112">
        <v>0</v>
      </c>
      <c r="M46" s="112">
        <v>0</v>
      </c>
    </row>
    <row r="47" spans="2:16" ht="12" customHeight="1">
      <c r="C47" s="43" t="s">
        <v>129</v>
      </c>
      <c r="D47" s="2"/>
      <c r="E47" s="151">
        <v>0</v>
      </c>
      <c r="F47" s="112">
        <v>0</v>
      </c>
      <c r="G47" s="162">
        <v>-85</v>
      </c>
      <c r="H47" s="112">
        <v>0</v>
      </c>
      <c r="I47" s="112">
        <v>0</v>
      </c>
      <c r="J47" s="112">
        <v>0</v>
      </c>
      <c r="K47" s="112">
        <v>0</v>
      </c>
      <c r="L47" s="112">
        <v>0</v>
      </c>
      <c r="M47" s="112">
        <v>0</v>
      </c>
      <c r="P47" s="166"/>
    </row>
    <row r="48" spans="2:16" ht="12" customHeight="1">
      <c r="B48" s="1" t="s">
        <v>46</v>
      </c>
      <c r="D48" s="2"/>
      <c r="E48" s="69">
        <f t="shared" ref="E48:M48" si="18">SUM(E36:E47)</f>
        <v>31.874074074074073</v>
      </c>
      <c r="F48" s="69">
        <f t="shared" si="18"/>
        <v>146.76089552238807</v>
      </c>
      <c r="G48" s="99">
        <f t="shared" si="18"/>
        <v>2683.1875792507208</v>
      </c>
      <c r="H48" s="69">
        <f t="shared" si="18"/>
        <v>0</v>
      </c>
      <c r="I48" s="69">
        <f t="shared" si="18"/>
        <v>0</v>
      </c>
      <c r="J48" s="69">
        <f t="shared" si="18"/>
        <v>0</v>
      </c>
      <c r="K48" s="69">
        <f t="shared" si="18"/>
        <v>0</v>
      </c>
      <c r="L48" s="69">
        <f t="shared" si="18"/>
        <v>0</v>
      </c>
      <c r="M48" s="69">
        <f t="shared" si="18"/>
        <v>0</v>
      </c>
    </row>
    <row r="49" spans="2:13" ht="15" customHeight="1">
      <c r="B49" s="22" t="s">
        <v>47</v>
      </c>
      <c r="D49" s="135"/>
      <c r="E49" s="91">
        <f>E34-E48</f>
        <v>1292.1259259259259</v>
      </c>
      <c r="F49" s="91">
        <f>F34-F48</f>
        <v>1283.2391044776118</v>
      </c>
      <c r="G49" s="97">
        <f>G48-G34</f>
        <v>1306.1875792507208</v>
      </c>
      <c r="H49" s="91">
        <f t="shared" ref="H49:M49" ca="1" si="19">H34-H48</f>
        <v>943.13941010876636</v>
      </c>
      <c r="I49" s="91">
        <f t="shared" ca="1" si="19"/>
        <v>868.17023340001458</v>
      </c>
      <c r="J49" s="91">
        <f t="shared" ca="1" si="19"/>
        <v>823.0647917856777</v>
      </c>
      <c r="K49" s="91">
        <f t="shared" ca="1" si="19"/>
        <v>774.51622075808496</v>
      </c>
      <c r="L49" s="91">
        <f t="shared" ca="1" si="19"/>
        <v>769.21411104356594</v>
      </c>
      <c r="M49" s="91">
        <f t="shared" ca="1" si="19"/>
        <v>764.88514697346227</v>
      </c>
    </row>
    <row r="50" spans="2:13" ht="12" customHeight="1">
      <c r="B50" s="542" t="s">
        <v>303</v>
      </c>
      <c r="C50" s="100"/>
      <c r="D50" s="135"/>
      <c r="E50" s="536">
        <f>'Cash flow statement'!E45</f>
        <v>-234</v>
      </c>
      <c r="F50" s="536">
        <f>'Cash flow statement'!F45</f>
        <v>-237</v>
      </c>
      <c r="G50" s="539">
        <f>'Cash flow statement'!G45</f>
        <v>-228</v>
      </c>
      <c r="H50" s="101">
        <f t="shared" ref="H50:M50" ca="1" si="20">-H51*H49</f>
        <v>-141.47091151631494</v>
      </c>
      <c r="I50" s="101">
        <f t="shared" ca="1" si="20"/>
        <v>-130.22553501000218</v>
      </c>
      <c r="J50" s="101">
        <f t="shared" ca="1" si="20"/>
        <v>-123.45971876785165</v>
      </c>
      <c r="K50" s="101">
        <f t="shared" ca="1" si="20"/>
        <v>-116.17743311371274</v>
      </c>
      <c r="L50" s="101">
        <f t="shared" ca="1" si="20"/>
        <v>-115.38211665653489</v>
      </c>
      <c r="M50" s="101">
        <f t="shared" ca="1" si="20"/>
        <v>-114.73277204601933</v>
      </c>
    </row>
    <row r="51" spans="2:13" ht="12" customHeight="1">
      <c r="B51" s="542" t="s">
        <v>305</v>
      </c>
      <c r="C51" s="100"/>
      <c r="D51" s="135"/>
      <c r="E51" s="541">
        <f>-E50/E49</f>
        <v>0.18109690031358025</v>
      </c>
      <c r="F51" s="541">
        <f>-F50/F49</f>
        <v>0.18468888547195519</v>
      </c>
      <c r="G51" s="543">
        <f>-G50/G49</f>
        <v>0.17455379581146341</v>
      </c>
      <c r="H51" s="545">
        <v>0.15</v>
      </c>
      <c r="I51" s="187">
        <f>H51</f>
        <v>0.15</v>
      </c>
      <c r="J51" s="187">
        <f>I51</f>
        <v>0.15</v>
      </c>
      <c r="K51" s="187">
        <f>J51</f>
        <v>0.15</v>
      </c>
      <c r="L51" s="187">
        <f>K51</f>
        <v>0.15</v>
      </c>
      <c r="M51" s="187">
        <f>L51</f>
        <v>0.15</v>
      </c>
    </row>
    <row r="52" spans="2:13" ht="12" customHeight="1">
      <c r="B52" s="542" t="s">
        <v>304</v>
      </c>
      <c r="C52" s="100"/>
      <c r="D52" s="135"/>
      <c r="E52" s="537">
        <f t="shared" ref="E52:M52" si="21">-E50/E61</f>
        <v>0.54736842105263162</v>
      </c>
      <c r="F52" s="537">
        <f t="shared" si="21"/>
        <v>0.56902761104441779</v>
      </c>
      <c r="G52" s="540">
        <f t="shared" si="21"/>
        <v>0.62244062244062237</v>
      </c>
      <c r="H52" s="537">
        <f t="shared" ca="1" si="21"/>
        <v>0.38621597465551444</v>
      </c>
      <c r="I52" s="537">
        <f t="shared" ca="1" si="21"/>
        <v>0.355516066093372</v>
      </c>
      <c r="J52" s="537">
        <f t="shared" ca="1" si="21"/>
        <v>0.33704536928160428</v>
      </c>
      <c r="K52" s="537">
        <f t="shared" ca="1" si="21"/>
        <v>0.31716470956514531</v>
      </c>
      <c r="L52" s="537">
        <f t="shared" ca="1" si="21"/>
        <v>0.31499349346583372</v>
      </c>
      <c r="M52" s="537">
        <f t="shared" ca="1" si="21"/>
        <v>0.3132207809064137</v>
      </c>
    </row>
    <row r="53" spans="2:13" ht="12" customHeight="1">
      <c r="B53" s="72"/>
      <c r="C53" s="100"/>
      <c r="D53" s="135"/>
      <c r="E53" s="537"/>
      <c r="F53" s="537"/>
      <c r="G53" s="540"/>
      <c r="H53" s="538"/>
      <c r="I53" s="538"/>
      <c r="J53" s="538"/>
      <c r="K53" s="538"/>
      <c r="L53" s="538"/>
      <c r="M53" s="538"/>
    </row>
    <row r="54" spans="2:13" ht="12" customHeight="1">
      <c r="B54" s="22" t="s">
        <v>132</v>
      </c>
      <c r="D54" s="157"/>
      <c r="E54" s="158"/>
      <c r="F54" s="91"/>
      <c r="G54" s="97"/>
      <c r="H54" s="91"/>
      <c r="I54" s="91"/>
      <c r="J54" s="91"/>
      <c r="K54" s="91"/>
      <c r="L54" s="91"/>
      <c r="M54" s="91"/>
    </row>
    <row r="55" spans="2:13" ht="12" customHeight="1">
      <c r="B55" s="72"/>
      <c r="C55" s="33" t="s">
        <v>118</v>
      </c>
      <c r="E55" s="173">
        <f>E49/E60</f>
        <v>3.1001101869623939</v>
      </c>
      <c r="F55" s="173">
        <f>F49/F60</f>
        <v>3.1599091467067515</v>
      </c>
      <c r="G55" s="181">
        <f>G49/G60</f>
        <v>3.5658956572501248</v>
      </c>
      <c r="H55" s="173">
        <f t="shared" ref="H55:M55" ca="1" si="22">H49/H60</f>
        <v>2.5747731643700966</v>
      </c>
      <c r="I55" s="173">
        <f t="shared" ca="1" si="22"/>
        <v>2.3701071072891469</v>
      </c>
      <c r="J55" s="173">
        <f t="shared" ca="1" si="22"/>
        <v>2.2469691285440287</v>
      </c>
      <c r="K55" s="173">
        <f t="shared" ca="1" si="22"/>
        <v>2.1144313971009692</v>
      </c>
      <c r="L55" s="173">
        <f t="shared" ca="1" si="22"/>
        <v>2.099956623105558</v>
      </c>
      <c r="M55" s="173">
        <f t="shared" ca="1" si="22"/>
        <v>2.0881385393760912</v>
      </c>
    </row>
    <row r="56" spans="2:13" ht="12" customHeight="1">
      <c r="B56" s="72"/>
      <c r="C56" s="33" t="s">
        <v>119</v>
      </c>
      <c r="E56" s="173">
        <f>E49/E61</f>
        <v>3.0225167857916397</v>
      </c>
      <c r="F56" s="173">
        <f>F49/F61</f>
        <v>3.0810062532475673</v>
      </c>
      <c r="G56" s="181">
        <f>G49/G61</f>
        <v>3.5658956572501248</v>
      </c>
      <c r="H56" s="173">
        <f t="shared" ref="H56:M56" ca="1" si="23">H49/H61</f>
        <v>2.5747731643700966</v>
      </c>
      <c r="I56" s="173">
        <f t="shared" ca="1" si="23"/>
        <v>2.3701071072891469</v>
      </c>
      <c r="J56" s="173">
        <f t="shared" ca="1" si="23"/>
        <v>2.2469691285440287</v>
      </c>
      <c r="K56" s="173">
        <f t="shared" ca="1" si="23"/>
        <v>2.1144313971009692</v>
      </c>
      <c r="L56" s="173">
        <f t="shared" ca="1" si="23"/>
        <v>2.099956623105558</v>
      </c>
      <c r="M56" s="173">
        <f t="shared" ca="1" si="23"/>
        <v>2.0881385393760912</v>
      </c>
    </row>
    <row r="57" spans="2:13" ht="12" customHeight="1">
      <c r="B57" s="22" t="s">
        <v>133</v>
      </c>
      <c r="D57" s="157"/>
      <c r="E57" s="172">
        <v>3.1</v>
      </c>
      <c r="F57" s="172">
        <v>3.14</v>
      </c>
      <c r="G57" s="182">
        <v>-3.36</v>
      </c>
      <c r="H57" s="180">
        <v>0</v>
      </c>
      <c r="I57" s="180">
        <v>0</v>
      </c>
      <c r="J57" s="180">
        <v>0</v>
      </c>
      <c r="K57" s="180">
        <v>0</v>
      </c>
      <c r="L57" s="180">
        <v>0</v>
      </c>
      <c r="M57" s="180">
        <v>0</v>
      </c>
    </row>
    <row r="58" spans="2:13" ht="12" customHeight="1">
      <c r="B58" s="72"/>
      <c r="C58" s="33"/>
      <c r="D58" s="157"/>
      <c r="E58" s="158"/>
      <c r="F58" s="141"/>
      <c r="G58" s="183"/>
      <c r="H58" s="91"/>
      <c r="I58" s="91"/>
      <c r="J58" s="91"/>
      <c r="K58" s="91"/>
      <c r="L58" s="91"/>
      <c r="M58" s="91"/>
    </row>
    <row r="59" spans="2:13" ht="12" customHeight="1">
      <c r="B59" s="22" t="s">
        <v>120</v>
      </c>
      <c r="D59" s="157"/>
      <c r="E59" s="158"/>
      <c r="F59" s="152"/>
      <c r="G59" s="97"/>
      <c r="H59" s="91"/>
      <c r="I59" s="91"/>
      <c r="J59" s="91"/>
      <c r="K59" s="91"/>
      <c r="L59" s="91"/>
      <c r="M59" s="91"/>
    </row>
    <row r="60" spans="2:13" ht="12" customHeight="1">
      <c r="B60" s="72"/>
      <c r="C60" s="33" t="s">
        <v>118</v>
      </c>
      <c r="E60" s="151">
        <v>416.8</v>
      </c>
      <c r="F60" s="151">
        <v>406.1</v>
      </c>
      <c r="G60" s="103">
        <v>366.3</v>
      </c>
      <c r="H60" s="179">
        <f>G60</f>
        <v>366.3</v>
      </c>
      <c r="I60" s="179">
        <f t="shared" ref="I60:M61" si="24">H60</f>
        <v>366.3</v>
      </c>
      <c r="J60" s="179">
        <f t="shared" si="24"/>
        <v>366.3</v>
      </c>
      <c r="K60" s="179">
        <f t="shared" si="24"/>
        <v>366.3</v>
      </c>
      <c r="L60" s="179">
        <f t="shared" si="24"/>
        <v>366.3</v>
      </c>
      <c r="M60" s="179">
        <f t="shared" si="24"/>
        <v>366.3</v>
      </c>
    </row>
    <row r="61" spans="2:13" ht="12" customHeight="1">
      <c r="B61" s="72"/>
      <c r="C61" s="33" t="s">
        <v>119</v>
      </c>
      <c r="E61" s="151">
        <v>427.5</v>
      </c>
      <c r="F61" s="151">
        <v>416.5</v>
      </c>
      <c r="G61" s="103">
        <v>366.3</v>
      </c>
      <c r="H61" s="179">
        <f>G61</f>
        <v>366.3</v>
      </c>
      <c r="I61" s="179">
        <f t="shared" si="24"/>
        <v>366.3</v>
      </c>
      <c r="J61" s="179">
        <f t="shared" si="24"/>
        <v>366.3</v>
      </c>
      <c r="K61" s="179">
        <f t="shared" si="24"/>
        <v>366.3</v>
      </c>
      <c r="L61" s="179">
        <f t="shared" si="24"/>
        <v>366.3</v>
      </c>
      <c r="M61" s="179">
        <f t="shared" si="24"/>
        <v>366.3</v>
      </c>
    </row>
    <row r="62" spans="2:13" ht="12" customHeight="1" thickBot="1">
      <c r="B62" s="174"/>
      <c r="C62" s="175"/>
      <c r="D62" s="176"/>
      <c r="E62" s="177"/>
      <c r="F62" s="177"/>
      <c r="G62" s="184"/>
      <c r="H62" s="178"/>
      <c r="I62" s="178"/>
      <c r="J62" s="178"/>
      <c r="K62" s="178"/>
      <c r="L62" s="178"/>
      <c r="M62" s="178"/>
    </row>
    <row r="66" spans="9:9" ht="12" customHeight="1">
      <c r="I66" s="604"/>
    </row>
  </sheetData>
  <phoneticPr fontId="28" type="noConversion"/>
  <pageMargins left="0.75" right="0.75" top="1" bottom="1" header="0.5" footer="0.5"/>
  <headerFooter alignWithMargins="0"/>
  <drawing r:id="rId1"/>
  <legacyDrawing r:id="rId2"/>
</worksheet>
</file>

<file path=xl/worksheets/sheet4.xml><?xml version="1.0" encoding="utf-8"?>
<worksheet xmlns="http://schemas.openxmlformats.org/spreadsheetml/2006/main" xmlns:r="http://schemas.openxmlformats.org/officeDocument/2006/relationships">
  <dimension ref="B1:S60"/>
  <sheetViews>
    <sheetView showGridLines="0" zoomScale="120" zoomScaleNormal="120" workbookViewId="0"/>
  </sheetViews>
  <sheetFormatPr defaultColWidth="9.140625" defaultRowHeight="20.100000000000001" customHeight="1"/>
  <cols>
    <col min="1" max="1" width="3.7109375" style="43" customWidth="1"/>
    <col min="2" max="2" width="2.7109375" style="43" customWidth="1"/>
    <col min="3" max="3" width="2.7109375" style="2" customWidth="1"/>
    <col min="4" max="4" width="54.7109375" style="2" customWidth="1"/>
    <col min="5" max="5" width="8.28515625" style="2" customWidth="1"/>
    <col min="6" max="6" width="9.7109375" style="8" customWidth="1"/>
    <col min="7" max="7" width="9.7109375" style="43" customWidth="1"/>
    <col min="8" max="8" width="9.7109375" style="2" customWidth="1"/>
    <col min="9" max="13" width="9.7109375" style="43" customWidth="1"/>
    <col min="14" max="16384" width="9.140625" style="43"/>
  </cols>
  <sheetData>
    <row r="1" spans="2:19" ht="66" customHeight="1">
      <c r="B1" s="532"/>
      <c r="F1" s="106"/>
      <c r="G1" s="189"/>
      <c r="H1" s="105"/>
      <c r="I1" s="189"/>
      <c r="J1" s="189"/>
      <c r="K1" s="189"/>
      <c r="L1" s="189"/>
      <c r="M1" s="189"/>
    </row>
    <row r="2" spans="2:19" ht="12.75" customHeight="1">
      <c r="B2" s="37" t="s">
        <v>48</v>
      </c>
      <c r="C2" s="37"/>
      <c r="D2" s="190"/>
      <c r="E2" s="190"/>
      <c r="F2" s="38"/>
      <c r="G2" s="44"/>
      <c r="H2" s="37"/>
      <c r="I2" s="44"/>
      <c r="J2" s="44"/>
      <c r="K2" s="44"/>
      <c r="L2" s="44"/>
      <c r="M2" s="44"/>
    </row>
    <row r="3" spans="2:19" ht="12.75" customHeight="1">
      <c r="B3" s="12" t="s">
        <v>21</v>
      </c>
      <c r="C3" s="13"/>
      <c r="D3" s="56"/>
      <c r="E3" s="46" t="s">
        <v>23</v>
      </c>
      <c r="F3" s="46"/>
      <c r="G3" s="53"/>
      <c r="H3" s="46" t="s">
        <v>20</v>
      </c>
      <c r="I3" s="55"/>
      <c r="J3" s="51"/>
      <c r="K3" s="55"/>
      <c r="L3" s="55"/>
      <c r="M3" s="55"/>
    </row>
    <row r="4" spans="2:19" ht="12.75" customHeight="1">
      <c r="B4" s="12"/>
      <c r="C4" s="13"/>
      <c r="D4" s="56"/>
      <c r="E4" s="56"/>
      <c r="F4" s="56"/>
      <c r="G4" s="565"/>
      <c r="H4" s="47"/>
      <c r="I4" s="47"/>
      <c r="J4" s="47"/>
      <c r="K4" s="47"/>
      <c r="L4" s="47"/>
      <c r="M4" s="47"/>
    </row>
    <row r="5" spans="2:19" ht="12.75" customHeight="1">
      <c r="B5" s="48" t="s">
        <v>19</v>
      </c>
      <c r="C5" s="49"/>
      <c r="D5" s="46"/>
      <c r="E5" s="191">
        <v>2010</v>
      </c>
      <c r="F5" s="191">
        <f t="shared" ref="F5:M5" si="0">E5+1</f>
        <v>2011</v>
      </c>
      <c r="G5" s="185">
        <f t="shared" si="0"/>
        <v>2012</v>
      </c>
      <c r="H5" s="50">
        <f t="shared" si="0"/>
        <v>2013</v>
      </c>
      <c r="I5" s="50">
        <f t="shared" si="0"/>
        <v>2014</v>
      </c>
      <c r="J5" s="50">
        <f t="shared" si="0"/>
        <v>2015</v>
      </c>
      <c r="K5" s="50">
        <f t="shared" si="0"/>
        <v>2016</v>
      </c>
      <c r="L5" s="50">
        <f t="shared" si="0"/>
        <v>2017</v>
      </c>
      <c r="M5" s="50">
        <f t="shared" si="0"/>
        <v>2018</v>
      </c>
    </row>
    <row r="6" spans="2:19" ht="21" customHeight="1">
      <c r="B6" s="22" t="s">
        <v>49</v>
      </c>
      <c r="C6" s="22"/>
      <c r="D6" s="22"/>
      <c r="E6" s="22"/>
      <c r="F6" s="16"/>
      <c r="G6" s="452"/>
      <c r="H6" s="16"/>
      <c r="I6" s="16"/>
      <c r="J6" s="16"/>
      <c r="K6" s="16"/>
      <c r="L6" s="16"/>
      <c r="M6" s="16"/>
    </row>
    <row r="7" spans="2:19" s="45" customFormat="1" ht="12.75" customHeight="1">
      <c r="C7" s="89" t="s">
        <v>134</v>
      </c>
      <c r="D7" s="19"/>
      <c r="E7" s="116">
        <v>1394</v>
      </c>
      <c r="F7" s="116">
        <v>1366</v>
      </c>
      <c r="G7" s="551">
        <v>22</v>
      </c>
      <c r="H7" s="454">
        <f ca="1">'Income statement'!H49</f>
        <v>943.13941010876636</v>
      </c>
      <c r="I7" s="454">
        <f ca="1">'Income statement'!I49</f>
        <v>868.17023340001458</v>
      </c>
      <c r="J7" s="454">
        <f ca="1">'Income statement'!J49</f>
        <v>823.0647917856777</v>
      </c>
      <c r="K7" s="454">
        <f ca="1">'Income statement'!K49</f>
        <v>774.51622075808496</v>
      </c>
      <c r="L7" s="454">
        <f ca="1">'Income statement'!L49</f>
        <v>769.21411104356594</v>
      </c>
      <c r="M7" s="454">
        <f ca="1">'Income statement'!M49</f>
        <v>764.88514697346227</v>
      </c>
      <c r="N7" s="454"/>
      <c r="O7" s="454"/>
      <c r="P7" s="454"/>
      <c r="Q7" s="454"/>
      <c r="R7" s="454"/>
      <c r="S7" s="454"/>
    </row>
    <row r="8" spans="2:19" ht="12.75" customHeight="1">
      <c r="C8" s="2" t="s">
        <v>35</v>
      </c>
      <c r="E8" s="453">
        <f>'Income statement'!E20</f>
        <v>838</v>
      </c>
      <c r="F8" s="453">
        <f>'Income statement'!F20</f>
        <v>896</v>
      </c>
      <c r="G8" s="539">
        <f>'Income statement'!G20</f>
        <v>897</v>
      </c>
      <c r="H8" s="453">
        <f>'Income statement'!H20</f>
        <v>905.22299999999996</v>
      </c>
      <c r="I8" s="453">
        <f>'Income statement'!I20</f>
        <v>943.74599999999998</v>
      </c>
      <c r="J8" s="453">
        <f>'Income statement'!J20</f>
        <v>981.745</v>
      </c>
      <c r="K8" s="453">
        <f>'Income statement'!K20</f>
        <v>1016.395</v>
      </c>
      <c r="L8" s="453">
        <f>'Income statement'!L20</f>
        <v>1050.5615</v>
      </c>
      <c r="M8" s="453">
        <f>'Income statement'!M20</f>
        <v>1084.7280000000001</v>
      </c>
      <c r="N8" s="453"/>
      <c r="O8" s="453"/>
      <c r="P8" s="453"/>
      <c r="Q8" s="453"/>
      <c r="R8" s="453"/>
      <c r="S8" s="453"/>
    </row>
    <row r="9" spans="2:19" ht="12.75" customHeight="1">
      <c r="C9" s="192" t="s">
        <v>74</v>
      </c>
      <c r="E9" s="20">
        <v>0</v>
      </c>
      <c r="F9" s="20">
        <v>0</v>
      </c>
      <c r="G9" s="552">
        <v>0</v>
      </c>
      <c r="H9" s="20">
        <v>0</v>
      </c>
      <c r="I9" s="20">
        <v>0</v>
      </c>
      <c r="J9" s="20">
        <v>0</v>
      </c>
      <c r="K9" s="20">
        <v>0</v>
      </c>
      <c r="L9" s="20">
        <v>0</v>
      </c>
      <c r="M9" s="20">
        <v>0</v>
      </c>
      <c r="N9" s="20"/>
      <c r="O9" s="20"/>
      <c r="P9" s="20"/>
      <c r="Q9" s="20"/>
      <c r="R9" s="20"/>
      <c r="S9" s="20"/>
    </row>
    <row r="10" spans="2:19" ht="12.75" customHeight="1">
      <c r="C10" s="192" t="s">
        <v>135</v>
      </c>
      <c r="E10" s="113">
        <v>88</v>
      </c>
      <c r="F10" s="113">
        <v>82</v>
      </c>
      <c r="G10" s="553">
        <v>48</v>
      </c>
      <c r="H10" s="453">
        <f>'Income statement'!H21</f>
        <v>46.463999999999999</v>
      </c>
      <c r="I10" s="453">
        <f>'Income statement'!I21</f>
        <v>45.534719999999993</v>
      </c>
      <c r="J10" s="453">
        <f>'Income statement'!J21</f>
        <v>44.624025599999989</v>
      </c>
      <c r="K10" s="453">
        <f>'Income statement'!K21</f>
        <v>43.73154508799999</v>
      </c>
      <c r="L10" s="453">
        <f>'Income statement'!L21</f>
        <v>44.168860538879983</v>
      </c>
      <c r="M10" s="453">
        <f>'Income statement'!M21</f>
        <v>44.610549144268788</v>
      </c>
      <c r="N10" s="113"/>
      <c r="O10" s="455"/>
      <c r="P10" s="455"/>
      <c r="Q10" s="455"/>
      <c r="R10" s="455"/>
      <c r="S10" s="455"/>
    </row>
    <row r="11" spans="2:19" ht="12.75" customHeight="1">
      <c r="C11" s="192" t="s">
        <v>121</v>
      </c>
      <c r="E11" s="113">
        <v>52</v>
      </c>
      <c r="F11" s="113">
        <v>222</v>
      </c>
      <c r="G11" s="553">
        <v>288</v>
      </c>
      <c r="H11" s="113">
        <v>0</v>
      </c>
      <c r="I11" s="113">
        <v>0</v>
      </c>
      <c r="J11" s="113">
        <v>0</v>
      </c>
      <c r="K11" s="113">
        <v>0</v>
      </c>
      <c r="L11" s="113">
        <v>0</v>
      </c>
      <c r="M11" s="113">
        <v>0</v>
      </c>
      <c r="N11" s="113"/>
      <c r="O11" s="113"/>
      <c r="P11" s="113"/>
      <c r="Q11" s="113"/>
      <c r="R11" s="113"/>
      <c r="S11" s="113"/>
    </row>
    <row r="12" spans="2:19" ht="12.75" customHeight="1">
      <c r="C12" s="192" t="s">
        <v>127</v>
      </c>
      <c r="E12" s="113">
        <v>0</v>
      </c>
      <c r="F12" s="113">
        <v>0</v>
      </c>
      <c r="G12" s="553">
        <v>1207</v>
      </c>
      <c r="H12" s="113">
        <v>0</v>
      </c>
      <c r="I12" s="113">
        <v>0</v>
      </c>
      <c r="J12" s="113">
        <v>0</v>
      </c>
      <c r="K12" s="113">
        <v>0</v>
      </c>
      <c r="L12" s="113">
        <v>0</v>
      </c>
      <c r="M12" s="113">
        <v>0</v>
      </c>
      <c r="N12" s="113"/>
      <c r="O12" s="113"/>
      <c r="P12" s="113"/>
      <c r="Q12" s="113"/>
      <c r="R12" s="113"/>
      <c r="S12" s="113"/>
    </row>
    <row r="13" spans="2:19" ht="12.75" customHeight="1">
      <c r="C13" s="192" t="s">
        <v>136</v>
      </c>
      <c r="E13" s="113">
        <v>118</v>
      </c>
      <c r="F13" s="113">
        <v>121</v>
      </c>
      <c r="G13" s="553">
        <v>120</v>
      </c>
      <c r="H13" s="455">
        <f t="shared" ref="H13:M13" si="1">G13</f>
        <v>120</v>
      </c>
      <c r="I13" s="455">
        <f t="shared" si="1"/>
        <v>120</v>
      </c>
      <c r="J13" s="455">
        <f t="shared" si="1"/>
        <v>120</v>
      </c>
      <c r="K13" s="455">
        <f t="shared" si="1"/>
        <v>120</v>
      </c>
      <c r="L13" s="455">
        <f t="shared" si="1"/>
        <v>120</v>
      </c>
      <c r="M13" s="455">
        <f t="shared" si="1"/>
        <v>120</v>
      </c>
      <c r="N13" s="455"/>
      <c r="O13" s="455"/>
      <c r="P13" s="455"/>
      <c r="Q13" s="455"/>
      <c r="R13" s="455"/>
      <c r="S13" s="455"/>
    </row>
    <row r="14" spans="2:19" ht="12.75" customHeight="1">
      <c r="C14" s="192" t="s">
        <v>137</v>
      </c>
      <c r="E14" s="113">
        <v>0</v>
      </c>
      <c r="F14" s="113">
        <v>0</v>
      </c>
      <c r="G14" s="553">
        <v>-55</v>
      </c>
      <c r="H14" s="113">
        <v>0</v>
      </c>
      <c r="I14" s="113">
        <v>0</v>
      </c>
      <c r="J14" s="113">
        <v>0</v>
      </c>
      <c r="K14" s="113">
        <v>0</v>
      </c>
      <c r="L14" s="113">
        <v>0</v>
      </c>
      <c r="M14" s="113">
        <v>0</v>
      </c>
      <c r="N14" s="113"/>
      <c r="O14" s="113"/>
      <c r="P14" s="113"/>
      <c r="Q14" s="113"/>
      <c r="R14" s="113"/>
      <c r="S14" s="113"/>
    </row>
    <row r="15" spans="2:19" ht="12.75" customHeight="1">
      <c r="C15" s="192" t="s">
        <v>138</v>
      </c>
      <c r="E15" s="113">
        <v>-30</v>
      </c>
      <c r="F15" s="113">
        <v>-134</v>
      </c>
      <c r="G15" s="553">
        <v>28</v>
      </c>
      <c r="H15" s="453">
        <f t="shared" ref="H15:M15" si="2">E15</f>
        <v>-30</v>
      </c>
      <c r="I15" s="453">
        <f t="shared" si="2"/>
        <v>-134</v>
      </c>
      <c r="J15" s="453">
        <f t="shared" si="2"/>
        <v>28</v>
      </c>
      <c r="K15" s="453">
        <f t="shared" si="2"/>
        <v>-30</v>
      </c>
      <c r="L15" s="453">
        <f t="shared" si="2"/>
        <v>-134</v>
      </c>
      <c r="M15" s="453">
        <f t="shared" si="2"/>
        <v>28</v>
      </c>
      <c r="N15" s="453"/>
      <c r="O15" s="453"/>
      <c r="P15" s="453"/>
      <c r="Q15" s="453"/>
      <c r="R15" s="453"/>
      <c r="S15" s="453"/>
    </row>
    <row r="16" spans="2:19" ht="12.75" customHeight="1">
      <c r="C16" s="192" t="s">
        <v>139</v>
      </c>
      <c r="E16" s="113">
        <v>-7</v>
      </c>
      <c r="F16" s="113">
        <v>-11</v>
      </c>
      <c r="G16" s="553">
        <v>0</v>
      </c>
      <c r="H16" s="453">
        <f>F16</f>
        <v>-11</v>
      </c>
      <c r="I16" s="453">
        <f>H16</f>
        <v>-11</v>
      </c>
      <c r="J16" s="453">
        <f>I16</f>
        <v>-11</v>
      </c>
      <c r="K16" s="453">
        <f>J16</f>
        <v>-11</v>
      </c>
      <c r="L16" s="453">
        <f>K16</f>
        <v>-11</v>
      </c>
      <c r="M16" s="453">
        <f>L16</f>
        <v>-11</v>
      </c>
      <c r="N16" s="453"/>
      <c r="O16" s="453"/>
      <c r="P16" s="453"/>
      <c r="Q16" s="453"/>
      <c r="R16" s="453"/>
      <c r="S16" s="453"/>
    </row>
    <row r="17" spans="2:19" ht="12.75" customHeight="1">
      <c r="C17" s="192" t="s">
        <v>140</v>
      </c>
      <c r="E17" s="113">
        <v>0</v>
      </c>
      <c r="F17" s="113">
        <v>11</v>
      </c>
      <c r="G17" s="553">
        <v>25</v>
      </c>
      <c r="H17" s="20">
        <v>0</v>
      </c>
      <c r="I17" s="20">
        <v>0</v>
      </c>
      <c r="J17" s="20">
        <v>0</v>
      </c>
      <c r="K17" s="20">
        <v>0</v>
      </c>
      <c r="L17" s="20">
        <v>0</v>
      </c>
      <c r="M17" s="20">
        <v>0</v>
      </c>
      <c r="N17" s="20"/>
      <c r="O17" s="20"/>
      <c r="P17" s="20"/>
      <c r="Q17" s="20"/>
      <c r="R17" s="20"/>
      <c r="S17" s="20"/>
    </row>
    <row r="18" spans="2:19" ht="12.75" customHeight="1">
      <c r="C18" s="192" t="s">
        <v>141</v>
      </c>
      <c r="E18" s="113">
        <v>103</v>
      </c>
      <c r="F18" s="113">
        <v>-33</v>
      </c>
      <c r="G18" s="553">
        <v>25</v>
      </c>
      <c r="H18" s="453">
        <f t="shared" ref="H18:M18" si="3">E18</f>
        <v>103</v>
      </c>
      <c r="I18" s="453">
        <f t="shared" si="3"/>
        <v>-33</v>
      </c>
      <c r="J18" s="453">
        <f t="shared" si="3"/>
        <v>25</v>
      </c>
      <c r="K18" s="453">
        <f t="shared" si="3"/>
        <v>103</v>
      </c>
      <c r="L18" s="453">
        <f t="shared" si="3"/>
        <v>-33</v>
      </c>
      <c r="M18" s="453">
        <f t="shared" si="3"/>
        <v>25</v>
      </c>
      <c r="N18" s="453"/>
      <c r="O18" s="453"/>
      <c r="P18" s="453"/>
      <c r="Q18" s="453"/>
      <c r="R18" s="453"/>
      <c r="S18" s="453"/>
    </row>
    <row r="19" spans="2:19" ht="12.75" customHeight="1">
      <c r="C19" s="1" t="s">
        <v>50</v>
      </c>
      <c r="F19" s="18"/>
      <c r="G19" s="554"/>
      <c r="H19" s="18"/>
      <c r="I19" s="18"/>
      <c r="J19" s="18"/>
      <c r="K19" s="18"/>
      <c r="L19" s="18"/>
      <c r="M19" s="18"/>
    </row>
    <row r="20" spans="2:19" ht="12.75" customHeight="1">
      <c r="D20" s="2" t="s">
        <v>142</v>
      </c>
      <c r="E20" s="113">
        <v>-63</v>
      </c>
      <c r="F20" s="113">
        <v>-371</v>
      </c>
      <c r="G20" s="553">
        <v>41</v>
      </c>
      <c r="H20" s="20">
        <f>'Operating working capital'!G7-'Operating working capital'!H7</f>
        <v>44.17600000000084</v>
      </c>
      <c r="I20" s="20">
        <f>'Operating working capital'!H7-'Operating working capital'!I7</f>
        <v>44.876479999999901</v>
      </c>
      <c r="J20" s="20">
        <f>'Operating working capital'!I7-'Operating working capital'!J7</f>
        <v>43.978950400000031</v>
      </c>
      <c r="K20" s="20">
        <f>'Operating working capital'!J7-'Operating working capital'!K7</f>
        <v>43.099371392000194</v>
      </c>
      <c r="L20" s="20">
        <f>'Operating working capital'!K7-'Operating working capital'!L7</f>
        <v>-21.118691982079781</v>
      </c>
      <c r="M20" s="20">
        <f>'Operating working capital'!L7-'Operating working capital'!M7</f>
        <v>-21.329878901900884</v>
      </c>
      <c r="N20" s="20"/>
      <c r="O20" s="20"/>
      <c r="P20" s="20"/>
      <c r="Q20" s="20"/>
      <c r="R20" s="20"/>
      <c r="S20" s="20"/>
    </row>
    <row r="21" spans="2:19" ht="12.75" customHeight="1">
      <c r="D21" s="2" t="s">
        <v>143</v>
      </c>
      <c r="E21" s="113">
        <v>-609</v>
      </c>
      <c r="F21" s="113">
        <v>-400</v>
      </c>
      <c r="G21" s="553">
        <v>120</v>
      </c>
      <c r="H21" s="20">
        <f>'Operating working capital'!G9-'Operating working capital'!H9</f>
        <v>82.10422764341547</v>
      </c>
      <c r="I21" s="20">
        <f>'Operating working capital'!H9-'Operating working capital'!I9</f>
        <v>105.44605441732256</v>
      </c>
      <c r="J21" s="20">
        <f>'Operating working capital'!I9-'Operating working capital'!J9</f>
        <v>110.86899435878604</v>
      </c>
      <c r="K21" s="20">
        <f>'Operating working capital'!J9-'Operating working capital'!K9</f>
        <v>108.65161447160972</v>
      </c>
      <c r="L21" s="20">
        <f>'Operating working capital'!K9-'Operating working capital'!L9</f>
        <v>-53.23929109108758</v>
      </c>
      <c r="M21" s="20">
        <f>'Operating working capital'!L9-'Operating working capital'!M9</f>
        <v>-53.771684001999347</v>
      </c>
      <c r="N21" s="20"/>
      <c r="O21" s="20"/>
      <c r="P21" s="20"/>
      <c r="Q21" s="20"/>
      <c r="R21" s="20"/>
      <c r="S21" s="20"/>
    </row>
    <row r="22" spans="2:19" ht="12.75" customHeight="1">
      <c r="D22" s="2" t="s">
        <v>51</v>
      </c>
      <c r="E22" s="113">
        <v>-98</v>
      </c>
      <c r="F22" s="113">
        <v>40</v>
      </c>
      <c r="G22" s="553">
        <v>-24</v>
      </c>
      <c r="H22" s="20">
        <f>'Operating working capital'!G11-'Operating working capital'!H11</f>
        <v>34.52800000000002</v>
      </c>
      <c r="I22" s="20">
        <f>'Operating working capital'!H11-'Operating working capital'!I11</f>
        <v>20.88944000000015</v>
      </c>
      <c r="J22" s="20">
        <f>'Operating working capital'!I11-'Operating working capital'!J11</f>
        <v>20.471651199999997</v>
      </c>
      <c r="K22" s="20">
        <f>'Operating working capital'!J11-'Operating working capital'!K11</f>
        <v>20.062218176000101</v>
      </c>
      <c r="L22" s="20">
        <f>'Operating working capital'!K11-'Operating working capital'!L11</f>
        <v>-9.8304869062399121</v>
      </c>
      <c r="M22" s="20">
        <f>'Operating working capital'!L11-'Operating working capital'!M11</f>
        <v>-9.9287917753024431</v>
      </c>
      <c r="N22" s="20"/>
      <c r="O22" s="20"/>
      <c r="P22" s="20"/>
      <c r="Q22" s="20"/>
      <c r="R22" s="20"/>
      <c r="S22" s="20"/>
    </row>
    <row r="23" spans="2:19" ht="12">
      <c r="D23" s="2" t="s">
        <v>52</v>
      </c>
      <c r="E23" s="113">
        <v>141</v>
      </c>
      <c r="F23" s="113">
        <v>-443</v>
      </c>
      <c r="G23" s="553">
        <v>574</v>
      </c>
      <c r="H23" s="20">
        <f>'Operating working capital'!H15-'Operating working capital'!G15</f>
        <v>-380.65180316186434</v>
      </c>
      <c r="I23" s="20">
        <f>'Operating working capital'!I15-'Operating working capital'!H15</f>
        <v>-93.022499674311803</v>
      </c>
      <c r="J23" s="20">
        <f>'Operating working capital'!J15-'Operating working capital'!I15</f>
        <v>-97.806513943276514</v>
      </c>
      <c r="K23" s="20">
        <f>'Operating working capital'!K15-'Operating working capital'!J15</f>
        <v>-95.850383664411311</v>
      </c>
      <c r="L23" s="20">
        <f>'Operating working capital'!L15-'Operating working capital'!K15</f>
        <v>46.966687995560278</v>
      </c>
      <c r="M23" s="20">
        <f>'Operating working capital'!M15-'Operating working capital'!L15</f>
        <v>47.436354875516372</v>
      </c>
      <c r="N23" s="20"/>
      <c r="O23" s="20"/>
      <c r="P23" s="20"/>
      <c r="Q23" s="20"/>
      <c r="R23" s="20"/>
      <c r="S23" s="20"/>
    </row>
    <row r="24" spans="2:19" ht="12.75" customHeight="1">
      <c r="D24" s="2" t="s">
        <v>144</v>
      </c>
      <c r="E24" s="113">
        <v>0</v>
      </c>
      <c r="F24" s="113">
        <v>0</v>
      </c>
      <c r="G24" s="553">
        <v>0</v>
      </c>
      <c r="H24" s="20">
        <f>'Operating working capital'!H17-'Operating working capital'!G17</f>
        <v>-5.8800000000000523</v>
      </c>
      <c r="I24" s="20">
        <f>'Operating working capital'!I17-'Operating working capital'!H17</f>
        <v>-9.0024000000000228</v>
      </c>
      <c r="J24" s="20">
        <f>'Operating working capital'!J17-'Operating working capital'!I17</f>
        <v>-8.8223520000000235</v>
      </c>
      <c r="K24" s="20">
        <f>'Operating working capital'!K17-'Operating working capital'!J17</f>
        <v>-8.6459049600000526</v>
      </c>
      <c r="L24" s="20">
        <f>'Operating working capital'!L17-'Operating working capital'!K17</f>
        <v>4.236493430400003</v>
      </c>
      <c r="M24" s="20">
        <f>'Operating working capital'!M17-'Operating working capital'!L17</f>
        <v>4.2788583647039786</v>
      </c>
      <c r="N24" s="20"/>
      <c r="O24" s="20"/>
      <c r="P24" s="20"/>
      <c r="Q24" s="20"/>
      <c r="R24" s="20"/>
      <c r="S24" s="20"/>
    </row>
    <row r="25" spans="2:19" ht="12.75" customHeight="1">
      <c r="D25" s="2" t="s">
        <v>145</v>
      </c>
      <c r="E25" s="113">
        <v>0</v>
      </c>
      <c r="F25" s="113">
        <v>0</v>
      </c>
      <c r="G25" s="553">
        <v>0</v>
      </c>
      <c r="H25" s="20">
        <f>'Operating working capital'!H19-'Operating working capital'!G19</f>
        <v>20.897214687589667</v>
      </c>
      <c r="I25" s="20">
        <f>'Operating working capital'!I19-'Operating working capital'!H19</f>
        <v>-8.6458546640130862</v>
      </c>
      <c r="J25" s="20">
        <f>'Operating working capital'!J19-'Operating working capital'!I19</f>
        <v>-11.025027200471527</v>
      </c>
      <c r="K25" s="20">
        <f>'Operating working capital'!K19-'Operating working capital'!J19</f>
        <v>-10.804526656462144</v>
      </c>
      <c r="L25" s="20">
        <f>'Operating working capital'!L19-'Operating working capital'!K19</f>
        <v>5.2942180616663563</v>
      </c>
      <c r="M25" s="20">
        <f>'Operating working capital'!M19-'Operating working capital'!L19</f>
        <v>5.3471602422830529</v>
      </c>
      <c r="N25" s="20"/>
      <c r="O25" s="20"/>
      <c r="P25" s="20"/>
      <c r="Q25" s="20"/>
      <c r="R25" s="20"/>
      <c r="S25" s="20"/>
    </row>
    <row r="26" spans="2:19" ht="12.75" customHeight="1">
      <c r="D26" s="2" t="s">
        <v>146</v>
      </c>
      <c r="E26" s="113">
        <v>279</v>
      </c>
      <c r="F26" s="113">
        <v>-156</v>
      </c>
      <c r="G26" s="553">
        <v>-23</v>
      </c>
      <c r="H26" s="20">
        <f>'Operating working capital'!H21-'Operating working capital'!G21</f>
        <v>-91.640568481484934</v>
      </c>
      <c r="I26" s="20">
        <f>'Operating working capital'!I21-'Operating working capital'!H21</f>
        <v>-24.604434012285992</v>
      </c>
      <c r="J26" s="20">
        <f>'Operating working capital'!J21-'Operating working capital'!I21</f>
        <v>-31.375099950124877</v>
      </c>
      <c r="K26" s="20">
        <f>'Operating working capital'!K21-'Operating working capital'!J21</f>
        <v>-30.747597951122088</v>
      </c>
      <c r="L26" s="20">
        <f>'Operating working capital'!L21-'Operating working capital'!K21</f>
        <v>15.066322996049621</v>
      </c>
      <c r="M26" s="20">
        <f>'Operating working capital'!M21-'Operating working capital'!L21</f>
        <v>15.216986226010249</v>
      </c>
      <c r="N26" s="20"/>
      <c r="O26" s="20"/>
      <c r="P26" s="20"/>
      <c r="Q26" s="20"/>
      <c r="R26" s="20"/>
      <c r="S26" s="20"/>
    </row>
    <row r="27" spans="2:19" ht="12.75" customHeight="1">
      <c r="D27" s="1" t="s">
        <v>53</v>
      </c>
      <c r="E27" s="193">
        <f t="shared" ref="E27:L27" si="4">SUM(E20:E26)</f>
        <v>-350</v>
      </c>
      <c r="F27" s="193">
        <f t="shared" si="4"/>
        <v>-1330</v>
      </c>
      <c r="G27" s="555">
        <f t="shared" si="4"/>
        <v>688</v>
      </c>
      <c r="H27" s="193">
        <f t="shared" si="4"/>
        <v>-296.46692931234332</v>
      </c>
      <c r="I27" s="193">
        <f>SUM(I20:I26)</f>
        <v>35.936786066711704</v>
      </c>
      <c r="J27" s="193">
        <f t="shared" si="4"/>
        <v>26.290602864913126</v>
      </c>
      <c r="K27" s="193">
        <f t="shared" si="4"/>
        <v>25.764790807614418</v>
      </c>
      <c r="L27" s="193">
        <f t="shared" si="4"/>
        <v>-12.624747495731015</v>
      </c>
      <c r="M27" s="193">
        <f>SUM(M20:M26)</f>
        <v>-12.750994970689021</v>
      </c>
    </row>
    <row r="28" spans="2:19" ht="12.75" customHeight="1">
      <c r="C28" s="1" t="s">
        <v>54</v>
      </c>
      <c r="E28" s="73">
        <f t="shared" ref="E28:M28" si="5">E27+SUM(E7:E18)</f>
        <v>2206</v>
      </c>
      <c r="F28" s="73">
        <f t="shared" si="5"/>
        <v>1190</v>
      </c>
      <c r="G28" s="556">
        <f t="shared" si="5"/>
        <v>3293</v>
      </c>
      <c r="H28" s="73">
        <f t="shared" ca="1" si="5"/>
        <v>1780.3594807964228</v>
      </c>
      <c r="I28" s="73">
        <f t="shared" ca="1" si="5"/>
        <v>1835.3877394667261</v>
      </c>
      <c r="J28" s="73">
        <f t="shared" ca="1" si="5"/>
        <v>2037.7244202505908</v>
      </c>
      <c r="K28" s="73">
        <f t="shared" ca="1" si="5"/>
        <v>2042.4075566536994</v>
      </c>
      <c r="L28" s="73">
        <f t="shared" ca="1" si="5"/>
        <v>1793.3197240867148</v>
      </c>
      <c r="M28" s="73">
        <f t="shared" ca="1" si="5"/>
        <v>2043.4727011470422</v>
      </c>
    </row>
    <row r="29" spans="2:19" ht="21" customHeight="1">
      <c r="B29" s="22" t="s">
        <v>55</v>
      </c>
      <c r="C29" s="1"/>
      <c r="D29" s="1"/>
      <c r="E29" s="1"/>
      <c r="F29" s="17"/>
      <c r="G29" s="557"/>
      <c r="H29" s="17"/>
      <c r="I29" s="17"/>
      <c r="J29" s="17"/>
      <c r="K29" s="17"/>
      <c r="L29" s="17"/>
      <c r="M29" s="17"/>
    </row>
    <row r="30" spans="2:19" ht="12.75" customHeight="1">
      <c r="B30" s="22"/>
      <c r="C30" s="2" t="s">
        <v>56</v>
      </c>
      <c r="E30" s="113">
        <v>-615</v>
      </c>
      <c r="F30" s="113">
        <v>-744</v>
      </c>
      <c r="G30" s="553">
        <v>-766</v>
      </c>
      <c r="H30" s="454">
        <f>-'Depreciation schedule'!H7</f>
        <v>-749.46</v>
      </c>
      <c r="I30" s="454">
        <f>-'Depreciation schedule'!I7</f>
        <v>-770.46</v>
      </c>
      <c r="J30" s="454">
        <f>-'Depreciation schedule'!J7</f>
        <v>-759.98</v>
      </c>
      <c r="K30" s="454">
        <f>-'Depreciation schedule'!K7</f>
        <v>-693</v>
      </c>
      <c r="L30" s="454">
        <f>-'Depreciation schedule'!L7</f>
        <v>-683.33</v>
      </c>
      <c r="M30" s="454">
        <f>-'Depreciation schedule'!M7</f>
        <v>-683.33</v>
      </c>
      <c r="N30" s="534"/>
      <c r="O30" s="534"/>
      <c r="P30" s="534"/>
      <c r="Q30" s="534"/>
      <c r="R30" s="534"/>
      <c r="S30" s="534"/>
    </row>
    <row r="31" spans="2:19" ht="12.75" customHeight="1">
      <c r="B31" s="22"/>
      <c r="C31" s="2" t="s">
        <v>57</v>
      </c>
      <c r="E31" s="113">
        <v>-16</v>
      </c>
      <c r="F31" s="113">
        <v>-267</v>
      </c>
      <c r="G31" s="553">
        <v>-112</v>
      </c>
      <c r="H31" s="455">
        <f t="shared" ref="H31:M31" si="6">G31</f>
        <v>-112</v>
      </c>
      <c r="I31" s="455">
        <f t="shared" si="6"/>
        <v>-112</v>
      </c>
      <c r="J31" s="455">
        <f t="shared" si="6"/>
        <v>-112</v>
      </c>
      <c r="K31" s="455">
        <f t="shared" si="6"/>
        <v>-112</v>
      </c>
      <c r="L31" s="455">
        <f t="shared" si="6"/>
        <v>-112</v>
      </c>
      <c r="M31" s="455">
        <f t="shared" si="6"/>
        <v>-112</v>
      </c>
      <c r="N31" s="535"/>
      <c r="O31" s="535"/>
      <c r="P31" s="535"/>
      <c r="Q31" s="535"/>
      <c r="R31" s="535"/>
      <c r="S31" s="535"/>
    </row>
    <row r="32" spans="2:19" ht="12.75" customHeight="1">
      <c r="B32" s="22"/>
      <c r="C32" s="2" t="s">
        <v>58</v>
      </c>
      <c r="E32" s="113">
        <v>-7</v>
      </c>
      <c r="F32" s="113">
        <v>0</v>
      </c>
      <c r="G32" s="553">
        <v>-174</v>
      </c>
      <c r="H32" s="113">
        <v>0</v>
      </c>
      <c r="I32" s="113">
        <v>0</v>
      </c>
      <c r="J32" s="113">
        <v>0</v>
      </c>
      <c r="K32" s="113">
        <v>0</v>
      </c>
      <c r="L32" s="113">
        <v>0</v>
      </c>
      <c r="M32" s="113">
        <v>0</v>
      </c>
      <c r="N32" s="114"/>
      <c r="O32" s="114"/>
      <c r="P32" s="114"/>
      <c r="Q32" s="114"/>
      <c r="R32" s="114"/>
      <c r="S32" s="114"/>
    </row>
    <row r="33" spans="2:19" ht="12.75" customHeight="1">
      <c r="B33" s="22"/>
      <c r="C33" s="2" t="s">
        <v>59</v>
      </c>
      <c r="E33" s="113">
        <v>0</v>
      </c>
      <c r="F33" s="113">
        <v>21</v>
      </c>
      <c r="G33" s="553">
        <v>0</v>
      </c>
      <c r="H33" s="113">
        <v>0</v>
      </c>
      <c r="I33" s="113">
        <v>0</v>
      </c>
      <c r="J33" s="113">
        <v>0</v>
      </c>
      <c r="K33" s="113">
        <v>0</v>
      </c>
      <c r="L33" s="113">
        <v>0</v>
      </c>
      <c r="M33" s="113">
        <v>0</v>
      </c>
      <c r="N33" s="114"/>
      <c r="O33" s="114"/>
      <c r="P33" s="114"/>
      <c r="Q33" s="114"/>
      <c r="R33" s="114"/>
      <c r="S33" s="114"/>
    </row>
    <row r="34" spans="2:19" ht="12.75" customHeight="1">
      <c r="B34" s="22"/>
      <c r="C34" s="2" t="s">
        <v>147</v>
      </c>
      <c r="E34" s="113">
        <v>56</v>
      </c>
      <c r="F34" s="113">
        <v>415</v>
      </c>
      <c r="G34" s="553">
        <v>290</v>
      </c>
      <c r="H34" s="113">
        <v>0</v>
      </c>
      <c r="I34" s="113">
        <v>0</v>
      </c>
      <c r="J34" s="113">
        <v>0</v>
      </c>
      <c r="K34" s="113">
        <v>0</v>
      </c>
      <c r="L34" s="113">
        <v>0</v>
      </c>
      <c r="M34" s="113">
        <v>0</v>
      </c>
      <c r="N34" s="114"/>
      <c r="O34" s="114"/>
      <c r="P34" s="114"/>
      <c r="Q34" s="114"/>
      <c r="R34" s="114"/>
      <c r="S34" s="114"/>
    </row>
    <row r="35" spans="2:19" ht="12.75" customHeight="1">
      <c r="B35" s="22"/>
      <c r="C35" s="2" t="s">
        <v>148</v>
      </c>
      <c r="E35" s="113">
        <v>18</v>
      </c>
      <c r="F35" s="113">
        <v>-2</v>
      </c>
      <c r="G35" s="553">
        <v>40</v>
      </c>
      <c r="H35" s="113">
        <v>0</v>
      </c>
      <c r="I35" s="113">
        <v>0</v>
      </c>
      <c r="J35" s="113">
        <v>0</v>
      </c>
      <c r="K35" s="113">
        <v>0</v>
      </c>
      <c r="L35" s="113">
        <v>0</v>
      </c>
      <c r="M35" s="113">
        <v>0</v>
      </c>
      <c r="N35" s="114"/>
      <c r="O35" s="114"/>
      <c r="P35" s="114"/>
      <c r="Q35" s="114"/>
      <c r="R35" s="114"/>
      <c r="S35" s="114"/>
    </row>
    <row r="36" spans="2:19" ht="12.75" customHeight="1">
      <c r="B36" s="22"/>
      <c r="C36" s="2" t="s">
        <v>149</v>
      </c>
      <c r="E36" s="113">
        <v>40</v>
      </c>
      <c r="F36" s="113">
        <v>12</v>
      </c>
      <c r="G36" s="553">
        <v>0</v>
      </c>
      <c r="H36" s="113">
        <v>0</v>
      </c>
      <c r="I36" s="113">
        <v>0</v>
      </c>
      <c r="J36" s="113">
        <v>0</v>
      </c>
      <c r="K36" s="113">
        <v>0</v>
      </c>
      <c r="L36" s="113">
        <v>0</v>
      </c>
      <c r="M36" s="113">
        <v>0</v>
      </c>
      <c r="N36" s="114"/>
      <c r="O36" s="114"/>
      <c r="P36" s="114"/>
      <c r="Q36" s="114"/>
      <c r="R36" s="114"/>
      <c r="S36" s="114"/>
    </row>
    <row r="37" spans="2:19" ht="12.75" customHeight="1">
      <c r="B37" s="22"/>
      <c r="C37" s="2" t="s">
        <v>0</v>
      </c>
      <c r="E37" s="115">
        <v>-16</v>
      </c>
      <c r="F37" s="115">
        <v>-4</v>
      </c>
      <c r="G37" s="558">
        <v>-2</v>
      </c>
      <c r="H37" s="115">
        <v>0</v>
      </c>
      <c r="I37" s="115">
        <v>0</v>
      </c>
      <c r="J37" s="115">
        <v>0</v>
      </c>
      <c r="K37" s="115">
        <v>0</v>
      </c>
      <c r="L37" s="115">
        <v>0</v>
      </c>
      <c r="M37" s="115">
        <v>0</v>
      </c>
      <c r="N37" s="114"/>
      <c r="O37" s="114"/>
      <c r="P37" s="114"/>
      <c r="Q37" s="114"/>
      <c r="R37" s="114"/>
      <c r="S37" s="114"/>
    </row>
    <row r="38" spans="2:19" ht="12.75" customHeight="1">
      <c r="C38" s="1" t="s">
        <v>60</v>
      </c>
      <c r="E38" s="73">
        <f t="shared" ref="E38:L38" si="7">SUM(E30:E37)</f>
        <v>-540</v>
      </c>
      <c r="F38" s="73">
        <f t="shared" si="7"/>
        <v>-569</v>
      </c>
      <c r="G38" s="556">
        <f t="shared" si="7"/>
        <v>-724</v>
      </c>
      <c r="H38" s="73">
        <f t="shared" si="7"/>
        <v>-861.46</v>
      </c>
      <c r="I38" s="73">
        <f t="shared" si="7"/>
        <v>-882.46</v>
      </c>
      <c r="J38" s="73">
        <f t="shared" si="7"/>
        <v>-871.98</v>
      </c>
      <c r="K38" s="73">
        <f t="shared" si="7"/>
        <v>-805</v>
      </c>
      <c r="L38" s="73">
        <f t="shared" si="7"/>
        <v>-795.33</v>
      </c>
      <c r="M38" s="73">
        <f>SUM(M30:M37)</f>
        <v>-795.33</v>
      </c>
      <c r="N38" s="72"/>
      <c r="O38" s="72"/>
      <c r="P38" s="72"/>
      <c r="Q38" s="72"/>
      <c r="R38" s="72"/>
      <c r="S38" s="72"/>
    </row>
    <row r="39" spans="2:19" ht="21" customHeight="1">
      <c r="B39" s="22" t="s">
        <v>61</v>
      </c>
      <c r="C39" s="1"/>
      <c r="D39" s="1"/>
      <c r="E39" s="17"/>
      <c r="F39" s="17"/>
      <c r="G39" s="557"/>
      <c r="H39" s="17"/>
      <c r="I39" s="17"/>
      <c r="J39" s="17"/>
      <c r="K39" s="17"/>
      <c r="L39" s="17"/>
      <c r="M39" s="17"/>
    </row>
    <row r="40" spans="2:19" s="45" customFormat="1" ht="12.75" customHeight="1">
      <c r="C40" s="19" t="s">
        <v>62</v>
      </c>
      <c r="D40" s="19"/>
      <c r="E40" s="113">
        <v>0</v>
      </c>
      <c r="F40" s="113">
        <v>0</v>
      </c>
      <c r="G40" s="553">
        <v>0</v>
      </c>
      <c r="H40" s="533">
        <f ca="1">'Debt schedule'!H14</f>
        <v>-523</v>
      </c>
      <c r="I40" s="533">
        <f ca="1">'Debt schedule'!I14</f>
        <v>0</v>
      </c>
      <c r="J40" s="533">
        <f ca="1">'Debt schedule'!J14</f>
        <v>0</v>
      </c>
      <c r="K40" s="533">
        <f ca="1">'Debt schedule'!K14</f>
        <v>0</v>
      </c>
      <c r="L40" s="533">
        <f ca="1">'Debt schedule'!L14</f>
        <v>0</v>
      </c>
      <c r="M40" s="533">
        <f ca="1">'Debt schedule'!M14</f>
        <v>0</v>
      </c>
      <c r="N40" s="533"/>
      <c r="O40" s="533"/>
      <c r="P40" s="533"/>
      <c r="Q40" s="533"/>
      <c r="R40" s="533"/>
      <c r="S40" s="533"/>
    </row>
    <row r="41" spans="2:19" s="45" customFormat="1" ht="12.75" customHeight="1">
      <c r="C41" s="19" t="s">
        <v>63</v>
      </c>
      <c r="D41" s="19"/>
      <c r="E41" s="113">
        <f>5132-5342</f>
        <v>-210</v>
      </c>
      <c r="F41" s="113">
        <f>3021-3120</f>
        <v>-99</v>
      </c>
      <c r="G41" s="553">
        <f>3921-3412</f>
        <v>509</v>
      </c>
      <c r="H41" s="455">
        <f ca="1">'Debt schedule'!H21</f>
        <v>-1403.4285692801077</v>
      </c>
      <c r="I41" s="455">
        <f ca="1">'Debt schedule'!I21</f>
        <v>-281.57143071989231</v>
      </c>
      <c r="J41" s="455">
        <f ca="1">'Debt schedule'!J21</f>
        <v>0</v>
      </c>
      <c r="K41" s="455">
        <f ca="1">'Debt schedule'!K21</f>
        <v>0</v>
      </c>
      <c r="L41" s="455">
        <f ca="1">'Debt schedule'!L21</f>
        <v>0</v>
      </c>
      <c r="M41" s="455">
        <f ca="1">'Debt schedule'!M21</f>
        <v>0</v>
      </c>
      <c r="N41" s="455"/>
      <c r="O41" s="455"/>
      <c r="P41" s="455"/>
      <c r="Q41" s="455"/>
      <c r="R41" s="455"/>
      <c r="S41" s="455"/>
    </row>
    <row r="42" spans="2:19" s="45" customFormat="1" ht="12.75" customHeight="1">
      <c r="C42" s="19" t="s">
        <v>150</v>
      </c>
      <c r="D42" s="19"/>
      <c r="E42" s="113">
        <v>138</v>
      </c>
      <c r="F42" s="113">
        <v>179</v>
      </c>
      <c r="G42" s="553">
        <v>67</v>
      </c>
      <c r="H42" s="113">
        <v>0</v>
      </c>
      <c r="I42" s="113">
        <v>0</v>
      </c>
      <c r="J42" s="113">
        <v>0</v>
      </c>
      <c r="K42" s="113">
        <v>0</v>
      </c>
      <c r="L42" s="113">
        <v>0</v>
      </c>
      <c r="M42" s="113">
        <v>0</v>
      </c>
      <c r="N42" s="113"/>
      <c r="O42" s="113"/>
      <c r="P42" s="113"/>
      <c r="Q42" s="113"/>
      <c r="R42" s="113"/>
      <c r="S42" s="113"/>
    </row>
    <row r="43" spans="2:19" s="45" customFormat="1" ht="12.75" customHeight="1">
      <c r="C43" s="19" t="s">
        <v>64</v>
      </c>
      <c r="D43" s="19"/>
      <c r="E43" s="113">
        <v>0</v>
      </c>
      <c r="F43" s="113">
        <v>-1193</v>
      </c>
      <c r="G43" s="553">
        <v>-1500</v>
      </c>
      <c r="H43" s="113">
        <v>0</v>
      </c>
      <c r="I43" s="113">
        <v>0</v>
      </c>
      <c r="J43" s="113">
        <v>0</v>
      </c>
      <c r="K43" s="113">
        <v>0</v>
      </c>
      <c r="L43" s="113">
        <v>0</v>
      </c>
      <c r="M43" s="113">
        <v>0</v>
      </c>
      <c r="N43" s="113"/>
      <c r="O43" s="113"/>
      <c r="P43" s="113"/>
      <c r="Q43" s="113"/>
      <c r="R43" s="113"/>
      <c r="S43" s="113"/>
    </row>
    <row r="44" spans="2:19" s="45" customFormat="1" ht="12.75" customHeight="1">
      <c r="C44" s="19" t="s">
        <v>151</v>
      </c>
      <c r="D44" s="19"/>
      <c r="E44" s="113">
        <v>0</v>
      </c>
      <c r="F44" s="113">
        <v>0</v>
      </c>
      <c r="G44" s="553">
        <v>0</v>
      </c>
      <c r="H44" s="20">
        <v>0</v>
      </c>
      <c r="I44" s="20">
        <v>0</v>
      </c>
      <c r="J44" s="20">
        <v>0</v>
      </c>
      <c r="K44" s="20">
        <v>0</v>
      </c>
      <c r="L44" s="20">
        <v>0</v>
      </c>
      <c r="M44" s="20">
        <v>0</v>
      </c>
      <c r="N44" s="20"/>
      <c r="O44" s="20"/>
      <c r="P44" s="20"/>
      <c r="Q44" s="20"/>
      <c r="R44" s="20"/>
      <c r="S44" s="20"/>
    </row>
    <row r="45" spans="2:19" s="45" customFormat="1" ht="12.75" customHeight="1">
      <c r="C45" s="19" t="s">
        <v>152</v>
      </c>
      <c r="D45" s="19"/>
      <c r="E45" s="113">
        <v>-234</v>
      </c>
      <c r="F45" s="113">
        <v>-237</v>
      </c>
      <c r="G45" s="553">
        <v>-228</v>
      </c>
      <c r="H45" s="20">
        <f ca="1">'Income statement'!H50</f>
        <v>-141.47091151631494</v>
      </c>
      <c r="I45" s="20">
        <f ca="1">'Income statement'!I50</f>
        <v>-130.22553501000218</v>
      </c>
      <c r="J45" s="20">
        <f ca="1">'Income statement'!J50</f>
        <v>-123.45971876785165</v>
      </c>
      <c r="K45" s="20">
        <f ca="1">'Income statement'!K50</f>
        <v>-116.17743311371274</v>
      </c>
      <c r="L45" s="20">
        <f ca="1">'Income statement'!L50</f>
        <v>-115.38211665653489</v>
      </c>
      <c r="M45" s="20">
        <f ca="1">'Income statement'!M50</f>
        <v>-114.73277204601933</v>
      </c>
      <c r="N45" s="20"/>
      <c r="O45" s="20"/>
      <c r="P45" s="20"/>
      <c r="Q45" s="20"/>
      <c r="R45" s="20"/>
      <c r="S45" s="20"/>
    </row>
    <row r="46" spans="2:19" s="45" customFormat="1" ht="12.75" customHeight="1">
      <c r="C46" s="19" t="s">
        <v>153</v>
      </c>
      <c r="D46" s="19"/>
      <c r="E46" s="113">
        <v>0</v>
      </c>
      <c r="F46" s="113">
        <v>0</v>
      </c>
      <c r="G46" s="553">
        <v>-1303</v>
      </c>
      <c r="H46" s="113">
        <v>0</v>
      </c>
      <c r="I46" s="113">
        <v>0</v>
      </c>
      <c r="J46" s="113">
        <v>0</v>
      </c>
      <c r="K46" s="113">
        <v>0</v>
      </c>
      <c r="L46" s="113">
        <v>0</v>
      </c>
      <c r="M46" s="113">
        <v>0</v>
      </c>
      <c r="N46" s="113"/>
      <c r="O46" s="113"/>
      <c r="P46" s="113"/>
      <c r="Q46" s="113"/>
      <c r="R46" s="113"/>
      <c r="S46" s="113"/>
    </row>
    <row r="47" spans="2:19" s="45" customFormat="1" ht="12.75" customHeight="1">
      <c r="C47" s="19" t="s">
        <v>0</v>
      </c>
      <c r="D47" s="19"/>
      <c r="E47" s="115">
        <f>-34-15+7</f>
        <v>-42</v>
      </c>
      <c r="F47" s="115">
        <f>-21+11+3</f>
        <v>-7</v>
      </c>
      <c r="G47" s="558">
        <v>-23</v>
      </c>
      <c r="H47" s="113">
        <v>0</v>
      </c>
      <c r="I47" s="113">
        <v>0</v>
      </c>
      <c r="J47" s="113">
        <v>0</v>
      </c>
      <c r="K47" s="113">
        <v>0</v>
      </c>
      <c r="L47" s="113">
        <v>0</v>
      </c>
      <c r="M47" s="113">
        <v>0</v>
      </c>
      <c r="N47" s="113"/>
      <c r="O47" s="113"/>
      <c r="P47" s="113"/>
      <c r="Q47" s="113"/>
      <c r="R47" s="113"/>
      <c r="S47" s="113"/>
    </row>
    <row r="48" spans="2:19" s="45" customFormat="1" ht="12.75" customHeight="1">
      <c r="C48" s="100" t="s">
        <v>65</v>
      </c>
      <c r="D48" s="19"/>
      <c r="E48" s="193">
        <f t="shared" ref="E48:M48" si="8">SUM(E40:E47)</f>
        <v>-348</v>
      </c>
      <c r="F48" s="193">
        <f t="shared" si="8"/>
        <v>-1357</v>
      </c>
      <c r="G48" s="555">
        <f t="shared" si="8"/>
        <v>-2478</v>
      </c>
      <c r="H48" s="193">
        <f t="shared" ca="1" si="8"/>
        <v>-2067.8994807964227</v>
      </c>
      <c r="I48" s="193">
        <f t="shared" ca="1" si="8"/>
        <v>-411.79696572989451</v>
      </c>
      <c r="J48" s="193">
        <f t="shared" ca="1" si="8"/>
        <v>-123.45971876785165</v>
      </c>
      <c r="K48" s="193">
        <f t="shared" ca="1" si="8"/>
        <v>-116.17743311371274</v>
      </c>
      <c r="L48" s="193">
        <f t="shared" ca="1" si="8"/>
        <v>-115.38211665653489</v>
      </c>
      <c r="M48" s="193">
        <f t="shared" ca="1" si="8"/>
        <v>-114.73277204601933</v>
      </c>
    </row>
    <row r="49" spans="2:13" s="45" customFormat="1" ht="12.75" customHeight="1">
      <c r="C49" s="100" t="s">
        <v>154</v>
      </c>
      <c r="D49" s="19"/>
      <c r="E49" s="563">
        <v>10</v>
      </c>
      <c r="F49" s="563">
        <v>13</v>
      </c>
      <c r="G49" s="564">
        <v>5</v>
      </c>
      <c r="H49" s="563">
        <v>0</v>
      </c>
      <c r="I49" s="563">
        <v>0</v>
      </c>
      <c r="J49" s="563">
        <v>0</v>
      </c>
      <c r="K49" s="563">
        <v>0</v>
      </c>
      <c r="L49" s="563">
        <v>0</v>
      </c>
      <c r="M49" s="563">
        <v>0</v>
      </c>
    </row>
    <row r="50" spans="2:13" s="45" customFormat="1" ht="21" customHeight="1">
      <c r="B50" s="195" t="s">
        <v>66</v>
      </c>
      <c r="C50" s="100"/>
      <c r="D50" s="19"/>
      <c r="E50" s="73">
        <f>E28+E38+E48+E49</f>
        <v>1328</v>
      </c>
      <c r="F50" s="73">
        <f>F28+F38+F48+F49</f>
        <v>-723</v>
      </c>
      <c r="G50" s="556">
        <f>G28+G38+G48+G49</f>
        <v>96</v>
      </c>
      <c r="H50" s="73">
        <f t="shared" ref="H50:M50" ca="1" si="9">H28+H38+H48</f>
        <v>-1149</v>
      </c>
      <c r="I50" s="73">
        <f t="shared" ca="1" si="9"/>
        <v>541.13077373683154</v>
      </c>
      <c r="J50" s="73">
        <f t="shared" ca="1" si="9"/>
        <v>1042.2847014827391</v>
      </c>
      <c r="K50" s="73">
        <f t="shared" ca="1" si="9"/>
        <v>1121.2301235399866</v>
      </c>
      <c r="L50" s="73">
        <f t="shared" ca="1" si="9"/>
        <v>882.60760743017988</v>
      </c>
      <c r="M50" s="73">
        <f t="shared" ca="1" si="9"/>
        <v>1133.409929101023</v>
      </c>
    </row>
    <row r="51" spans="2:13" s="45" customFormat="1" ht="21" customHeight="1">
      <c r="B51" s="100" t="s">
        <v>67</v>
      </c>
      <c r="C51" s="19"/>
      <c r="D51" s="100"/>
      <c r="E51" s="74"/>
      <c r="F51" s="74"/>
      <c r="G51" s="556"/>
      <c r="H51" s="74"/>
      <c r="I51" s="74"/>
      <c r="J51" s="74"/>
      <c r="K51" s="74"/>
      <c r="L51" s="74"/>
      <c r="M51" s="74"/>
    </row>
    <row r="52" spans="2:13" s="45" customFormat="1" ht="12.75" customHeight="1">
      <c r="B52" s="196"/>
      <c r="C52" s="42" t="s">
        <v>68</v>
      </c>
      <c r="D52" s="42"/>
      <c r="E52" s="197"/>
      <c r="F52" s="197"/>
      <c r="G52" s="559"/>
      <c r="H52" s="197">
        <f t="shared" ref="H52:M52" ca="1" si="10">H28+H38+H42+H43+H44+H45</f>
        <v>777.42856928010781</v>
      </c>
      <c r="I52" s="197">
        <f t="shared" ca="1" si="10"/>
        <v>822.70220445672385</v>
      </c>
      <c r="J52" s="197">
        <f t="shared" ca="1" si="10"/>
        <v>1042.2847014827391</v>
      </c>
      <c r="K52" s="197">
        <f t="shared" ca="1" si="10"/>
        <v>1121.2301235399866</v>
      </c>
      <c r="L52" s="197">
        <f t="shared" ca="1" si="10"/>
        <v>882.60760743017988</v>
      </c>
      <c r="M52" s="197">
        <f t="shared" ca="1" si="10"/>
        <v>1133.409929101023</v>
      </c>
    </row>
    <row r="53" spans="2:13" ht="12.75" customHeight="1"/>
    <row r="54" spans="2:13" ht="12.75" customHeight="1"/>
    <row r="55" spans="2:13" ht="12.75" customHeight="1"/>
    <row r="56" spans="2:13" ht="12.75" customHeight="1"/>
    <row r="57" spans="2:13" ht="12.75" customHeight="1"/>
    <row r="58" spans="2:13" ht="12.75" customHeight="1"/>
    <row r="59" spans="2:13" ht="12.75" customHeight="1"/>
    <row r="60" spans="2:13" ht="12.75" customHeight="1"/>
  </sheetData>
  <phoneticPr fontId="28" type="noConversion"/>
  <pageMargins left="0.75" right="0.75" top="1" bottom="1" header="0.5" footer="0.5"/>
  <headerFooter alignWithMargins="0"/>
  <drawing r:id="rId1"/>
</worksheet>
</file>

<file path=xl/worksheets/sheet5.xml><?xml version="1.0" encoding="utf-8"?>
<worksheet xmlns="http://schemas.openxmlformats.org/spreadsheetml/2006/main" xmlns:r="http://schemas.openxmlformats.org/officeDocument/2006/relationships">
  <dimension ref="B1:N56"/>
  <sheetViews>
    <sheetView showGridLines="0" workbookViewId="0"/>
  </sheetViews>
  <sheetFormatPr defaultColWidth="9.140625" defaultRowHeight="20.100000000000001" customHeight="1"/>
  <cols>
    <col min="1" max="1" width="3.7109375" style="43" customWidth="1"/>
    <col min="2" max="3" width="2.7109375" style="2" customWidth="1"/>
    <col min="4" max="4" width="33.7109375" style="2" customWidth="1"/>
    <col min="5" max="6" width="9.7109375" style="8" customWidth="1"/>
    <col min="7" max="7" width="9.7109375" style="43" customWidth="1"/>
    <col min="8" max="8" width="9.7109375" style="2" customWidth="1"/>
    <col min="9" max="13" width="9.7109375" style="43" customWidth="1"/>
    <col min="14" max="16384" width="9.140625" style="43"/>
  </cols>
  <sheetData>
    <row r="1" spans="2:13" ht="66" customHeight="1">
      <c r="B1" s="188"/>
      <c r="C1" s="105"/>
      <c r="D1" s="105"/>
      <c r="E1" s="106"/>
      <c r="F1" s="106"/>
      <c r="G1" s="189"/>
      <c r="H1" s="105"/>
      <c r="I1" s="189"/>
      <c r="J1" s="189"/>
      <c r="K1" s="189"/>
      <c r="L1" s="189"/>
      <c r="M1" s="189"/>
    </row>
    <row r="2" spans="2:13" ht="12.75" customHeight="1">
      <c r="B2" s="37" t="s">
        <v>93</v>
      </c>
      <c r="C2" s="37"/>
      <c r="D2" s="37"/>
      <c r="E2" s="38"/>
      <c r="F2" s="38"/>
      <c r="G2" s="44"/>
      <c r="H2" s="37"/>
      <c r="I2" s="44"/>
      <c r="J2" s="44"/>
      <c r="K2" s="44"/>
      <c r="L2" s="44"/>
      <c r="M2" s="44"/>
    </row>
    <row r="3" spans="2:13" ht="12.75" customHeight="1">
      <c r="B3" s="12" t="s">
        <v>21</v>
      </c>
      <c r="C3" s="13"/>
      <c r="D3" s="13"/>
      <c r="E3" s="46" t="s">
        <v>23</v>
      </c>
      <c r="F3" s="46"/>
      <c r="G3" s="53"/>
      <c r="H3" s="54" t="s">
        <v>20</v>
      </c>
      <c r="I3" s="55"/>
      <c r="J3" s="51"/>
      <c r="K3" s="55"/>
      <c r="L3" s="55"/>
      <c r="M3" s="55"/>
    </row>
    <row r="4" spans="2:13" ht="12.75" customHeight="1">
      <c r="B4" s="12"/>
      <c r="C4" s="13"/>
      <c r="D4" s="13"/>
      <c r="E4" s="56"/>
      <c r="F4" s="56"/>
      <c r="G4" s="93"/>
      <c r="H4" s="47"/>
      <c r="I4" s="47"/>
      <c r="J4" s="47"/>
      <c r="K4" s="47"/>
      <c r="L4" s="47"/>
      <c r="M4" s="47"/>
    </row>
    <row r="5" spans="2:13" ht="12.75" customHeight="1">
      <c r="B5" s="48" t="s">
        <v>309</v>
      </c>
      <c r="C5" s="49"/>
      <c r="D5" s="49"/>
      <c r="E5" s="191">
        <v>2010</v>
      </c>
      <c r="F5" s="191">
        <f t="shared" ref="F5:M5" si="0">E5+1</f>
        <v>2011</v>
      </c>
      <c r="G5" s="185">
        <f t="shared" si="0"/>
        <v>2012</v>
      </c>
      <c r="H5" s="50">
        <f t="shared" si="0"/>
        <v>2013</v>
      </c>
      <c r="I5" s="50">
        <f t="shared" si="0"/>
        <v>2014</v>
      </c>
      <c r="J5" s="50">
        <f t="shared" si="0"/>
        <v>2015</v>
      </c>
      <c r="K5" s="50">
        <f t="shared" si="0"/>
        <v>2016</v>
      </c>
      <c r="L5" s="50">
        <f t="shared" si="0"/>
        <v>2017</v>
      </c>
      <c r="M5" s="50">
        <f t="shared" si="0"/>
        <v>2018</v>
      </c>
    </row>
    <row r="6" spans="2:13" s="2" customFormat="1" ht="21" customHeight="1">
      <c r="B6" s="22" t="s">
        <v>94</v>
      </c>
      <c r="C6" s="22"/>
      <c r="D6" s="22"/>
      <c r="E6" s="122"/>
      <c r="F6" s="122"/>
      <c r="G6" s="465"/>
      <c r="H6" s="122"/>
      <c r="I6" s="122"/>
      <c r="J6" s="122"/>
      <c r="K6" s="122"/>
      <c r="L6" s="122"/>
      <c r="M6" s="122"/>
    </row>
    <row r="7" spans="2:13" s="2" customFormat="1" ht="12.75" customHeight="1">
      <c r="B7" s="22"/>
      <c r="C7" s="2" t="s">
        <v>176</v>
      </c>
      <c r="E7" s="126"/>
      <c r="F7" s="458">
        <f>'Balance Sheet'!F9</f>
        <v>2348</v>
      </c>
      <c r="G7" s="466">
        <f>'Balance Sheet'!G9</f>
        <v>2288</v>
      </c>
      <c r="H7" s="102">
        <f>H8/360*'Income statement'!H6</f>
        <v>2243.8239999999992</v>
      </c>
      <c r="I7" s="102">
        <f>I8/360*'Income statement'!I6</f>
        <v>2198.9475199999993</v>
      </c>
      <c r="J7" s="102">
        <f>J8/360*'Income statement'!J6</f>
        <v>2154.9685695999992</v>
      </c>
      <c r="K7" s="102">
        <f>K8/360*'Income statement'!K6</f>
        <v>2111.869198207999</v>
      </c>
      <c r="L7" s="102">
        <f>L8/360*'Income statement'!L6</f>
        <v>2132.9878901900788</v>
      </c>
      <c r="M7" s="102">
        <f>M8/360*'Income statement'!M6</f>
        <v>2154.3177690919797</v>
      </c>
    </row>
    <row r="8" spans="2:13" s="2" customFormat="1" ht="12.75" customHeight="1">
      <c r="B8" s="22"/>
      <c r="D8" s="80" t="s">
        <v>177</v>
      </c>
      <c r="E8" s="81"/>
      <c r="F8" s="216">
        <f>F7/'Income statement'!F6*360</f>
        <v>16.991577381550645</v>
      </c>
      <c r="G8" s="467">
        <f>AVERAGE(F7:G7)/'Income statement'!G6*360</f>
        <v>16.457548565230251</v>
      </c>
      <c r="H8" s="456">
        <f t="shared" ref="H8:M8" si="1">G8</f>
        <v>16.457548565230251</v>
      </c>
      <c r="I8" s="456">
        <f t="shared" si="1"/>
        <v>16.457548565230251</v>
      </c>
      <c r="J8" s="456">
        <f t="shared" si="1"/>
        <v>16.457548565230251</v>
      </c>
      <c r="K8" s="456">
        <f t="shared" si="1"/>
        <v>16.457548565230251</v>
      </c>
      <c r="L8" s="456">
        <f t="shared" si="1"/>
        <v>16.457548565230251</v>
      </c>
      <c r="M8" s="456">
        <f t="shared" si="1"/>
        <v>16.457548565230251</v>
      </c>
    </row>
    <row r="9" spans="2:13" s="2" customFormat="1" ht="12.75" customHeight="1">
      <c r="B9" s="22"/>
      <c r="C9" s="2" t="s">
        <v>178</v>
      </c>
      <c r="E9" s="127"/>
      <c r="F9" s="457">
        <f>'Balance Sheet'!F11</f>
        <v>5897</v>
      </c>
      <c r="G9" s="468">
        <f>'Balance Sheet'!G11</f>
        <v>5731</v>
      </c>
      <c r="H9" s="102">
        <f>H10/360*'Income statement'!H8</f>
        <v>5648.8957723565845</v>
      </c>
      <c r="I9" s="102">
        <f>I10/360*'Income statement'!I8</f>
        <v>5543.449717939262</v>
      </c>
      <c r="J9" s="102">
        <f>J10/360*'Income statement'!J8</f>
        <v>5432.5807235804759</v>
      </c>
      <c r="K9" s="102">
        <f>K10/360*'Income statement'!K8</f>
        <v>5323.9291091088662</v>
      </c>
      <c r="L9" s="102">
        <f>L10/360*'Income statement'!L8</f>
        <v>5377.1684001999538</v>
      </c>
      <c r="M9" s="102">
        <f>M10/360*'Income statement'!M8</f>
        <v>5430.9400842019531</v>
      </c>
    </row>
    <row r="10" spans="2:13" s="2" customFormat="1" ht="12.75" customHeight="1">
      <c r="B10" s="22"/>
      <c r="D10" s="80" t="s">
        <v>95</v>
      </c>
      <c r="E10" s="81"/>
      <c r="F10" s="216">
        <f>F9/'Income statement'!F8*360</f>
        <v>58.660403426360865</v>
      </c>
      <c r="G10" s="467">
        <f>AVERAGE(G9,F9)/'Income statement'!G8*360</f>
        <v>56.370589819552926</v>
      </c>
      <c r="H10" s="456">
        <f t="shared" ref="H10:M10" si="2">G10</f>
        <v>56.370589819552926</v>
      </c>
      <c r="I10" s="456">
        <f t="shared" si="2"/>
        <v>56.370589819552926</v>
      </c>
      <c r="J10" s="456">
        <f t="shared" si="2"/>
        <v>56.370589819552926</v>
      </c>
      <c r="K10" s="456">
        <f t="shared" si="2"/>
        <v>56.370589819552926</v>
      </c>
      <c r="L10" s="456">
        <f t="shared" si="2"/>
        <v>56.370589819552926</v>
      </c>
      <c r="M10" s="456">
        <f t="shared" si="2"/>
        <v>56.370589819552926</v>
      </c>
    </row>
    <row r="11" spans="2:13" s="2" customFormat="1" ht="12.75" customHeight="1">
      <c r="B11" s="22"/>
      <c r="C11" s="31" t="s">
        <v>71</v>
      </c>
      <c r="D11" s="32"/>
      <c r="E11" s="119"/>
      <c r="F11" s="459">
        <f>'Balance Sheet'!F12</f>
        <v>1103</v>
      </c>
      <c r="G11" s="469">
        <f>'Balance Sheet'!G12</f>
        <v>1079</v>
      </c>
      <c r="H11" s="217">
        <f>H12*'Income statement'!H6</f>
        <v>1044.472</v>
      </c>
      <c r="I11" s="217">
        <f>I12*'Income statement'!I6</f>
        <v>1023.5825599999998</v>
      </c>
      <c r="J11" s="217">
        <f>J12*'Income statement'!J6</f>
        <v>1003.1109087999998</v>
      </c>
      <c r="K11" s="217">
        <f>K12*'Income statement'!K6</f>
        <v>983.04869062399973</v>
      </c>
      <c r="L11" s="217">
        <f>L12*'Income statement'!L6</f>
        <v>992.87917753023964</v>
      </c>
      <c r="M11" s="217">
        <f>M12*'Income statement'!M6</f>
        <v>1002.8079693055421</v>
      </c>
    </row>
    <row r="12" spans="2:13" s="2" customFormat="1" ht="12.75" customHeight="1">
      <c r="B12" s="22"/>
      <c r="C12" s="31"/>
      <c r="D12" s="80" t="s">
        <v>295</v>
      </c>
      <c r="E12" s="218"/>
      <c r="F12" s="460">
        <f>F11/'Income statement'!F6</f>
        <v>2.2172191287916858E-2</v>
      </c>
      <c r="G12" s="470">
        <f>G11/'Income statement'!G6</f>
        <v>2.1279952667389804E-2</v>
      </c>
      <c r="H12" s="461">
        <f t="shared" ref="H12:M12" si="3">G12</f>
        <v>2.1279952667389804E-2</v>
      </c>
      <c r="I12" s="461">
        <f t="shared" si="3"/>
        <v>2.1279952667389804E-2</v>
      </c>
      <c r="J12" s="461">
        <f t="shared" si="3"/>
        <v>2.1279952667389804E-2</v>
      </c>
      <c r="K12" s="461">
        <f t="shared" si="3"/>
        <v>2.1279952667389804E-2</v>
      </c>
      <c r="L12" s="461">
        <f t="shared" si="3"/>
        <v>2.1279952667389804E-2</v>
      </c>
      <c r="M12" s="461">
        <f t="shared" si="3"/>
        <v>2.1279952667389804E-2</v>
      </c>
    </row>
    <row r="13" spans="2:13" s="2" customFormat="1" ht="12.75" customHeight="1">
      <c r="B13" s="22"/>
      <c r="C13" s="82" t="s">
        <v>72</v>
      </c>
      <c r="D13" s="32"/>
      <c r="E13" s="219"/>
      <c r="F13" s="219">
        <f t="shared" ref="F13:L13" si="4">F11+F9+F7</f>
        <v>9348</v>
      </c>
      <c r="G13" s="471">
        <f t="shared" si="4"/>
        <v>9098</v>
      </c>
      <c r="H13" s="219">
        <f t="shared" si="4"/>
        <v>8937.1917723565839</v>
      </c>
      <c r="I13" s="219">
        <f t="shared" si="4"/>
        <v>8765.9797979392606</v>
      </c>
      <c r="J13" s="219">
        <f t="shared" si="4"/>
        <v>8590.6602019804759</v>
      </c>
      <c r="K13" s="219">
        <f t="shared" si="4"/>
        <v>8418.8469979408655</v>
      </c>
      <c r="L13" s="219">
        <f t="shared" si="4"/>
        <v>8503.0354679202719</v>
      </c>
      <c r="M13" s="219">
        <f>M11+M9+M7</f>
        <v>8588.0658225994757</v>
      </c>
    </row>
    <row r="14" spans="2:13" s="2" customFormat="1" ht="21" customHeight="1">
      <c r="B14" s="22" t="s">
        <v>96</v>
      </c>
      <c r="C14" s="28"/>
      <c r="D14" s="28"/>
      <c r="E14" s="220"/>
      <c r="F14" s="221"/>
      <c r="G14" s="472"/>
      <c r="H14" s="221"/>
      <c r="I14" s="221"/>
      <c r="J14" s="221"/>
      <c r="K14" s="221"/>
      <c r="L14" s="221"/>
      <c r="M14" s="221"/>
    </row>
    <row r="15" spans="2:13" s="19" customFormat="1" ht="12.75" customHeight="1">
      <c r="B15" s="57"/>
      <c r="C15" s="222" t="s">
        <v>78</v>
      </c>
      <c r="D15" s="223"/>
      <c r="E15" s="165"/>
      <c r="F15" s="462">
        <f>'Balance Sheet'!F24</f>
        <v>4894</v>
      </c>
      <c r="G15" s="473">
        <f>'Balance Sheet'!G24</f>
        <v>5364</v>
      </c>
      <c r="H15" s="217">
        <f>H16/360*'Income statement'!H8</f>
        <v>4983.3481968381357</v>
      </c>
      <c r="I15" s="217">
        <f>I16/360*'Income statement'!I8</f>
        <v>4890.3256971638239</v>
      </c>
      <c r="J15" s="217">
        <f>J16/360*'Income statement'!J8</f>
        <v>4792.5191832205473</v>
      </c>
      <c r="K15" s="217">
        <f>K16/360*'Income statement'!K8</f>
        <v>4696.668799556136</v>
      </c>
      <c r="L15" s="217">
        <f>L16/360*'Income statement'!L8</f>
        <v>4743.6354875516963</v>
      </c>
      <c r="M15" s="217">
        <f>M16/360*'Income statement'!M8</f>
        <v>4791.0718424272127</v>
      </c>
    </row>
    <row r="16" spans="2:13" s="19" customFormat="1" ht="12.75" customHeight="1">
      <c r="B16" s="57"/>
      <c r="C16" s="222"/>
      <c r="D16" s="224" t="s">
        <v>179</v>
      </c>
      <c r="E16" s="165"/>
      <c r="F16" s="225">
        <f>F15/'Income statement'!F8*360</f>
        <v>48.683061619231836</v>
      </c>
      <c r="G16" s="467">
        <f>AVERAGE(F15:G15)/'Income statement'!G8*360</f>
        <v>49.729060059251275</v>
      </c>
      <c r="H16" s="456">
        <f t="shared" ref="H16:M16" si="5">G16</f>
        <v>49.729060059251275</v>
      </c>
      <c r="I16" s="456">
        <f t="shared" si="5"/>
        <v>49.729060059251275</v>
      </c>
      <c r="J16" s="456">
        <f t="shared" si="5"/>
        <v>49.729060059251275</v>
      </c>
      <c r="K16" s="456">
        <f t="shared" si="5"/>
        <v>49.729060059251275</v>
      </c>
      <c r="L16" s="456">
        <f t="shared" si="5"/>
        <v>49.729060059251275</v>
      </c>
      <c r="M16" s="456">
        <f t="shared" si="5"/>
        <v>49.729060059251275</v>
      </c>
    </row>
    <row r="17" spans="2:14" s="2" customFormat="1" ht="12.75" customHeight="1">
      <c r="B17" s="22"/>
      <c r="C17" s="31" t="s">
        <v>180</v>
      </c>
      <c r="D17" s="32"/>
      <c r="E17" s="165"/>
      <c r="F17" s="462">
        <f>'Balance Sheet'!F25</f>
        <v>474</v>
      </c>
      <c r="G17" s="473">
        <f>'Balance Sheet'!G25</f>
        <v>456</v>
      </c>
      <c r="H17" s="217">
        <f>H18/360*'Income statement'!H6</f>
        <v>450.11999999999995</v>
      </c>
      <c r="I17" s="217">
        <f>I18/360*'Income statement'!I6</f>
        <v>441.11759999999992</v>
      </c>
      <c r="J17" s="217">
        <f>J18/360*'Income statement'!J6</f>
        <v>432.2952479999999</v>
      </c>
      <c r="K17" s="217">
        <f>K18/360*'Income statement'!K6</f>
        <v>423.64934303999985</v>
      </c>
      <c r="L17" s="217">
        <f>L18/360*'Income statement'!L6</f>
        <v>427.88583647039985</v>
      </c>
      <c r="M17" s="217">
        <f>M18/360*'Income statement'!M6</f>
        <v>432.16469483510383</v>
      </c>
    </row>
    <row r="18" spans="2:14" s="2" customFormat="1" ht="12.75" customHeight="1">
      <c r="B18" s="22"/>
      <c r="C18" s="31"/>
      <c r="D18" s="224" t="s">
        <v>181</v>
      </c>
      <c r="E18" s="165"/>
      <c r="F18" s="463">
        <f>F17/'Income statement'!F6*360</f>
        <v>3.4301565923573283</v>
      </c>
      <c r="G18" s="467">
        <f>AVERAGE(F17:G17)/'Income statement'!G6*360</f>
        <v>3.3014495611872596</v>
      </c>
      <c r="H18" s="456">
        <f t="shared" ref="H18:M18" si="6">G18</f>
        <v>3.3014495611872596</v>
      </c>
      <c r="I18" s="456">
        <f t="shared" si="6"/>
        <v>3.3014495611872596</v>
      </c>
      <c r="J18" s="456">
        <f t="shared" si="6"/>
        <v>3.3014495611872596</v>
      </c>
      <c r="K18" s="456">
        <f t="shared" si="6"/>
        <v>3.3014495611872596</v>
      </c>
      <c r="L18" s="456">
        <f t="shared" si="6"/>
        <v>3.3014495611872596</v>
      </c>
      <c r="M18" s="456">
        <f t="shared" si="6"/>
        <v>3.3014495611872596</v>
      </c>
    </row>
    <row r="19" spans="2:14" s="2" customFormat="1" ht="12.75" customHeight="1">
      <c r="B19" s="22"/>
      <c r="C19" s="31" t="s">
        <v>162</v>
      </c>
      <c r="D19" s="32"/>
      <c r="E19" s="165"/>
      <c r="F19" s="462">
        <f>'Balance Sheet'!F26</f>
        <v>570</v>
      </c>
      <c r="G19" s="473">
        <f>'Balance Sheet'!G26</f>
        <v>539</v>
      </c>
      <c r="H19" s="217">
        <f>H20/360*'Income statement'!H13</f>
        <v>559.89721468758967</v>
      </c>
      <c r="I19" s="217">
        <f>I20/360*'Income statement'!I13</f>
        <v>551.25136002357658</v>
      </c>
      <c r="J19" s="217">
        <f>J20/360*'Income statement'!J13</f>
        <v>540.22633282310505</v>
      </c>
      <c r="K19" s="217">
        <f>K20/360*'Income statement'!K13</f>
        <v>529.42180616664291</v>
      </c>
      <c r="L19" s="217">
        <f>L20/360*'Income statement'!L13</f>
        <v>534.71602422830927</v>
      </c>
      <c r="M19" s="217">
        <f>M20/360*'Income statement'!M13</f>
        <v>540.06318447059232</v>
      </c>
    </row>
    <row r="20" spans="2:14" s="2" customFormat="1" ht="12.75" customHeight="1">
      <c r="B20" s="22"/>
      <c r="C20" s="31"/>
      <c r="D20" s="224" t="s">
        <v>182</v>
      </c>
      <c r="E20" s="165"/>
      <c r="F20" s="463">
        <f>F19/'Income statement'!F13*360</f>
        <v>19.874092009685231</v>
      </c>
      <c r="G20" s="467">
        <f>AVERAGE(F19:G19)/'Income statement'!G13*360</f>
        <v>19.100564539278537</v>
      </c>
      <c r="H20" s="456">
        <f t="shared" ref="H20:M20" si="7">G20</f>
        <v>19.100564539278537</v>
      </c>
      <c r="I20" s="456">
        <f t="shared" si="7"/>
        <v>19.100564539278537</v>
      </c>
      <c r="J20" s="456">
        <f t="shared" si="7"/>
        <v>19.100564539278537</v>
      </c>
      <c r="K20" s="456">
        <f t="shared" si="7"/>
        <v>19.100564539278537</v>
      </c>
      <c r="L20" s="456">
        <f t="shared" si="7"/>
        <v>19.100564539278537</v>
      </c>
      <c r="M20" s="456">
        <f t="shared" si="7"/>
        <v>19.100564539278537</v>
      </c>
    </row>
    <row r="21" spans="2:14" s="2" customFormat="1" ht="12.75" customHeight="1">
      <c r="B21" s="22"/>
      <c r="C21" s="31" t="s">
        <v>163</v>
      </c>
      <c r="D21" s="32"/>
      <c r="E21" s="119"/>
      <c r="F21" s="462">
        <f>'Balance Sheet'!F27</f>
        <v>1471</v>
      </c>
      <c r="G21" s="473">
        <f>'Balance Sheet'!G27</f>
        <v>1685</v>
      </c>
      <c r="H21" s="217">
        <f>H22/360*'Income statement'!H13</f>
        <v>1593.3594315185151</v>
      </c>
      <c r="I21" s="217">
        <f>I22/360*'Income statement'!I13</f>
        <v>1568.7549975062291</v>
      </c>
      <c r="J21" s="217">
        <f>J22/360*'Income statement'!J13</f>
        <v>1537.3798975561042</v>
      </c>
      <c r="K21" s="217">
        <f>K22/360*'Income statement'!K13</f>
        <v>1506.6322996049821</v>
      </c>
      <c r="L21" s="217">
        <f>L22/360*'Income statement'!L13</f>
        <v>1521.6986226010317</v>
      </c>
      <c r="M21" s="217">
        <f>M22/360*'Income statement'!M13</f>
        <v>1536.915608827042</v>
      </c>
    </row>
    <row r="22" spans="2:14" s="2" customFormat="1" ht="12.75" customHeight="1">
      <c r="B22" s="22"/>
      <c r="C22" s="31"/>
      <c r="D22" s="224" t="s">
        <v>183</v>
      </c>
      <c r="E22" s="119"/>
      <c r="F22" s="463">
        <f>F21/'Income statement'!F13*360</f>
        <v>51.289104116222759</v>
      </c>
      <c r="G22" s="474">
        <f>AVERAGE(F21:G21)/'Income statement'!G13*360</f>
        <v>54.356520907090236</v>
      </c>
      <c r="H22" s="456">
        <f t="shared" ref="H22:M22" si="8">G22</f>
        <v>54.356520907090236</v>
      </c>
      <c r="I22" s="456">
        <f t="shared" si="8"/>
        <v>54.356520907090236</v>
      </c>
      <c r="J22" s="456">
        <f t="shared" si="8"/>
        <v>54.356520907090236</v>
      </c>
      <c r="K22" s="456">
        <f t="shared" si="8"/>
        <v>54.356520907090236</v>
      </c>
      <c r="L22" s="456">
        <f t="shared" si="8"/>
        <v>54.356520907090236</v>
      </c>
      <c r="M22" s="456">
        <f t="shared" si="8"/>
        <v>54.356520907090236</v>
      </c>
    </row>
    <row r="23" spans="2:14" s="2" customFormat="1" ht="12.75" customHeight="1">
      <c r="C23" s="82" t="s">
        <v>80</v>
      </c>
      <c r="D23" s="31"/>
      <c r="E23" s="226"/>
      <c r="F23" s="226">
        <f t="shared" ref="F23:L23" si="9">F21+F19+F17+F15</f>
        <v>7409</v>
      </c>
      <c r="G23" s="475">
        <f t="shared" si="9"/>
        <v>8044</v>
      </c>
      <c r="H23" s="226">
        <f t="shared" si="9"/>
        <v>7586.7248430442405</v>
      </c>
      <c r="I23" s="226">
        <f t="shared" si="9"/>
        <v>7451.4496546936298</v>
      </c>
      <c r="J23" s="226">
        <f t="shared" si="9"/>
        <v>7302.4206615997564</v>
      </c>
      <c r="K23" s="226">
        <f t="shared" si="9"/>
        <v>7156.3722483677611</v>
      </c>
      <c r="L23" s="226">
        <f t="shared" si="9"/>
        <v>7227.9359708514367</v>
      </c>
      <c r="M23" s="226">
        <f>M21+M19+M17+M15</f>
        <v>7300.2153305599513</v>
      </c>
    </row>
    <row r="24" spans="2:14" s="2" customFormat="1" ht="21" customHeight="1">
      <c r="C24" s="1" t="s">
        <v>97</v>
      </c>
      <c r="D24" s="21"/>
      <c r="E24" s="26"/>
      <c r="F24" s="26">
        <f t="shared" ref="F24:L24" si="10">F13-F23</f>
        <v>1939</v>
      </c>
      <c r="G24" s="451">
        <f t="shared" si="10"/>
        <v>1054</v>
      </c>
      <c r="H24" s="26">
        <f t="shared" si="10"/>
        <v>1350.4669293123434</v>
      </c>
      <c r="I24" s="26">
        <f t="shared" si="10"/>
        <v>1314.5301432456308</v>
      </c>
      <c r="J24" s="26">
        <f t="shared" si="10"/>
        <v>1288.2395403807195</v>
      </c>
      <c r="K24" s="26">
        <f t="shared" si="10"/>
        <v>1262.4747495731044</v>
      </c>
      <c r="L24" s="26">
        <f t="shared" si="10"/>
        <v>1275.0994970688353</v>
      </c>
      <c r="M24" s="26">
        <f>M13-M23</f>
        <v>1287.8504920395244</v>
      </c>
    </row>
    <row r="25" spans="2:14" s="33" customFormat="1" ht="12.75" customHeight="1">
      <c r="C25" s="33" t="s">
        <v>98</v>
      </c>
      <c r="D25" s="40"/>
      <c r="E25" s="83"/>
      <c r="F25" s="217"/>
      <c r="G25" s="476">
        <f t="shared" ref="G25:M25" si="11">F24-G24</f>
        <v>885</v>
      </c>
      <c r="H25" s="464">
        <f t="shared" si="11"/>
        <v>-296.46692931234338</v>
      </c>
      <c r="I25" s="464">
        <f t="shared" si="11"/>
        <v>35.936786066712557</v>
      </c>
      <c r="J25" s="464">
        <f t="shared" si="11"/>
        <v>26.290602864911307</v>
      </c>
      <c r="K25" s="464">
        <f t="shared" si="11"/>
        <v>25.7647908076151</v>
      </c>
      <c r="L25" s="464">
        <f t="shared" si="11"/>
        <v>-12.624747495730844</v>
      </c>
      <c r="M25" s="464">
        <f t="shared" si="11"/>
        <v>-12.750994970689135</v>
      </c>
      <c r="N25" s="531"/>
    </row>
    <row r="26" spans="2:14" ht="12.75" customHeight="1">
      <c r="B26" s="198"/>
      <c r="C26" s="205" t="s">
        <v>14</v>
      </c>
      <c r="D26" s="198"/>
      <c r="E26" s="227"/>
      <c r="F26" s="206"/>
      <c r="G26" s="477"/>
      <c r="H26" s="206" t="str">
        <f>IF(ROUND(H25-'Cash flow statement'!H27,1)=0,"Y","N")</f>
        <v>Y</v>
      </c>
      <c r="I26" s="206" t="str">
        <f>IF(ROUND(I25-'Cash flow statement'!I27,1)=0,"Y","N")</f>
        <v>Y</v>
      </c>
      <c r="J26" s="206" t="str">
        <f>IF(ROUND(J25-'Cash flow statement'!J27,1)=0,"Y","N")</f>
        <v>Y</v>
      </c>
      <c r="K26" s="206" t="str">
        <f>IF(ROUND(K25-'Cash flow statement'!K27,1)=0,"Y","N")</f>
        <v>Y</v>
      </c>
      <c r="L26" s="206" t="str">
        <f>IF(ROUND(L25-'Cash flow statement'!L27,1)=0,"Y","N")</f>
        <v>Y</v>
      </c>
      <c r="M26" s="206" t="str">
        <f>IF(ROUND(M25-'Cash flow statement'!M27,1)=0,"Y","N")</f>
        <v>Y</v>
      </c>
    </row>
    <row r="27" spans="2:14" s="2" customFormat="1" ht="12">
      <c r="B27" s="1"/>
      <c r="C27" s="21"/>
      <c r="D27" s="21"/>
      <c r="E27" s="25"/>
      <c r="F27" s="25"/>
      <c r="G27" s="25"/>
      <c r="H27" s="25"/>
      <c r="I27" s="25"/>
      <c r="J27" s="25"/>
      <c r="K27" s="25"/>
      <c r="L27" s="25"/>
      <c r="M27" s="25"/>
    </row>
    <row r="28" spans="2:14" s="2" customFormat="1" ht="12">
      <c r="B28" s="1"/>
      <c r="C28" s="21"/>
      <c r="D28" s="21"/>
      <c r="E28" s="124"/>
      <c r="F28" s="25"/>
      <c r="G28" s="25"/>
      <c r="H28" s="25"/>
      <c r="I28" s="25"/>
      <c r="J28" s="25"/>
      <c r="K28" s="25"/>
      <c r="L28" s="25"/>
      <c r="M28" s="25"/>
    </row>
    <row r="29" spans="2:14" s="2" customFormat="1" ht="12">
      <c r="B29" s="1"/>
      <c r="C29" s="21"/>
      <c r="D29" s="21"/>
      <c r="E29" s="25"/>
      <c r="F29" s="25"/>
      <c r="G29" s="25"/>
      <c r="H29" s="25"/>
      <c r="I29" s="25"/>
      <c r="J29" s="25"/>
      <c r="K29" s="25"/>
      <c r="L29" s="25"/>
      <c r="M29" s="25"/>
    </row>
    <row r="30" spans="2:14" s="2" customFormat="1" ht="12">
      <c r="B30" s="1"/>
      <c r="C30" s="21"/>
      <c r="D30" s="21"/>
      <c r="E30" s="228"/>
      <c r="F30" s="228"/>
      <c r="G30" s="228"/>
      <c r="H30" s="228"/>
      <c r="I30" s="228"/>
      <c r="J30" s="228"/>
      <c r="K30" s="228"/>
      <c r="L30" s="228"/>
      <c r="M30" s="228"/>
    </row>
    <row r="31" spans="2:14" s="2" customFormat="1" ht="12">
      <c r="B31" s="1"/>
      <c r="C31" s="1"/>
      <c r="D31" s="1"/>
      <c r="E31" s="16"/>
      <c r="F31" s="16"/>
      <c r="G31" s="16"/>
      <c r="H31" s="16"/>
      <c r="I31" s="16"/>
      <c r="J31" s="16"/>
      <c r="K31" s="16"/>
      <c r="L31" s="16"/>
      <c r="M31" s="16"/>
    </row>
    <row r="32" spans="2:14" s="2" customFormat="1" ht="21" customHeight="1">
      <c r="C32" s="22"/>
      <c r="D32" s="22"/>
      <c r="E32" s="23"/>
      <c r="F32" s="23"/>
      <c r="G32" s="23"/>
      <c r="H32" s="24"/>
      <c r="I32" s="24"/>
      <c r="J32" s="24"/>
      <c r="K32" s="24"/>
      <c r="L32" s="24"/>
      <c r="M32" s="24"/>
    </row>
    <row r="33" spans="2:13" s="2" customFormat="1" ht="12">
      <c r="B33" s="1"/>
      <c r="C33" s="22"/>
      <c r="D33" s="22"/>
      <c r="E33" s="125"/>
      <c r="F33" s="125"/>
      <c r="G33" s="125"/>
      <c r="H33" s="125"/>
      <c r="I33" s="125"/>
      <c r="J33" s="125"/>
      <c r="K33" s="125"/>
      <c r="L33" s="125"/>
      <c r="M33" s="125"/>
    </row>
    <row r="34" spans="2:13" s="2" customFormat="1" ht="12">
      <c r="B34" s="1"/>
      <c r="C34" s="28"/>
      <c r="D34" s="28"/>
      <c r="E34" s="30"/>
      <c r="F34" s="30"/>
      <c r="G34" s="30"/>
      <c r="H34" s="30"/>
      <c r="I34" s="30"/>
      <c r="J34" s="30"/>
      <c r="K34" s="30"/>
      <c r="L34" s="30"/>
      <c r="M34" s="30"/>
    </row>
    <row r="35" spans="2:13" s="2" customFormat="1" ht="12">
      <c r="C35" s="21"/>
      <c r="D35" s="21"/>
      <c r="E35" s="229"/>
      <c r="F35" s="229"/>
      <c r="G35" s="229"/>
      <c r="H35" s="229"/>
      <c r="I35" s="229"/>
      <c r="J35" s="229"/>
      <c r="K35" s="229"/>
      <c r="L35" s="229"/>
      <c r="M35" s="229"/>
    </row>
    <row r="36" spans="2:13" s="2" customFormat="1" ht="12">
      <c r="B36" s="1"/>
      <c r="C36" s="21"/>
      <c r="D36" s="21"/>
      <c r="E36" s="124"/>
      <c r="F36" s="25"/>
      <c r="G36" s="25"/>
      <c r="H36" s="25"/>
      <c r="I36" s="25"/>
      <c r="J36" s="25"/>
      <c r="K36" s="25"/>
      <c r="L36" s="25"/>
      <c r="M36" s="25"/>
    </row>
    <row r="37" spans="2:13" s="2" customFormat="1" ht="12">
      <c r="B37" s="1"/>
      <c r="C37" s="21"/>
      <c r="D37" s="21"/>
      <c r="E37" s="124"/>
      <c r="F37" s="25"/>
      <c r="G37" s="25"/>
      <c r="H37" s="25"/>
      <c r="I37" s="25"/>
      <c r="J37" s="25"/>
      <c r="K37" s="25"/>
      <c r="L37" s="25"/>
      <c r="M37" s="25"/>
    </row>
    <row r="38" spans="2:13" s="2" customFormat="1" ht="12">
      <c r="C38" s="21"/>
      <c r="D38" s="21"/>
      <c r="E38" s="124"/>
      <c r="F38" s="25"/>
      <c r="G38" s="25"/>
      <c r="H38" s="25"/>
      <c r="I38" s="25"/>
      <c r="J38" s="25"/>
      <c r="K38" s="25"/>
      <c r="L38" s="25"/>
      <c r="M38" s="25"/>
    </row>
    <row r="39" spans="2:13" s="2" customFormat="1" ht="12">
      <c r="C39" s="21"/>
      <c r="D39" s="21"/>
      <c r="E39" s="124"/>
      <c r="F39" s="25"/>
      <c r="G39" s="25"/>
      <c r="H39" s="25"/>
      <c r="I39" s="25"/>
      <c r="J39" s="25"/>
      <c r="K39" s="25"/>
      <c r="L39" s="25"/>
      <c r="M39" s="25"/>
    </row>
    <row r="40" spans="2:13" s="2" customFormat="1" ht="12">
      <c r="C40" s="21"/>
      <c r="D40" s="21"/>
      <c r="E40" s="26"/>
      <c r="F40" s="26"/>
      <c r="G40" s="26"/>
      <c r="H40" s="26"/>
      <c r="I40" s="26"/>
      <c r="J40" s="25"/>
      <c r="K40" s="25"/>
      <c r="L40" s="25"/>
      <c r="M40" s="25"/>
    </row>
    <row r="41" spans="2:13" s="2" customFormat="1" ht="12">
      <c r="B41" s="1"/>
      <c r="C41" s="21"/>
      <c r="D41" s="21"/>
      <c r="E41" s="25"/>
      <c r="F41" s="25"/>
      <c r="G41" s="25"/>
      <c r="H41" s="25"/>
      <c r="I41" s="25"/>
      <c r="J41" s="25"/>
      <c r="K41" s="25"/>
      <c r="L41" s="25"/>
      <c r="M41" s="25"/>
    </row>
    <row r="42" spans="2:13" s="2" customFormat="1" ht="12">
      <c r="C42" s="21"/>
      <c r="D42" s="21"/>
      <c r="E42" s="124"/>
      <c r="F42" s="25"/>
      <c r="G42" s="25"/>
      <c r="H42" s="25"/>
      <c r="I42" s="25"/>
      <c r="J42" s="25"/>
      <c r="K42" s="25"/>
      <c r="L42" s="25"/>
      <c r="M42" s="25"/>
    </row>
    <row r="43" spans="2:13" s="2" customFormat="1" ht="12">
      <c r="C43" s="21"/>
      <c r="D43" s="21"/>
      <c r="E43" s="25"/>
      <c r="F43" s="25"/>
      <c r="G43" s="25"/>
      <c r="H43" s="25"/>
      <c r="I43" s="25"/>
      <c r="J43" s="25"/>
      <c r="K43" s="25"/>
      <c r="L43" s="25"/>
      <c r="M43" s="25"/>
    </row>
    <row r="44" spans="2:13" s="2" customFormat="1" ht="12">
      <c r="C44" s="21"/>
      <c r="D44" s="21"/>
      <c r="E44" s="228"/>
      <c r="F44" s="228"/>
      <c r="G44" s="228"/>
      <c r="H44" s="228"/>
      <c r="I44" s="228"/>
      <c r="J44" s="228"/>
      <c r="K44" s="228"/>
      <c r="L44" s="228"/>
      <c r="M44" s="228"/>
    </row>
    <row r="45" spans="2:13" s="2" customFormat="1" ht="12">
      <c r="B45" s="1"/>
      <c r="C45" s="1"/>
      <c r="D45" s="1"/>
      <c r="E45" s="16"/>
      <c r="F45" s="16"/>
      <c r="G45" s="16"/>
      <c r="H45" s="16"/>
      <c r="I45" s="16"/>
      <c r="J45" s="16"/>
      <c r="K45" s="16"/>
      <c r="L45" s="16"/>
      <c r="M45" s="16"/>
    </row>
    <row r="46" spans="2:13" s="2" customFormat="1" ht="21" customHeight="1">
      <c r="B46" s="1"/>
      <c r="E46" s="27"/>
      <c r="F46" s="27"/>
      <c r="G46" s="27"/>
      <c r="H46" s="27"/>
      <c r="I46" s="27"/>
      <c r="J46" s="27"/>
      <c r="K46" s="27"/>
      <c r="L46" s="27"/>
      <c r="M46" s="27"/>
    </row>
    <row r="47" spans="2:13" s="19" customFormat="1" ht="12">
      <c r="C47" s="214"/>
      <c r="D47" s="214"/>
      <c r="E47" s="230"/>
      <c r="F47" s="230"/>
      <c r="G47" s="230"/>
      <c r="H47" s="230"/>
      <c r="I47" s="230"/>
      <c r="J47" s="230"/>
      <c r="K47" s="230"/>
      <c r="L47" s="230"/>
      <c r="M47" s="230"/>
    </row>
    <row r="48" spans="2:13" s="19" customFormat="1" ht="12">
      <c r="C48" s="100"/>
      <c r="D48" s="100"/>
      <c r="E48" s="74"/>
      <c r="F48" s="74"/>
      <c r="G48" s="74"/>
      <c r="H48" s="74"/>
      <c r="I48" s="74"/>
      <c r="J48" s="74"/>
      <c r="K48" s="74"/>
      <c r="L48" s="74"/>
      <c r="M48" s="74"/>
    </row>
    <row r="49" spans="2:13" s="19" customFormat="1" ht="12">
      <c r="E49" s="20"/>
      <c r="F49" s="20"/>
      <c r="G49" s="20"/>
      <c r="H49" s="20"/>
      <c r="I49" s="20"/>
      <c r="J49" s="20"/>
      <c r="K49" s="20"/>
      <c r="L49" s="20"/>
      <c r="M49" s="20"/>
    </row>
    <row r="50" spans="2:13" s="19" customFormat="1" ht="12">
      <c r="E50" s="20"/>
      <c r="F50" s="20"/>
      <c r="G50" s="20"/>
      <c r="H50" s="20"/>
      <c r="I50" s="20"/>
      <c r="J50" s="20"/>
      <c r="K50" s="20"/>
      <c r="L50" s="20"/>
      <c r="M50" s="20"/>
    </row>
    <row r="51" spans="2:13" s="2" customFormat="1" ht="20.100000000000001" customHeight="1">
      <c r="B51" s="1"/>
      <c r="C51" s="1"/>
      <c r="D51" s="1"/>
      <c r="E51" s="16"/>
      <c r="F51" s="16"/>
      <c r="G51" s="16"/>
      <c r="H51" s="16"/>
      <c r="I51" s="16"/>
      <c r="J51" s="16"/>
      <c r="K51" s="16"/>
      <c r="L51" s="16"/>
      <c r="M51" s="16"/>
    </row>
    <row r="52" spans="2:13" s="2" customFormat="1" ht="21" customHeight="1">
      <c r="B52" s="1"/>
      <c r="C52" s="1"/>
      <c r="D52" s="1"/>
      <c r="E52" s="16"/>
      <c r="F52" s="16"/>
      <c r="G52" s="16"/>
      <c r="H52" s="16"/>
      <c r="I52" s="16"/>
      <c r="J52" s="16"/>
      <c r="K52" s="16"/>
      <c r="L52" s="16"/>
      <c r="M52" s="16"/>
    </row>
    <row r="53" spans="2:13" ht="21" customHeight="1">
      <c r="B53" s="1"/>
      <c r="E53" s="231"/>
      <c r="F53" s="231"/>
      <c r="G53" s="231"/>
      <c r="H53" s="231"/>
      <c r="I53" s="231"/>
      <c r="J53" s="231"/>
      <c r="K53" s="231"/>
      <c r="L53" s="231"/>
      <c r="M53" s="231"/>
    </row>
    <row r="54" spans="2:13" ht="20.100000000000001" customHeight="1">
      <c r="E54" s="207"/>
      <c r="F54" s="207"/>
      <c r="G54" s="207"/>
      <c r="H54" s="207"/>
      <c r="I54" s="207"/>
      <c r="J54" s="207"/>
      <c r="K54" s="207"/>
      <c r="L54" s="207"/>
      <c r="M54" s="207"/>
    </row>
    <row r="55" spans="2:13" ht="20.100000000000001" customHeight="1">
      <c r="G55" s="8"/>
      <c r="H55" s="8"/>
      <c r="I55" s="8"/>
      <c r="J55" s="8"/>
      <c r="K55" s="8"/>
      <c r="L55" s="8"/>
      <c r="M55" s="8"/>
    </row>
    <row r="56" spans="2:13" ht="20.100000000000001" customHeight="1">
      <c r="G56" s="8"/>
      <c r="H56" s="8"/>
      <c r="I56" s="8"/>
      <c r="J56" s="8"/>
      <c r="K56" s="8"/>
      <c r="L56" s="8"/>
      <c r="M56" s="8"/>
    </row>
  </sheetData>
  <phoneticPr fontId="28" type="noConversion"/>
  <pageMargins left="0.75" right="0.75" top="1" bottom="1" header="0.5" footer="0.5"/>
  <headerFooter alignWithMargins="0"/>
  <drawing r:id="rId1"/>
</worksheet>
</file>

<file path=xl/worksheets/sheet6.xml><?xml version="1.0" encoding="utf-8"?>
<worksheet xmlns="http://schemas.openxmlformats.org/spreadsheetml/2006/main" xmlns:r="http://schemas.openxmlformats.org/officeDocument/2006/relationships">
  <dimension ref="B1:N58"/>
  <sheetViews>
    <sheetView showGridLines="0" workbookViewId="0"/>
  </sheetViews>
  <sheetFormatPr defaultColWidth="9.140625" defaultRowHeight="20.100000000000001" customHeight="1"/>
  <cols>
    <col min="1" max="1" width="3.7109375" style="43" customWidth="1"/>
    <col min="2" max="2" width="2.7109375" style="43" customWidth="1"/>
    <col min="3" max="3" width="2.7109375" style="2" customWidth="1"/>
    <col min="4" max="4" width="44.28515625" style="2" customWidth="1"/>
    <col min="5" max="6" width="9.7109375" style="8" customWidth="1"/>
    <col min="7" max="8" width="9.7109375" style="43" customWidth="1"/>
    <col min="9" max="10" width="9.7109375" style="19" customWidth="1"/>
    <col min="11" max="13" width="9.7109375" style="45" customWidth="1"/>
    <col min="14" max="14" width="11.85546875" style="43" customWidth="1"/>
    <col min="15" max="16384" width="9.140625" style="43"/>
  </cols>
  <sheetData>
    <row r="1" spans="2:14" ht="66" customHeight="1">
      <c r="B1" s="188"/>
      <c r="C1" s="198"/>
      <c r="D1" s="198"/>
      <c r="F1" s="189"/>
      <c r="G1" s="189"/>
      <c r="H1" s="189"/>
    </row>
    <row r="2" spans="2:14" ht="12.75" customHeight="1">
      <c r="B2" s="37" t="s">
        <v>90</v>
      </c>
      <c r="C2" s="12"/>
      <c r="D2" s="37"/>
      <c r="E2" s="38"/>
      <c r="F2" s="38"/>
      <c r="G2" s="44"/>
      <c r="H2" s="44"/>
      <c r="I2" s="37"/>
      <c r="J2" s="37"/>
      <c r="K2" s="44"/>
      <c r="L2" s="44"/>
      <c r="M2" s="44"/>
    </row>
    <row r="3" spans="2:14" ht="12.75" customHeight="1">
      <c r="B3" s="12" t="s">
        <v>21</v>
      </c>
      <c r="C3" s="12"/>
      <c r="D3" s="13"/>
      <c r="E3" s="46" t="s">
        <v>23</v>
      </c>
      <c r="F3" s="46"/>
      <c r="G3" s="53"/>
      <c r="H3" s="46" t="s">
        <v>20</v>
      </c>
      <c r="I3" s="46"/>
      <c r="J3" s="46"/>
      <c r="K3" s="55"/>
      <c r="L3" s="51"/>
      <c r="M3" s="55"/>
      <c r="N3"/>
    </row>
    <row r="4" spans="2:14" ht="12.75" customHeight="1">
      <c r="B4" s="12"/>
      <c r="C4" s="12"/>
      <c r="D4" s="13"/>
      <c r="E4" s="56"/>
      <c r="F4" s="56"/>
      <c r="G4" s="93"/>
      <c r="H4" s="47"/>
      <c r="I4" s="47"/>
      <c r="J4" s="47"/>
      <c r="K4" s="47"/>
      <c r="L4" s="47"/>
      <c r="M4" s="47"/>
    </row>
    <row r="5" spans="2:14" ht="12.75" customHeight="1">
      <c r="B5" s="48" t="s">
        <v>309</v>
      </c>
      <c r="C5" s="12"/>
      <c r="D5" s="49"/>
      <c r="E5" s="191">
        <v>2010</v>
      </c>
      <c r="F5" s="191">
        <f t="shared" ref="F5:M5" si="0">E5+1</f>
        <v>2011</v>
      </c>
      <c r="G5" s="185">
        <f t="shared" si="0"/>
        <v>2012</v>
      </c>
      <c r="H5" s="50">
        <f t="shared" si="0"/>
        <v>2013</v>
      </c>
      <c r="I5" s="50">
        <f t="shared" si="0"/>
        <v>2014</v>
      </c>
      <c r="J5" s="50">
        <f t="shared" si="0"/>
        <v>2015</v>
      </c>
      <c r="K5" s="50">
        <f t="shared" si="0"/>
        <v>2016</v>
      </c>
      <c r="L5" s="50">
        <f t="shared" si="0"/>
        <v>2017</v>
      </c>
      <c r="M5" s="50">
        <f t="shared" si="0"/>
        <v>2018</v>
      </c>
    </row>
    <row r="6" spans="2:14" s="2" customFormat="1" ht="21" customHeight="1">
      <c r="B6" s="199" t="s">
        <v>4</v>
      </c>
      <c r="C6" s="199"/>
      <c r="D6" s="199"/>
      <c r="E6" s="199"/>
      <c r="F6" s="199"/>
      <c r="G6" s="593"/>
      <c r="H6" s="22"/>
      <c r="I6" s="74"/>
      <c r="J6" s="74"/>
      <c r="K6" s="74"/>
      <c r="L6" s="74"/>
      <c r="M6" s="74"/>
    </row>
    <row r="7" spans="2:14" s="2" customFormat="1" ht="12.75" customHeight="1">
      <c r="C7" s="1" t="s">
        <v>69</v>
      </c>
      <c r="G7" s="446"/>
      <c r="I7" s="20"/>
      <c r="J7" s="20"/>
      <c r="K7" s="20"/>
      <c r="L7" s="20"/>
      <c r="M7" s="20"/>
    </row>
    <row r="8" spans="2:14" s="2" customFormat="1" ht="12.75" customHeight="1">
      <c r="D8" s="2" t="s">
        <v>70</v>
      </c>
      <c r="E8" s="113"/>
      <c r="F8" s="117">
        <v>1103</v>
      </c>
      <c r="G8" s="594">
        <v>1199</v>
      </c>
      <c r="H8" s="18">
        <f ca="1">G8+'Cash flow statement'!H50</f>
        <v>50</v>
      </c>
      <c r="I8" s="18">
        <f ca="1">H8+'Cash flow statement'!I50</f>
        <v>591.13077373683154</v>
      </c>
      <c r="J8" s="18">
        <f ca="1">I8+'Cash flow statement'!J50</f>
        <v>1633.4154752195707</v>
      </c>
      <c r="K8" s="18">
        <f ca="1">J8+'Cash flow statement'!K50</f>
        <v>2754.6455987595573</v>
      </c>
      <c r="L8" s="18">
        <f ca="1">K8+'Cash flow statement'!L50</f>
        <v>3637.2532061897373</v>
      </c>
      <c r="M8" s="18">
        <f ca="1">L8+'Cash flow statement'!M50</f>
        <v>4770.6631352907607</v>
      </c>
    </row>
    <row r="9" spans="2:14" s="2" customFormat="1" ht="12">
      <c r="D9" s="2" t="s">
        <v>155</v>
      </c>
      <c r="E9" s="113"/>
      <c r="F9" s="117">
        <v>2348</v>
      </c>
      <c r="G9" s="594">
        <v>2288</v>
      </c>
      <c r="H9" s="18">
        <f>G9-'Cash flow statement'!H20</f>
        <v>2243.8239999999992</v>
      </c>
      <c r="I9" s="18">
        <f>H9-'Cash flow statement'!I20</f>
        <v>2198.9475199999993</v>
      </c>
      <c r="J9" s="18">
        <f>I9-'Cash flow statement'!J20</f>
        <v>2154.9685695999992</v>
      </c>
      <c r="K9" s="18">
        <f>J9-'Cash flow statement'!K20</f>
        <v>2111.869198207999</v>
      </c>
      <c r="L9" s="18">
        <f>K9-'Cash flow statement'!L20</f>
        <v>2132.9878901900788</v>
      </c>
      <c r="M9" s="18">
        <f>L9-'Cash flow statement'!M20</f>
        <v>2154.3177690919797</v>
      </c>
    </row>
    <row r="10" spans="2:14" s="2" customFormat="1" ht="12.75" customHeight="1">
      <c r="D10" s="2" t="s">
        <v>156</v>
      </c>
      <c r="E10" s="113"/>
      <c r="F10" s="117">
        <v>22</v>
      </c>
      <c r="G10" s="594">
        <v>0</v>
      </c>
      <c r="H10" s="117">
        <v>0</v>
      </c>
      <c r="I10" s="117">
        <v>0</v>
      </c>
      <c r="J10" s="117">
        <v>0</v>
      </c>
      <c r="K10" s="117">
        <v>0</v>
      </c>
      <c r="L10" s="117">
        <v>0</v>
      </c>
      <c r="M10" s="117">
        <v>0</v>
      </c>
    </row>
    <row r="11" spans="2:14" s="2" customFormat="1" ht="12.75" customHeight="1">
      <c r="D11" s="2" t="s">
        <v>157</v>
      </c>
      <c r="E11" s="113"/>
      <c r="F11" s="117">
        <v>5897</v>
      </c>
      <c r="G11" s="594">
        <v>5731</v>
      </c>
      <c r="H11" s="83">
        <f>G11-'Cash flow statement'!H21</f>
        <v>5648.8957723565845</v>
      </c>
      <c r="I11" s="83">
        <f>H11-'Cash flow statement'!I21</f>
        <v>5543.449717939262</v>
      </c>
      <c r="J11" s="83">
        <f>I11-'Cash flow statement'!J21</f>
        <v>5432.5807235804759</v>
      </c>
      <c r="K11" s="83">
        <f>J11-'Cash flow statement'!K21</f>
        <v>5323.9291091088662</v>
      </c>
      <c r="L11" s="83">
        <f>K11-'Cash flow statement'!L21</f>
        <v>5377.1684001999538</v>
      </c>
      <c r="M11" s="83">
        <f>L11-'Cash flow statement'!M21</f>
        <v>5430.9400842019531</v>
      </c>
    </row>
    <row r="12" spans="2:14" s="2" customFormat="1" ht="12.75" customHeight="1">
      <c r="D12" s="2" t="s">
        <v>71</v>
      </c>
      <c r="E12" s="115"/>
      <c r="F12" s="118">
        <v>1103</v>
      </c>
      <c r="G12" s="595">
        <v>1079</v>
      </c>
      <c r="H12" s="76">
        <f>G12-'Cash flow statement'!H22</f>
        <v>1044.472</v>
      </c>
      <c r="I12" s="76">
        <f>H12-'Cash flow statement'!I22</f>
        <v>1023.5825599999998</v>
      </c>
      <c r="J12" s="76">
        <f>I12-'Cash flow statement'!J22</f>
        <v>1003.1109087999998</v>
      </c>
      <c r="K12" s="76">
        <f>J12-'Cash flow statement'!K22</f>
        <v>983.04869062399973</v>
      </c>
      <c r="L12" s="76">
        <f>K12-'Cash flow statement'!L22</f>
        <v>992.87917753023964</v>
      </c>
      <c r="M12" s="76">
        <f>L12-'Cash flow statement'!M22</f>
        <v>1002.8079693055421</v>
      </c>
    </row>
    <row r="13" spans="2:14" s="2" customFormat="1" ht="12.75" customHeight="1">
      <c r="D13" s="1" t="s">
        <v>72</v>
      </c>
      <c r="E13" s="74"/>
      <c r="F13" s="74">
        <f t="shared" ref="F13:M13" si="1">SUM(F8:F12)</f>
        <v>10473</v>
      </c>
      <c r="G13" s="556">
        <f t="shared" si="1"/>
        <v>10297</v>
      </c>
      <c r="H13" s="74">
        <f t="shared" ca="1" si="1"/>
        <v>8987.1917723565839</v>
      </c>
      <c r="I13" s="74">
        <f t="shared" ca="1" si="1"/>
        <v>9357.110571676094</v>
      </c>
      <c r="J13" s="74">
        <f t="shared" ca="1" si="1"/>
        <v>10224.075677200044</v>
      </c>
      <c r="K13" s="74">
        <f t="shared" ca="1" si="1"/>
        <v>11173.492596700424</v>
      </c>
      <c r="L13" s="74">
        <f t="shared" ca="1" si="1"/>
        <v>12140.28867411001</v>
      </c>
      <c r="M13" s="74">
        <f t="shared" ca="1" si="1"/>
        <v>13358.728957890236</v>
      </c>
    </row>
    <row r="14" spans="2:14" s="2" customFormat="1" ht="12.75" customHeight="1">
      <c r="C14" s="2" t="s">
        <v>73</v>
      </c>
      <c r="E14" s="113"/>
      <c r="F14" s="117">
        <v>3823</v>
      </c>
      <c r="G14" s="594">
        <v>3471</v>
      </c>
      <c r="H14" s="18">
        <f>G14-'Cash flow statement'!H8-'Cash flow statement'!H30-'Cash flow statement'!H31</f>
        <v>3427.2370000000001</v>
      </c>
      <c r="I14" s="18">
        <f>H14-'Cash flow statement'!I8-'Cash flow statement'!I30-'Cash flow statement'!I31</f>
        <v>3365.951</v>
      </c>
      <c r="J14" s="18">
        <f>I14-'Cash flow statement'!J8-'Cash flow statement'!J30-'Cash flow statement'!J31</f>
        <v>3256.1860000000001</v>
      </c>
      <c r="K14" s="18">
        <f>J14-'Cash flow statement'!K8-'Cash flow statement'!K30-'Cash flow statement'!K31</f>
        <v>3044.7910000000002</v>
      </c>
      <c r="L14" s="18">
        <f>K14-'Cash flow statement'!L8-'Cash flow statement'!L30-'Cash flow statement'!L31</f>
        <v>2789.5595000000003</v>
      </c>
      <c r="M14" s="18">
        <f>L14-'Cash flow statement'!M8-'Cash flow statement'!M30-'Cash flow statement'!M31</f>
        <v>2500.1615000000002</v>
      </c>
    </row>
    <row r="15" spans="2:14" s="2" customFormat="1" ht="12.75" customHeight="1">
      <c r="C15" s="192" t="s">
        <v>5</v>
      </c>
      <c r="E15" s="113"/>
      <c r="F15" s="117">
        <v>2454</v>
      </c>
      <c r="G15" s="594">
        <v>1335</v>
      </c>
      <c r="H15" s="528">
        <f t="shared" ref="H15:M15" si="2">G15</f>
        <v>1335</v>
      </c>
      <c r="I15" s="528">
        <f t="shared" si="2"/>
        <v>1335</v>
      </c>
      <c r="J15" s="528">
        <f t="shared" si="2"/>
        <v>1335</v>
      </c>
      <c r="K15" s="528">
        <f t="shared" si="2"/>
        <v>1335</v>
      </c>
      <c r="L15" s="528">
        <f t="shared" si="2"/>
        <v>1335</v>
      </c>
      <c r="M15" s="528">
        <f t="shared" si="2"/>
        <v>1335</v>
      </c>
    </row>
    <row r="16" spans="2:14" s="2" customFormat="1" ht="12.75" customHeight="1">
      <c r="C16" s="192" t="s">
        <v>74</v>
      </c>
      <c r="E16" s="113"/>
      <c r="F16" s="117">
        <v>0</v>
      </c>
      <c r="G16" s="594">
        <v>0</v>
      </c>
      <c r="H16" s="528">
        <f t="shared" ref="H16:M19" si="3">G16</f>
        <v>0</v>
      </c>
      <c r="I16" s="528">
        <f t="shared" si="3"/>
        <v>0</v>
      </c>
      <c r="J16" s="528">
        <f t="shared" si="3"/>
        <v>0</v>
      </c>
      <c r="K16" s="528">
        <f t="shared" si="3"/>
        <v>0</v>
      </c>
      <c r="L16" s="528">
        <f t="shared" si="3"/>
        <v>0</v>
      </c>
      <c r="M16" s="528">
        <f t="shared" si="3"/>
        <v>0</v>
      </c>
    </row>
    <row r="17" spans="2:13" s="2" customFormat="1" ht="12.75" customHeight="1">
      <c r="C17" s="192" t="s">
        <v>315</v>
      </c>
      <c r="E17" s="113"/>
      <c r="F17" s="117">
        <f>133+203</f>
        <v>336</v>
      </c>
      <c r="G17" s="594">
        <f>130+229</f>
        <v>359</v>
      </c>
      <c r="H17" s="528">
        <f>G17-'Cash flow statement'!H10</f>
        <v>312.536</v>
      </c>
      <c r="I17" s="528">
        <f>H17-'Cash flow statement'!I10</f>
        <v>267.00128000000001</v>
      </c>
      <c r="J17" s="528">
        <f>I17-'Cash flow statement'!J10</f>
        <v>222.37725440000003</v>
      </c>
      <c r="K17" s="528">
        <f>J17-'Cash flow statement'!K10</f>
        <v>178.64570931200004</v>
      </c>
      <c r="L17" s="528">
        <f>K17-'Cash flow statement'!L10</f>
        <v>134.47684877312005</v>
      </c>
      <c r="M17" s="528">
        <f>L17-'Cash flow statement'!M10</f>
        <v>89.866299628851266</v>
      </c>
    </row>
    <row r="18" spans="2:13" s="2" customFormat="1" ht="12.75" customHeight="1">
      <c r="C18" s="2" t="s">
        <v>158</v>
      </c>
      <c r="E18" s="113"/>
      <c r="F18" s="117">
        <v>328</v>
      </c>
      <c r="G18" s="594">
        <v>140</v>
      </c>
      <c r="H18" s="528">
        <f t="shared" si="3"/>
        <v>140</v>
      </c>
      <c r="I18" s="528">
        <f t="shared" si="3"/>
        <v>140</v>
      </c>
      <c r="J18" s="528">
        <f t="shared" si="3"/>
        <v>140</v>
      </c>
      <c r="K18" s="528">
        <f t="shared" si="3"/>
        <v>140</v>
      </c>
      <c r="L18" s="528">
        <f t="shared" si="3"/>
        <v>140</v>
      </c>
      <c r="M18" s="528">
        <f t="shared" si="3"/>
        <v>140</v>
      </c>
    </row>
    <row r="19" spans="2:13" s="2" customFormat="1" ht="12.75" customHeight="1">
      <c r="C19" s="2" t="s">
        <v>75</v>
      </c>
      <c r="E19" s="115"/>
      <c r="F19" s="118">
        <v>435</v>
      </c>
      <c r="G19" s="595">
        <v>403</v>
      </c>
      <c r="H19" s="529">
        <f t="shared" si="3"/>
        <v>403</v>
      </c>
      <c r="I19" s="529">
        <f t="shared" si="3"/>
        <v>403</v>
      </c>
      <c r="J19" s="529">
        <f t="shared" si="3"/>
        <v>403</v>
      </c>
      <c r="K19" s="529">
        <f t="shared" si="3"/>
        <v>403</v>
      </c>
      <c r="L19" s="529">
        <f t="shared" si="3"/>
        <v>403</v>
      </c>
      <c r="M19" s="529">
        <f t="shared" si="3"/>
        <v>403</v>
      </c>
    </row>
    <row r="20" spans="2:13" s="2" customFormat="1" ht="12.75" customHeight="1">
      <c r="C20" s="1" t="s">
        <v>76</v>
      </c>
      <c r="D20" s="1"/>
      <c r="E20" s="73"/>
      <c r="F20" s="73">
        <f t="shared" ref="F20:M20" si="4">SUM(F13:F19)</f>
        <v>17849</v>
      </c>
      <c r="G20" s="556">
        <f t="shared" si="4"/>
        <v>16005</v>
      </c>
      <c r="H20" s="73">
        <f t="shared" ca="1" si="4"/>
        <v>14604.964772356583</v>
      </c>
      <c r="I20" s="73">
        <f t="shared" ca="1" si="4"/>
        <v>14868.062851676095</v>
      </c>
      <c r="J20" s="73">
        <f t="shared" ca="1" si="4"/>
        <v>15580.638931600044</v>
      </c>
      <c r="K20" s="73">
        <f t="shared" ca="1" si="4"/>
        <v>16274.929306012426</v>
      </c>
      <c r="L20" s="73">
        <f t="shared" ca="1" si="4"/>
        <v>16942.325022883131</v>
      </c>
      <c r="M20" s="73">
        <f t="shared" ca="1" si="4"/>
        <v>17826.756757519088</v>
      </c>
    </row>
    <row r="21" spans="2:13" s="2" customFormat="1" ht="21" customHeight="1">
      <c r="B21" s="1" t="s">
        <v>6</v>
      </c>
      <c r="D21" s="1"/>
      <c r="E21" s="74"/>
      <c r="F21" s="200"/>
      <c r="G21" s="596"/>
      <c r="H21" s="200"/>
      <c r="I21" s="200"/>
      <c r="J21" s="200"/>
      <c r="K21" s="200"/>
      <c r="L21" s="200"/>
      <c r="M21" s="200"/>
    </row>
    <row r="22" spans="2:13" s="2" customFormat="1" ht="12.75" customHeight="1">
      <c r="C22" s="1" t="s">
        <v>77</v>
      </c>
      <c r="E22" s="201"/>
      <c r="F22" s="15"/>
      <c r="G22" s="597"/>
      <c r="H22" s="15"/>
      <c r="I22" s="15"/>
      <c r="J22" s="15"/>
      <c r="K22" s="15"/>
      <c r="L22" s="15"/>
      <c r="M22" s="15"/>
    </row>
    <row r="23" spans="2:13" s="19" customFormat="1" ht="12.75" customHeight="1">
      <c r="D23" s="19" t="s">
        <v>159</v>
      </c>
      <c r="E23" s="113"/>
      <c r="F23" s="113">
        <f>557+441</f>
        <v>998</v>
      </c>
      <c r="G23" s="553">
        <f>480+43</f>
        <v>523</v>
      </c>
      <c r="H23" s="20">
        <f ca="1">G23+'Cash flow statement'!H40</f>
        <v>0</v>
      </c>
      <c r="I23" s="20">
        <f ca="1">H23+'Cash flow statement'!I40</f>
        <v>0</v>
      </c>
      <c r="J23" s="20">
        <f ca="1">I23+'Cash flow statement'!J40</f>
        <v>0</v>
      </c>
      <c r="K23" s="20">
        <f ca="1">J23+'Cash flow statement'!K40</f>
        <v>0</v>
      </c>
      <c r="L23" s="20">
        <f ca="1">K23+'Cash flow statement'!L40</f>
        <v>0</v>
      </c>
      <c r="M23" s="20">
        <f ca="1">L23+'Cash flow statement'!M40</f>
        <v>0</v>
      </c>
    </row>
    <row r="24" spans="2:13" s="2" customFormat="1" ht="12.75" customHeight="1">
      <c r="D24" s="2" t="s">
        <v>160</v>
      </c>
      <c r="E24" s="113"/>
      <c r="F24" s="117">
        <v>4894</v>
      </c>
      <c r="G24" s="594">
        <v>5364</v>
      </c>
      <c r="H24" s="18">
        <f>G24+'Cash flow statement'!H23</f>
        <v>4983.3481968381357</v>
      </c>
      <c r="I24" s="18">
        <f>H24+'Cash flow statement'!I23</f>
        <v>4890.3256971638239</v>
      </c>
      <c r="J24" s="18">
        <f>I24+'Cash flow statement'!J23</f>
        <v>4792.5191832205473</v>
      </c>
      <c r="K24" s="18">
        <f>J24+'Cash flow statement'!K23</f>
        <v>4696.668799556136</v>
      </c>
      <c r="L24" s="18">
        <f>K24+'Cash flow statement'!L23</f>
        <v>4743.6354875516963</v>
      </c>
      <c r="M24" s="18">
        <f>L24+'Cash flow statement'!M23</f>
        <v>4791.0718424272127</v>
      </c>
    </row>
    <row r="25" spans="2:13" s="2" customFormat="1" ht="12.75" customHeight="1">
      <c r="D25" s="2" t="s">
        <v>161</v>
      </c>
      <c r="E25" s="113"/>
      <c r="F25" s="117">
        <v>474</v>
      </c>
      <c r="G25" s="594">
        <v>456</v>
      </c>
      <c r="H25" s="18">
        <f>G25+'Cash flow statement'!H24</f>
        <v>450.11999999999995</v>
      </c>
      <c r="I25" s="18">
        <f>H25+'Cash flow statement'!I24</f>
        <v>441.11759999999992</v>
      </c>
      <c r="J25" s="18">
        <f>I25+'Cash flow statement'!J24</f>
        <v>432.2952479999999</v>
      </c>
      <c r="K25" s="18">
        <f>J25+'Cash flow statement'!K24</f>
        <v>423.64934303999985</v>
      </c>
      <c r="L25" s="18">
        <f>K25+'Cash flow statement'!L24</f>
        <v>427.88583647039985</v>
      </c>
      <c r="M25" s="18">
        <f>L25+'Cash flow statement'!M24</f>
        <v>432.16469483510383</v>
      </c>
    </row>
    <row r="26" spans="2:13" s="2" customFormat="1" ht="12.75" customHeight="1">
      <c r="D26" s="2" t="s">
        <v>162</v>
      </c>
      <c r="E26" s="113"/>
      <c r="F26" s="117">
        <v>570</v>
      </c>
      <c r="G26" s="594">
        <v>539</v>
      </c>
      <c r="H26" s="18">
        <f>G26+'Cash flow statement'!H25</f>
        <v>559.89721468758967</v>
      </c>
      <c r="I26" s="18">
        <f>H26+'Cash flow statement'!I25</f>
        <v>551.25136002357658</v>
      </c>
      <c r="J26" s="18">
        <f>I26+'Cash flow statement'!J25</f>
        <v>540.22633282310505</v>
      </c>
      <c r="K26" s="18">
        <f>J26+'Cash flow statement'!K25</f>
        <v>529.42180616664291</v>
      </c>
      <c r="L26" s="18">
        <f>K26+'Cash flow statement'!L25</f>
        <v>534.71602422830927</v>
      </c>
      <c r="M26" s="18">
        <f>L26+'Cash flow statement'!M25</f>
        <v>540.06318447059232</v>
      </c>
    </row>
    <row r="27" spans="2:13" s="2" customFormat="1" ht="12.75" customHeight="1">
      <c r="D27" s="2" t="s">
        <v>163</v>
      </c>
      <c r="E27" s="113"/>
      <c r="F27" s="117">
        <v>1471</v>
      </c>
      <c r="G27" s="594">
        <v>1685</v>
      </c>
      <c r="H27" s="18">
        <f>G27+'Cash flow statement'!H26</f>
        <v>1593.3594315185151</v>
      </c>
      <c r="I27" s="18">
        <f>H27+'Cash flow statement'!I26</f>
        <v>1568.7549975062291</v>
      </c>
      <c r="J27" s="18">
        <f>I27+'Cash flow statement'!J26</f>
        <v>1537.3798975561042</v>
      </c>
      <c r="K27" s="18">
        <f>J27+'Cash flow statement'!K26</f>
        <v>1506.6322996049821</v>
      </c>
      <c r="L27" s="18">
        <f>K27+'Cash flow statement'!L26</f>
        <v>1521.6986226010317</v>
      </c>
      <c r="M27" s="18">
        <f>L27+'Cash flow statement'!M26</f>
        <v>1536.915608827042</v>
      </c>
    </row>
    <row r="28" spans="2:13" s="2" customFormat="1" ht="12.75" customHeight="1">
      <c r="D28" s="2" t="s">
        <v>164</v>
      </c>
      <c r="E28" s="113"/>
      <c r="F28" s="117">
        <v>256</v>
      </c>
      <c r="G28" s="594">
        <v>288</v>
      </c>
      <c r="H28" s="18">
        <f>G28+'Cash flow statement'!H15+'Cash flow statement'!H18</f>
        <v>361</v>
      </c>
      <c r="I28" s="18">
        <f>H28+'Cash flow statement'!I15+'Cash flow statement'!I18</f>
        <v>194</v>
      </c>
      <c r="J28" s="18">
        <f>I28+'Cash flow statement'!J15+'Cash flow statement'!J18</f>
        <v>247</v>
      </c>
      <c r="K28" s="18">
        <f>J28+'Cash flow statement'!K15+'Cash flow statement'!K18</f>
        <v>320</v>
      </c>
      <c r="L28" s="18">
        <f>K28+'Cash flow statement'!L15+'Cash flow statement'!L18</f>
        <v>153</v>
      </c>
      <c r="M28" s="18">
        <f>L28+'Cash flow statement'!M15+'Cash flow statement'!M18</f>
        <v>206</v>
      </c>
    </row>
    <row r="29" spans="2:13" s="2" customFormat="1" ht="12.75" customHeight="1">
      <c r="D29" s="2" t="s">
        <v>79</v>
      </c>
      <c r="E29" s="115"/>
      <c r="F29" s="118">
        <v>0</v>
      </c>
      <c r="G29" s="595">
        <v>0</v>
      </c>
      <c r="H29" s="76">
        <v>0</v>
      </c>
      <c r="I29" s="76">
        <v>0</v>
      </c>
      <c r="J29" s="76">
        <v>0</v>
      </c>
      <c r="K29" s="76">
        <v>0</v>
      </c>
      <c r="L29" s="76">
        <v>0</v>
      </c>
      <c r="M29" s="76">
        <v>0</v>
      </c>
    </row>
    <row r="30" spans="2:13" s="2" customFormat="1" ht="12.75" customHeight="1">
      <c r="D30" s="1" t="s">
        <v>80</v>
      </c>
      <c r="E30" s="74"/>
      <c r="F30" s="74">
        <f t="shared" ref="F30:M30" si="5">SUM(F23:F29)</f>
        <v>8663</v>
      </c>
      <c r="G30" s="556">
        <f t="shared" si="5"/>
        <v>8855</v>
      </c>
      <c r="H30" s="74">
        <f t="shared" ca="1" si="5"/>
        <v>7947.7248430442396</v>
      </c>
      <c r="I30" s="74">
        <f t="shared" ca="1" si="5"/>
        <v>7645.4496546936289</v>
      </c>
      <c r="J30" s="74">
        <f t="shared" ca="1" si="5"/>
        <v>7549.4206615997564</v>
      </c>
      <c r="K30" s="74">
        <f t="shared" ca="1" si="5"/>
        <v>7476.3722483677611</v>
      </c>
      <c r="L30" s="74">
        <f t="shared" ca="1" si="5"/>
        <v>7380.9359708514367</v>
      </c>
      <c r="M30" s="74">
        <f t="shared" ca="1" si="5"/>
        <v>7506.2153305599504</v>
      </c>
    </row>
    <row r="31" spans="2:13" s="2" customFormat="1" ht="12.75" customHeight="1">
      <c r="C31" s="2" t="s">
        <v>81</v>
      </c>
      <c r="E31" s="113"/>
      <c r="F31" s="117">
        <v>711</v>
      </c>
      <c r="G31" s="594">
        <v>1685</v>
      </c>
      <c r="H31" s="527">
        <f ca="1">G31+'Cash flow statement'!H41</f>
        <v>281.57143071989231</v>
      </c>
      <c r="I31" s="527">
        <f ca="1">H31+'Cash flow statement'!I41</f>
        <v>0</v>
      </c>
      <c r="J31" s="527">
        <f ca="1">I31+'Cash flow statement'!J41</f>
        <v>0</v>
      </c>
      <c r="K31" s="527">
        <f ca="1">J31+'Cash flow statement'!K41</f>
        <v>0</v>
      </c>
      <c r="L31" s="527">
        <f ca="1">K31+'Cash flow statement'!L41</f>
        <v>0</v>
      </c>
      <c r="M31" s="527">
        <f ca="1">L31+'Cash flow statement'!M41</f>
        <v>0</v>
      </c>
    </row>
    <row r="32" spans="2:13" s="2" customFormat="1" ht="12.75" customHeight="1">
      <c r="C32" s="192" t="s">
        <v>82</v>
      </c>
      <c r="E32" s="113"/>
      <c r="F32" s="117">
        <v>1183</v>
      </c>
      <c r="G32" s="594">
        <v>1099</v>
      </c>
      <c r="H32" s="530">
        <f t="shared" ref="H32:M32" si="6">G32</f>
        <v>1099</v>
      </c>
      <c r="I32" s="530">
        <f t="shared" si="6"/>
        <v>1099</v>
      </c>
      <c r="J32" s="530">
        <f t="shared" si="6"/>
        <v>1099</v>
      </c>
      <c r="K32" s="530">
        <f t="shared" si="6"/>
        <v>1099</v>
      </c>
      <c r="L32" s="530">
        <f t="shared" si="6"/>
        <v>1099</v>
      </c>
      <c r="M32" s="530">
        <f t="shared" si="6"/>
        <v>1099</v>
      </c>
    </row>
    <row r="33" spans="2:13" s="2" customFormat="1" ht="12.75" customHeight="1">
      <c r="C33" s="1" t="s">
        <v>83</v>
      </c>
      <c r="D33" s="1"/>
      <c r="E33" s="202"/>
      <c r="F33" s="202">
        <f t="shared" ref="F33:M33" si="7">SUM(F30:F32)</f>
        <v>10557</v>
      </c>
      <c r="G33" s="598">
        <f t="shared" si="7"/>
        <v>11639</v>
      </c>
      <c r="H33" s="202">
        <f t="shared" ca="1" si="7"/>
        <v>9328.2962737641319</v>
      </c>
      <c r="I33" s="202">
        <f t="shared" ca="1" si="7"/>
        <v>8744.449654693628</v>
      </c>
      <c r="J33" s="202">
        <f t="shared" ca="1" si="7"/>
        <v>8648.4206615997573</v>
      </c>
      <c r="K33" s="202">
        <f t="shared" ca="1" si="7"/>
        <v>8575.3722483677611</v>
      </c>
      <c r="L33" s="202">
        <f t="shared" ca="1" si="7"/>
        <v>8479.9359708514367</v>
      </c>
      <c r="M33" s="202">
        <f t="shared" ca="1" si="7"/>
        <v>8605.2153305599495</v>
      </c>
    </row>
    <row r="34" spans="2:13" s="2" customFormat="1" ht="21" customHeight="1">
      <c r="B34" s="1" t="s">
        <v>84</v>
      </c>
      <c r="D34" s="1"/>
      <c r="E34" s="57"/>
      <c r="F34" s="22"/>
      <c r="G34" s="599"/>
      <c r="H34" s="22"/>
      <c r="I34" s="22"/>
      <c r="J34" s="22"/>
      <c r="K34" s="22"/>
      <c r="L34" s="22"/>
      <c r="M34" s="22"/>
    </row>
    <row r="35" spans="2:13" s="2" customFormat="1" ht="12">
      <c r="B35" s="1"/>
      <c r="C35" s="194" t="s">
        <v>165</v>
      </c>
      <c r="D35" s="1"/>
      <c r="E35" s="113"/>
      <c r="F35" s="113">
        <v>0</v>
      </c>
      <c r="G35" s="553">
        <v>0</v>
      </c>
      <c r="H35" s="453">
        <f t="shared" ref="H35:M35" si="8">G35</f>
        <v>0</v>
      </c>
      <c r="I35" s="453">
        <f t="shared" si="8"/>
        <v>0</v>
      </c>
      <c r="J35" s="453">
        <f t="shared" si="8"/>
        <v>0</v>
      </c>
      <c r="K35" s="453">
        <f t="shared" si="8"/>
        <v>0</v>
      </c>
      <c r="L35" s="453">
        <f t="shared" si="8"/>
        <v>0</v>
      </c>
      <c r="M35" s="453">
        <f t="shared" si="8"/>
        <v>0</v>
      </c>
    </row>
    <row r="36" spans="2:13" s="19" customFormat="1" ht="12.75" customHeight="1">
      <c r="C36" s="19" t="s">
        <v>166</v>
      </c>
      <c r="E36" s="113"/>
      <c r="F36" s="113">
        <f>39+18</f>
        <v>57</v>
      </c>
      <c r="G36" s="553">
        <v>34</v>
      </c>
      <c r="H36" s="453">
        <f>G36+'Cash flow statement'!H13+'Cash flow statement'!H16+'Cash flow statement'!H42</f>
        <v>143</v>
      </c>
      <c r="I36" s="453">
        <f>H36+'Cash flow statement'!I13+'Cash flow statement'!I16+'Cash flow statement'!I42</f>
        <v>252</v>
      </c>
      <c r="J36" s="453">
        <f>I36+'Cash flow statement'!J13+'Cash flow statement'!J16+'Cash flow statement'!J42</f>
        <v>361</v>
      </c>
      <c r="K36" s="453">
        <f>J36+'Cash flow statement'!K13+'Cash flow statement'!K16+'Cash flow statement'!K42</f>
        <v>470</v>
      </c>
      <c r="L36" s="453">
        <f>K36+'Cash flow statement'!L13+'Cash flow statement'!L16+'Cash flow statement'!L42</f>
        <v>579</v>
      </c>
      <c r="M36" s="453">
        <f>L36+'Cash flow statement'!M13+'Cash flow statement'!M16+'Cash flow statement'!M42</f>
        <v>688</v>
      </c>
    </row>
    <row r="37" spans="2:13" s="19" customFormat="1" ht="12.75" customHeight="1">
      <c r="C37" s="19" t="s">
        <v>85</v>
      </c>
      <c r="E37" s="113"/>
      <c r="F37" s="113">
        <v>0</v>
      </c>
      <c r="G37" s="553">
        <v>0</v>
      </c>
      <c r="H37" s="453">
        <f t="shared" ref="H37:M39" si="9">G37</f>
        <v>0</v>
      </c>
      <c r="I37" s="453">
        <f t="shared" si="9"/>
        <v>0</v>
      </c>
      <c r="J37" s="453">
        <f t="shared" si="9"/>
        <v>0</v>
      </c>
      <c r="K37" s="453">
        <f t="shared" si="9"/>
        <v>0</v>
      </c>
      <c r="L37" s="453">
        <f t="shared" si="9"/>
        <v>0</v>
      </c>
      <c r="M37" s="453">
        <f t="shared" si="9"/>
        <v>0</v>
      </c>
    </row>
    <row r="38" spans="2:13" s="19" customFormat="1" ht="12.75" customHeight="1">
      <c r="C38" s="19" t="s">
        <v>167</v>
      </c>
      <c r="E38" s="113"/>
      <c r="F38" s="113">
        <v>690</v>
      </c>
      <c r="G38" s="553">
        <v>621</v>
      </c>
      <c r="H38" s="453">
        <f t="shared" si="9"/>
        <v>621</v>
      </c>
      <c r="I38" s="453">
        <f t="shared" si="9"/>
        <v>621</v>
      </c>
      <c r="J38" s="453">
        <f t="shared" si="9"/>
        <v>621</v>
      </c>
      <c r="K38" s="453">
        <f t="shared" si="9"/>
        <v>621</v>
      </c>
      <c r="L38" s="453">
        <f t="shared" si="9"/>
        <v>621</v>
      </c>
      <c r="M38" s="453">
        <f t="shared" si="9"/>
        <v>621</v>
      </c>
    </row>
    <row r="39" spans="2:13" s="19" customFormat="1" ht="12.75" customHeight="1">
      <c r="C39" s="19" t="s">
        <v>86</v>
      </c>
      <c r="E39" s="113"/>
      <c r="F39" s="113">
        <v>173</v>
      </c>
      <c r="G39" s="553">
        <v>90</v>
      </c>
      <c r="H39" s="453">
        <f t="shared" si="9"/>
        <v>90</v>
      </c>
      <c r="I39" s="453">
        <f t="shared" si="9"/>
        <v>90</v>
      </c>
      <c r="J39" s="453">
        <f t="shared" si="9"/>
        <v>90</v>
      </c>
      <c r="K39" s="453">
        <f t="shared" si="9"/>
        <v>90</v>
      </c>
      <c r="L39" s="453">
        <f t="shared" si="9"/>
        <v>90</v>
      </c>
      <c r="M39" s="453">
        <f t="shared" si="9"/>
        <v>90</v>
      </c>
    </row>
    <row r="40" spans="2:13" s="19" customFormat="1" ht="12.75" customHeight="1">
      <c r="C40" s="19" t="s">
        <v>87</v>
      </c>
      <c r="E40" s="115"/>
      <c r="F40" s="115">
        <v>6372</v>
      </c>
      <c r="G40" s="558">
        <v>3621</v>
      </c>
      <c r="H40" s="20">
        <f ca="1">G40+'Cash flow statement'!H7+'Cash flow statement'!H45+'Cash flow statement'!H49</f>
        <v>4422.6684985924512</v>
      </c>
      <c r="I40" s="20">
        <f ca="1">H40+'Cash flow statement'!I7+'Cash flow statement'!I45+'Cash flow statement'!I49</f>
        <v>5160.6131969824637</v>
      </c>
      <c r="J40" s="20">
        <f ca="1">I40+'Cash flow statement'!J7+'Cash flow statement'!J45+'Cash flow statement'!J49</f>
        <v>5860.2182700002895</v>
      </c>
      <c r="K40" s="20">
        <f ca="1">J40+'Cash flow statement'!K7+'Cash flow statement'!K45+'Cash flow statement'!K49</f>
        <v>6518.5570576446617</v>
      </c>
      <c r="L40" s="20">
        <f ca="1">K40+'Cash flow statement'!L7+'Cash flow statement'!L45+'Cash flow statement'!L49</f>
        <v>7172.3890520316927</v>
      </c>
      <c r="M40" s="20">
        <f ca="1">L40+'Cash flow statement'!M7+'Cash flow statement'!M45+'Cash flow statement'!M49</f>
        <v>7822.5414269591356</v>
      </c>
    </row>
    <row r="41" spans="2:13" s="2" customFormat="1" ht="12.75" customHeight="1">
      <c r="C41" s="1" t="s">
        <v>88</v>
      </c>
      <c r="D41" s="1"/>
      <c r="E41" s="203"/>
      <c r="F41" s="203">
        <f t="shared" ref="F41:M41" si="10">SUM(F35:F40)</f>
        <v>7292</v>
      </c>
      <c r="G41" s="600">
        <f t="shared" si="10"/>
        <v>4366</v>
      </c>
      <c r="H41" s="203">
        <f t="shared" ca="1" si="10"/>
        <v>5276.6684985924512</v>
      </c>
      <c r="I41" s="203">
        <f t="shared" ca="1" si="10"/>
        <v>6123.6131969824637</v>
      </c>
      <c r="J41" s="203">
        <f t="shared" ca="1" si="10"/>
        <v>6932.2182700002895</v>
      </c>
      <c r="K41" s="203">
        <f t="shared" ca="1" si="10"/>
        <v>7699.5570576446617</v>
      </c>
      <c r="L41" s="203">
        <f t="shared" ca="1" si="10"/>
        <v>8462.3890520316927</v>
      </c>
      <c r="M41" s="203">
        <f t="shared" ca="1" si="10"/>
        <v>9221.5414269591347</v>
      </c>
    </row>
    <row r="42" spans="2:13" s="2" customFormat="1" ht="21" customHeight="1" thickBot="1">
      <c r="C42" s="1" t="s">
        <v>89</v>
      </c>
      <c r="D42" s="1"/>
      <c r="E42" s="204"/>
      <c r="F42" s="204">
        <f t="shared" ref="F42:M42" si="11">F33+F41</f>
        <v>17849</v>
      </c>
      <c r="G42" s="601">
        <f t="shared" si="11"/>
        <v>16005</v>
      </c>
      <c r="H42" s="204">
        <f t="shared" ca="1" si="11"/>
        <v>14604.964772356583</v>
      </c>
      <c r="I42" s="204">
        <f t="shared" ca="1" si="11"/>
        <v>14868.062851676092</v>
      </c>
      <c r="J42" s="204">
        <f t="shared" ca="1" si="11"/>
        <v>15580.638931600046</v>
      </c>
      <c r="K42" s="204">
        <f t="shared" ca="1" si="11"/>
        <v>16274.929306012422</v>
      </c>
      <c r="L42" s="204">
        <f t="shared" ca="1" si="11"/>
        <v>16942.325022883131</v>
      </c>
      <c r="M42" s="204">
        <f t="shared" ca="1" si="11"/>
        <v>17826.756757519084</v>
      </c>
    </row>
    <row r="43" spans="2:13" s="2" customFormat="1" ht="21" customHeight="1" thickTop="1">
      <c r="B43" s="1" t="s">
        <v>67</v>
      </c>
      <c r="D43" s="1"/>
      <c r="E43" s="41"/>
      <c r="F43" s="41">
        <f t="shared" ref="F43:M43" si="12">F42-F20</f>
        <v>0</v>
      </c>
      <c r="G43" s="452">
        <f t="shared" si="12"/>
        <v>0</v>
      </c>
      <c r="H43" s="41">
        <f t="shared" ca="1" si="12"/>
        <v>0</v>
      </c>
      <c r="I43" s="41">
        <f t="shared" ca="1" si="12"/>
        <v>0</v>
      </c>
      <c r="J43" s="41">
        <f t="shared" ca="1" si="12"/>
        <v>0</v>
      </c>
      <c r="K43" s="41">
        <f t="shared" ca="1" si="12"/>
        <v>0</v>
      </c>
      <c r="L43" s="41">
        <f t="shared" ca="1" si="12"/>
        <v>0</v>
      </c>
      <c r="M43" s="41">
        <f t="shared" ca="1" si="12"/>
        <v>0</v>
      </c>
    </row>
    <row r="44" spans="2:13" s="72" customFormat="1" ht="12.75" customHeight="1">
      <c r="B44" s="71"/>
      <c r="C44" s="205" t="s">
        <v>7</v>
      </c>
      <c r="D44" s="198"/>
      <c r="E44" s="206" t="str">
        <f t="shared" ref="E44:M44" si="13">IF(ROUND(E20-E42,1)=0,"Y","N")</f>
        <v>Y</v>
      </c>
      <c r="F44" s="206" t="str">
        <f t="shared" si="13"/>
        <v>Y</v>
      </c>
      <c r="G44" s="477" t="str">
        <f t="shared" si="13"/>
        <v>Y</v>
      </c>
      <c r="H44" s="206" t="str">
        <f t="shared" ca="1" si="13"/>
        <v>Y</v>
      </c>
      <c r="I44" s="206" t="str">
        <f t="shared" ca="1" si="13"/>
        <v>Y</v>
      </c>
      <c r="J44" s="206" t="str">
        <f t="shared" ca="1" si="13"/>
        <v>Y</v>
      </c>
      <c r="K44" s="206" t="str">
        <f t="shared" ca="1" si="13"/>
        <v>Y</v>
      </c>
      <c r="L44" s="206" t="str">
        <f t="shared" ca="1" si="13"/>
        <v>Y</v>
      </c>
      <c r="M44" s="206" t="str">
        <f t="shared" ca="1" si="13"/>
        <v>Y</v>
      </c>
    </row>
    <row r="45" spans="2:13" ht="12.75" customHeight="1">
      <c r="E45" s="207"/>
      <c r="F45" s="207"/>
      <c r="G45" s="207"/>
      <c r="H45" s="207"/>
      <c r="I45" s="208"/>
      <c r="J45" s="208"/>
      <c r="K45" s="208"/>
      <c r="L45" s="208"/>
      <c r="M45" s="208"/>
    </row>
    <row r="46" spans="2:13" ht="12.75" customHeight="1">
      <c r="G46" s="8"/>
      <c r="H46" s="8"/>
      <c r="I46" s="58"/>
      <c r="J46" s="58"/>
      <c r="K46" s="58"/>
      <c r="L46" s="58"/>
      <c r="M46" s="58"/>
    </row>
    <row r="47" spans="2:13" ht="12.75" customHeight="1">
      <c r="G47" s="8"/>
      <c r="H47" s="8"/>
      <c r="I47" s="58"/>
      <c r="J47" s="58"/>
      <c r="K47" s="58"/>
      <c r="L47" s="58"/>
      <c r="M47" s="58"/>
    </row>
    <row r="48" spans="2:13"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sheetData>
  <phoneticPr fontId="28" type="noConversion"/>
  <pageMargins left="0.75" right="0.75" top="1" bottom="1" header="0.5" footer="0.5"/>
  <headerFooter alignWithMargins="0"/>
  <drawing r:id="rId1"/>
</worksheet>
</file>

<file path=xl/worksheets/sheet7.xml><?xml version="1.0" encoding="utf-8"?>
<worksheet xmlns="http://schemas.openxmlformats.org/spreadsheetml/2006/main" xmlns:r="http://schemas.openxmlformats.org/officeDocument/2006/relationships">
  <dimension ref="B1:AC48"/>
  <sheetViews>
    <sheetView showGridLines="0" workbookViewId="0"/>
  </sheetViews>
  <sheetFormatPr defaultColWidth="9.140625" defaultRowHeight="20.100000000000001" customHeight="1" outlineLevelRow="1"/>
  <cols>
    <col min="1" max="1" width="3.7109375" style="43" customWidth="1"/>
    <col min="2" max="2" width="2.7109375" style="2" customWidth="1"/>
    <col min="3" max="3" width="12.28515625" style="2" customWidth="1"/>
    <col min="4" max="4" width="20.5703125" style="2" customWidth="1"/>
    <col min="5" max="6" width="9.7109375" style="8" customWidth="1"/>
    <col min="7" max="7" width="9.7109375" style="43" customWidth="1"/>
    <col min="8" max="8" width="9.7109375" style="2" customWidth="1"/>
    <col min="9" max="13" width="9.7109375" style="43" customWidth="1"/>
    <col min="14" max="16384" width="9.140625" style="43"/>
  </cols>
  <sheetData>
    <row r="1" spans="2:29" ht="66" customHeight="1">
      <c r="B1" s="188"/>
      <c r="C1" s="105"/>
      <c r="D1" s="105"/>
      <c r="E1" s="106"/>
      <c r="F1" s="106"/>
      <c r="G1" s="189"/>
      <c r="H1" s="105"/>
      <c r="I1" s="189"/>
      <c r="J1" s="189"/>
      <c r="K1" s="189"/>
      <c r="L1" s="189"/>
      <c r="M1" s="189"/>
    </row>
    <row r="2" spans="2:29" ht="12.75" customHeight="1">
      <c r="B2" s="37" t="s">
        <v>3</v>
      </c>
      <c r="C2" s="37"/>
      <c r="D2" s="37"/>
      <c r="E2" s="38"/>
      <c r="F2" s="38"/>
      <c r="G2" s="44"/>
      <c r="H2" s="37"/>
      <c r="I2" s="44"/>
      <c r="J2" s="44"/>
      <c r="K2" s="44"/>
      <c r="L2" s="44"/>
      <c r="M2" s="44"/>
    </row>
    <row r="3" spans="2:29" ht="12.75" customHeight="1">
      <c r="B3" s="12" t="s">
        <v>21</v>
      </c>
      <c r="C3" s="13"/>
      <c r="D3" s="13"/>
      <c r="E3" s="46" t="s">
        <v>23</v>
      </c>
      <c r="F3" s="46"/>
      <c r="G3" s="53"/>
      <c r="H3" s="54" t="s">
        <v>20</v>
      </c>
      <c r="I3" s="55"/>
      <c r="J3" s="51"/>
      <c r="K3" s="55"/>
      <c r="L3" s="55"/>
      <c r="M3" s="55"/>
    </row>
    <row r="4" spans="2:29" ht="12.75" customHeight="1">
      <c r="B4" s="12"/>
      <c r="C4" s="13"/>
      <c r="D4" s="13"/>
      <c r="E4" s="56"/>
      <c r="F4" s="56"/>
      <c r="G4" s="93"/>
      <c r="H4" s="47"/>
      <c r="I4" s="47"/>
      <c r="J4" s="47"/>
      <c r="K4" s="47"/>
      <c r="L4" s="47"/>
      <c r="M4" s="47"/>
    </row>
    <row r="5" spans="2:29" ht="12.75" customHeight="1">
      <c r="B5" s="48" t="s">
        <v>309</v>
      </c>
      <c r="C5" s="49"/>
      <c r="D5" s="209"/>
      <c r="E5" s="191">
        <v>2010</v>
      </c>
      <c r="F5" s="191">
        <f t="shared" ref="F5:M5" si="0">E5+1</f>
        <v>2011</v>
      </c>
      <c r="G5" s="185">
        <f t="shared" si="0"/>
        <v>2012</v>
      </c>
      <c r="H5" s="50">
        <f t="shared" si="0"/>
        <v>2013</v>
      </c>
      <c r="I5" s="50">
        <f t="shared" si="0"/>
        <v>2014</v>
      </c>
      <c r="J5" s="50">
        <f t="shared" si="0"/>
        <v>2015</v>
      </c>
      <c r="K5" s="50">
        <f t="shared" si="0"/>
        <v>2016</v>
      </c>
      <c r="L5" s="50">
        <f t="shared" si="0"/>
        <v>2017</v>
      </c>
      <c r="M5" s="50">
        <f t="shared" si="0"/>
        <v>2018</v>
      </c>
    </row>
    <row r="6" spans="2:29" s="2" customFormat="1" ht="12.75" customHeight="1">
      <c r="B6" s="22"/>
      <c r="C6" s="22" t="s">
        <v>314</v>
      </c>
      <c r="D6" s="120"/>
      <c r="E6" s="120"/>
      <c r="F6" s="121"/>
      <c r="G6" s="444"/>
      <c r="H6" s="441">
        <f>'Balance Sheet'!G14</f>
        <v>3471</v>
      </c>
      <c r="I6" s="121"/>
      <c r="J6" s="121"/>
      <c r="K6" s="121"/>
      <c r="L6" s="121"/>
      <c r="M6" s="121"/>
    </row>
    <row r="7" spans="2:29" s="2" customFormat="1" ht="12.75" customHeight="1">
      <c r="B7" s="22"/>
      <c r="C7" s="22" t="s">
        <v>313</v>
      </c>
      <c r="D7" s="22"/>
      <c r="E7" s="442">
        <f>'Cash flow statement'!E30</f>
        <v>-615</v>
      </c>
      <c r="F7" s="442">
        <f>'Cash flow statement'!F30</f>
        <v>-744</v>
      </c>
      <c r="G7" s="445">
        <f>'Cash flow statement'!G30</f>
        <v>-766</v>
      </c>
      <c r="H7" s="120">
        <v>749.46</v>
      </c>
      <c r="I7" s="120">
        <v>770.46</v>
      </c>
      <c r="J7" s="120">
        <v>759.98</v>
      </c>
      <c r="K7" s="120">
        <v>693</v>
      </c>
      <c r="L7" s="120">
        <v>683.33</v>
      </c>
      <c r="M7" s="443">
        <f>L7</f>
        <v>683.33</v>
      </c>
    </row>
    <row r="8" spans="2:29" s="2" customFormat="1" ht="12" customHeight="1">
      <c r="B8" s="22" t="s">
        <v>91</v>
      </c>
      <c r="D8" s="22"/>
      <c r="E8" s="619">
        <f>-E7/'Income statement'!E6</f>
        <v>1.2489084743009159E-2</v>
      </c>
      <c r="F8" s="619">
        <f>-F7/'Income statement'!F6</f>
        <v>1.4955675719138842E-2</v>
      </c>
      <c r="G8" s="619">
        <f>-G7/'Income statement'!G6</f>
        <v>1.5106991420964402E-2</v>
      </c>
      <c r="H8" s="619">
        <f>H7/'Income statement'!H6</f>
        <v>1.5269412034120555E-2</v>
      </c>
      <c r="I8" s="619">
        <f>I7/'Income statement'!I6</f>
        <v>1.6017615943082451E-2</v>
      </c>
      <c r="J8" s="619">
        <f>J7/'Income statement'!J6</f>
        <v>1.6122183784751706E-2</v>
      </c>
      <c r="K8" s="619">
        <f>K7/'Income statement'!K6</f>
        <v>1.5001298856458806E-2</v>
      </c>
      <c r="L8" s="619">
        <f>L7/'Income statement'!L6</f>
        <v>1.4645518191224833E-2</v>
      </c>
      <c r="M8" s="619">
        <f>M7/'Income statement'!M6</f>
        <v>1.4500513060618647E-2</v>
      </c>
      <c r="S8" s="19"/>
      <c r="T8" s="19"/>
      <c r="U8" s="19"/>
      <c r="V8" s="19"/>
      <c r="W8" s="19"/>
      <c r="X8" s="19"/>
      <c r="Y8" s="19"/>
      <c r="Z8" s="19"/>
      <c r="AA8" s="19"/>
      <c r="AB8" s="19"/>
      <c r="AC8" s="19"/>
    </row>
    <row r="9" spans="2:29" s="2" customFormat="1" ht="12" customHeight="1">
      <c r="B9" s="22"/>
      <c r="C9" s="1" t="s">
        <v>168</v>
      </c>
      <c r="D9" s="22"/>
      <c r="E9" s="23"/>
      <c r="F9" s="23"/>
      <c r="G9" s="447"/>
      <c r="H9" s="211">
        <v>4</v>
      </c>
      <c r="I9" s="210"/>
      <c r="J9" s="210"/>
      <c r="K9" s="210"/>
      <c r="L9" s="210"/>
      <c r="M9" s="210"/>
      <c r="S9" s="19"/>
      <c r="T9" s="19"/>
      <c r="U9" s="19"/>
      <c r="V9" s="19"/>
      <c r="W9" s="19"/>
      <c r="X9" s="19"/>
      <c r="Y9" s="19"/>
      <c r="Z9" s="19"/>
      <c r="AA9" s="19"/>
      <c r="AB9" s="19"/>
      <c r="AC9" s="19"/>
    </row>
    <row r="10" spans="2:29" s="2" customFormat="1" ht="12.75" customHeight="1">
      <c r="B10" s="22"/>
      <c r="C10" s="22" t="s">
        <v>169</v>
      </c>
      <c r="D10" s="22"/>
      <c r="E10" s="123"/>
      <c r="F10" s="123"/>
      <c r="G10" s="448"/>
      <c r="H10" s="211">
        <v>20</v>
      </c>
      <c r="I10" s="211">
        <v>20</v>
      </c>
      <c r="J10" s="211">
        <v>20</v>
      </c>
      <c r="K10" s="211">
        <v>20</v>
      </c>
      <c r="L10" s="211">
        <v>20</v>
      </c>
      <c r="M10" s="211">
        <v>20</v>
      </c>
      <c r="S10" s="19"/>
      <c r="T10" s="19"/>
      <c r="U10" s="19"/>
      <c r="V10" s="19"/>
      <c r="W10" s="19"/>
      <c r="X10" s="19"/>
      <c r="Y10" s="19"/>
      <c r="Z10" s="19"/>
      <c r="AA10" s="19"/>
      <c r="AB10" s="19"/>
      <c r="AC10" s="19"/>
    </row>
    <row r="11" spans="2:29" s="2" customFormat="1" ht="12.75" customHeight="1">
      <c r="B11" s="22"/>
      <c r="D11" s="77" t="s">
        <v>9</v>
      </c>
      <c r="E11" s="29"/>
      <c r="F11" s="29"/>
      <c r="G11" s="449"/>
      <c r="H11" s="212">
        <f t="shared" ref="H11:M11" si="1">$H$6/$H$9</f>
        <v>867.75</v>
      </c>
      <c r="I11" s="212">
        <f t="shared" si="1"/>
        <v>867.75</v>
      </c>
      <c r="J11" s="212">
        <f t="shared" si="1"/>
        <v>867.75</v>
      </c>
      <c r="K11" s="212">
        <f t="shared" si="1"/>
        <v>867.75</v>
      </c>
      <c r="L11" s="212">
        <f t="shared" si="1"/>
        <v>867.75</v>
      </c>
      <c r="M11" s="212">
        <f t="shared" si="1"/>
        <v>867.75</v>
      </c>
    </row>
    <row r="12" spans="2:29" s="2" customFormat="1" ht="12.75" customHeight="1">
      <c r="D12" s="31" t="str">
        <f>H$5&amp;" CAPEX"</f>
        <v>2013 CAPEX</v>
      </c>
      <c r="E12" s="124"/>
      <c r="F12" s="25"/>
      <c r="G12" s="450"/>
      <c r="H12" s="25">
        <f t="shared" ref="H12:M12" si="2">$H7/H$10</f>
        <v>37.472999999999999</v>
      </c>
      <c r="I12" s="25">
        <f t="shared" si="2"/>
        <v>37.472999999999999</v>
      </c>
      <c r="J12" s="25">
        <f t="shared" si="2"/>
        <v>37.472999999999999</v>
      </c>
      <c r="K12" s="25">
        <f t="shared" si="2"/>
        <v>37.472999999999999</v>
      </c>
      <c r="L12" s="25">
        <f t="shared" si="2"/>
        <v>37.472999999999999</v>
      </c>
      <c r="M12" s="25">
        <f t="shared" si="2"/>
        <v>37.472999999999999</v>
      </c>
    </row>
    <row r="13" spans="2:29" s="2" customFormat="1" ht="12.75" customHeight="1">
      <c r="D13" s="31" t="str">
        <f>I$5&amp;" CAPEX"</f>
        <v>2014 CAPEX</v>
      </c>
      <c r="E13" s="124"/>
      <c r="F13" s="25"/>
      <c r="G13" s="450"/>
      <c r="H13" s="25"/>
      <c r="I13" s="25">
        <f>$I7/I$10</f>
        <v>38.523000000000003</v>
      </c>
      <c r="J13" s="25">
        <f>$I7/J$10</f>
        <v>38.523000000000003</v>
      </c>
      <c r="K13" s="25">
        <f>$I7/K$10</f>
        <v>38.523000000000003</v>
      </c>
      <c r="L13" s="25">
        <f>$I7/L$10</f>
        <v>38.523000000000003</v>
      </c>
      <c r="M13" s="25">
        <f>$I7/M$10</f>
        <v>38.523000000000003</v>
      </c>
    </row>
    <row r="14" spans="2:29" s="2" customFormat="1" ht="12.75" customHeight="1">
      <c r="B14" s="1"/>
      <c r="D14" s="31" t="str">
        <f>J$5&amp;" CAPEX"</f>
        <v>2015 CAPEX</v>
      </c>
      <c r="E14" s="26"/>
      <c r="F14" s="26"/>
      <c r="G14" s="451"/>
      <c r="H14" s="26"/>
      <c r="I14" s="26"/>
      <c r="J14" s="25">
        <f>$J7/J$10</f>
        <v>37.999000000000002</v>
      </c>
      <c r="K14" s="25">
        <f>$J7/K$10</f>
        <v>37.999000000000002</v>
      </c>
      <c r="L14" s="25">
        <f>$J7/L$10</f>
        <v>37.999000000000002</v>
      </c>
      <c r="M14" s="25">
        <f>$J7/M$10</f>
        <v>37.999000000000002</v>
      </c>
    </row>
    <row r="15" spans="2:29" s="2" customFormat="1" ht="12.75" customHeight="1">
      <c r="B15" s="1"/>
      <c r="D15" s="31" t="str">
        <f>K$5&amp;" CAPEX"</f>
        <v>2016 CAPEX</v>
      </c>
      <c r="E15" s="25"/>
      <c r="F15" s="25"/>
      <c r="G15" s="450"/>
      <c r="H15" s="25"/>
      <c r="I15" s="25"/>
      <c r="J15" s="25"/>
      <c r="K15" s="25">
        <f>$K7/K$10</f>
        <v>34.65</v>
      </c>
      <c r="L15" s="25">
        <f>$K7/L$10</f>
        <v>34.65</v>
      </c>
      <c r="M15" s="25">
        <f>$K7/M$10</f>
        <v>34.65</v>
      </c>
    </row>
    <row r="16" spans="2:29" s="2" customFormat="1" ht="12.75" customHeight="1">
      <c r="B16" s="1"/>
      <c r="D16" s="31" t="str">
        <f>L$5&amp;" CAPEX"</f>
        <v>2017 CAPEX</v>
      </c>
      <c r="E16" s="119"/>
      <c r="F16" s="78"/>
      <c r="G16" s="450"/>
      <c r="H16" s="78"/>
      <c r="I16" s="78"/>
      <c r="J16" s="78"/>
      <c r="K16" s="78"/>
      <c r="L16" s="25">
        <f>$L7/L$10</f>
        <v>34.166499999999999</v>
      </c>
      <c r="M16" s="25">
        <f>$L7/M$10</f>
        <v>34.166499999999999</v>
      </c>
    </row>
    <row r="17" spans="2:16" s="2" customFormat="1" ht="12.75" customHeight="1">
      <c r="B17" s="1"/>
      <c r="D17" s="31" t="str">
        <f>M$5&amp;" CAPEX"</f>
        <v>2018 CAPEX</v>
      </c>
      <c r="E17" s="119"/>
      <c r="F17" s="78"/>
      <c r="G17" s="450"/>
      <c r="H17" s="560"/>
      <c r="I17" s="79"/>
      <c r="J17" s="79"/>
      <c r="K17" s="79"/>
      <c r="L17" s="79"/>
      <c r="M17" s="79">
        <f>$M7/M$10</f>
        <v>34.166499999999999</v>
      </c>
    </row>
    <row r="18" spans="2:16" s="2" customFormat="1" ht="12.75" customHeight="1">
      <c r="B18" s="1"/>
      <c r="C18" s="1" t="s">
        <v>92</v>
      </c>
      <c r="D18" s="1"/>
      <c r="E18" s="16">
        <f>'Income statement'!E20</f>
        <v>838</v>
      </c>
      <c r="F18" s="16">
        <f>'Income statement'!F20</f>
        <v>896</v>
      </c>
      <c r="G18" s="452">
        <f>'Income statement'!G20</f>
        <v>897</v>
      </c>
      <c r="H18" s="16">
        <f t="shared" ref="H18:M18" si="3">SUM(H11:H17)</f>
        <v>905.22299999999996</v>
      </c>
      <c r="I18" s="16">
        <f t="shared" si="3"/>
        <v>943.74599999999998</v>
      </c>
      <c r="J18" s="16">
        <f t="shared" si="3"/>
        <v>981.745</v>
      </c>
      <c r="K18" s="16">
        <f t="shared" si="3"/>
        <v>1016.395</v>
      </c>
      <c r="L18" s="16">
        <f t="shared" si="3"/>
        <v>1050.5615</v>
      </c>
      <c r="M18" s="16">
        <f t="shared" si="3"/>
        <v>1084.7280000000001</v>
      </c>
    </row>
    <row r="19" spans="2:16" s="2" customFormat="1" ht="12.75" customHeight="1">
      <c r="B19" s="1"/>
      <c r="C19" s="32" t="s">
        <v>311</v>
      </c>
      <c r="E19" s="617">
        <f>E18/'Income statement'!E6</f>
        <v>1.7017647178279145E-2</v>
      </c>
      <c r="F19" s="617">
        <f>F18/'Income statement'!F6</f>
        <v>1.8011136349930647E-2</v>
      </c>
      <c r="G19" s="618">
        <f>G18/'Income statement'!G6</f>
        <v>1.7690563060842126E-2</v>
      </c>
      <c r="H19" s="617">
        <f>H18/'Income statement'!H6</f>
        <v>1.8442909521205548E-2</v>
      </c>
      <c r="I19" s="617">
        <f>I18/'Income statement'!I6</f>
        <v>1.9620176226955704E-2</v>
      </c>
      <c r="J19" s="617">
        <f>J18/'Income statement'!J6</f>
        <v>2.082669717592708E-2</v>
      </c>
      <c r="K19" s="617">
        <f>K18/'Income statement'!K6</f>
        <v>2.2001796754993433E-2</v>
      </c>
      <c r="L19" s="617">
        <f>L18/'Income statement'!L6</f>
        <v>2.2516233092723058E-2</v>
      </c>
      <c r="M19" s="617">
        <f>M18/'Income statement'!M6</f>
        <v>2.3018325744835942E-2</v>
      </c>
    </row>
    <row r="20" spans="2:16" s="2" customFormat="1" ht="12.75" customHeight="1">
      <c r="B20" s="1"/>
      <c r="C20" s="1" t="s">
        <v>135</v>
      </c>
      <c r="D20" s="1"/>
      <c r="E20" s="580">
        <f>'Cash flow statement'!E10</f>
        <v>88</v>
      </c>
      <c r="F20" s="580">
        <f>'Cash flow statement'!F10</f>
        <v>82</v>
      </c>
      <c r="G20" s="581">
        <f>'Cash flow statement'!G10</f>
        <v>48</v>
      </c>
      <c r="H20" s="16">
        <f>H21*'Income statement'!H6</f>
        <v>46.463999999999999</v>
      </c>
      <c r="I20" s="16">
        <f>I21*'Income statement'!I6</f>
        <v>45.534719999999993</v>
      </c>
      <c r="J20" s="16">
        <f>J21*'Income statement'!J6</f>
        <v>44.624025599999989</v>
      </c>
      <c r="K20" s="16">
        <f>K21*'Income statement'!K6</f>
        <v>43.73154508799999</v>
      </c>
      <c r="L20" s="16">
        <f>L21*'Income statement'!L6</f>
        <v>44.168860538879983</v>
      </c>
      <c r="M20" s="16">
        <f>M21*'Income statement'!M6</f>
        <v>44.610549144268788</v>
      </c>
    </row>
    <row r="21" spans="2:16" s="2" customFormat="1" ht="12.75" customHeight="1">
      <c r="B21" s="1"/>
      <c r="C21" s="584" t="s">
        <v>311</v>
      </c>
      <c r="D21" s="205"/>
      <c r="E21" s="585">
        <f>E20/'Income statement'!E6</f>
        <v>1.7870560282679771E-3</v>
      </c>
      <c r="F21" s="585">
        <f>F20/'Income statement'!F6</f>
        <v>1.6483406034534746E-3</v>
      </c>
      <c r="G21" s="586">
        <f>G20/'Income statement'!G6</f>
        <v>9.4665220392466229E-4</v>
      </c>
      <c r="H21" s="587">
        <f t="shared" ref="H21:M21" si="4">G21</f>
        <v>9.4665220392466229E-4</v>
      </c>
      <c r="I21" s="587">
        <f t="shared" si="4"/>
        <v>9.4665220392466229E-4</v>
      </c>
      <c r="J21" s="587">
        <f t="shared" si="4"/>
        <v>9.4665220392466229E-4</v>
      </c>
      <c r="K21" s="587">
        <f t="shared" si="4"/>
        <v>9.4665220392466229E-4</v>
      </c>
      <c r="L21" s="587">
        <f t="shared" si="4"/>
        <v>9.4665220392466229E-4</v>
      </c>
      <c r="M21" s="587">
        <f t="shared" si="4"/>
        <v>9.4665220392466229E-4</v>
      </c>
    </row>
    <row r="22" spans="2:16" s="2" customFormat="1" ht="12.75" customHeight="1">
      <c r="B22" s="1"/>
      <c r="C22" s="1"/>
      <c r="D22" s="1"/>
      <c r="E22" s="16"/>
      <c r="F22" s="16"/>
      <c r="G22" s="41"/>
      <c r="H22" s="41"/>
      <c r="I22" s="16"/>
      <c r="J22" s="16"/>
      <c r="K22" s="16"/>
      <c r="L22" s="16"/>
      <c r="M22" s="16"/>
    </row>
    <row r="23" spans="2:16" s="33" customFormat="1" ht="21" hidden="1" customHeight="1" outlineLevel="1">
      <c r="B23" s="22" t="s">
        <v>170</v>
      </c>
      <c r="D23" s="22"/>
      <c r="E23" s="23"/>
      <c r="F23" s="23"/>
      <c r="G23" s="23"/>
      <c r="H23" s="582"/>
      <c r="I23" s="582"/>
      <c r="J23" s="582"/>
      <c r="K23" s="582"/>
      <c r="L23" s="582"/>
      <c r="M23" s="582"/>
    </row>
    <row r="24" spans="2:16" s="33" customFormat="1" ht="12.75" hidden="1" customHeight="1" outlineLevel="1">
      <c r="B24" s="22"/>
      <c r="D24" s="77" t="s">
        <v>9</v>
      </c>
      <c r="E24" s="125"/>
      <c r="F24" s="125"/>
      <c r="G24" s="125"/>
      <c r="H24" s="125"/>
      <c r="I24" s="125"/>
      <c r="J24" s="125"/>
      <c r="K24" s="125"/>
      <c r="L24" s="125"/>
      <c r="M24" s="125"/>
    </row>
    <row r="25" spans="2:16" s="33" customFormat="1" ht="12.75" hidden="1" customHeight="1" outlineLevel="1">
      <c r="D25" s="77" t="str">
        <f t="shared" ref="D25:D30" si="5">D12</f>
        <v>2013 CAPEX</v>
      </c>
      <c r="E25" s="119"/>
      <c r="F25" s="78"/>
      <c r="G25" s="78"/>
      <c r="H25" s="125"/>
      <c r="I25" s="125"/>
      <c r="J25" s="125"/>
      <c r="K25" s="125"/>
      <c r="L25" s="125"/>
      <c r="M25" s="125"/>
    </row>
    <row r="26" spans="2:16" s="33" customFormat="1" ht="12.75" hidden="1" customHeight="1" outlineLevel="1">
      <c r="D26" s="77" t="str">
        <f t="shared" si="5"/>
        <v>2014 CAPEX</v>
      </c>
      <c r="E26" s="119"/>
      <c r="F26" s="78"/>
      <c r="G26" s="78"/>
      <c r="H26" s="78"/>
      <c r="I26" s="125"/>
      <c r="J26" s="125"/>
      <c r="K26" s="125"/>
      <c r="L26" s="125"/>
      <c r="M26" s="125"/>
    </row>
    <row r="27" spans="2:16" s="33" customFormat="1" ht="12.75" hidden="1" customHeight="1" outlineLevel="1">
      <c r="D27" s="77" t="str">
        <f t="shared" si="5"/>
        <v>2015 CAPEX</v>
      </c>
      <c r="E27" s="561"/>
      <c r="F27" s="561"/>
      <c r="G27" s="561"/>
      <c r="H27" s="561"/>
      <c r="I27" s="561"/>
      <c r="J27" s="125"/>
      <c r="K27" s="125"/>
      <c r="L27" s="125"/>
      <c r="M27" s="125"/>
    </row>
    <row r="28" spans="2:16" s="33" customFormat="1" ht="12.75" hidden="1" customHeight="1" outlineLevel="1">
      <c r="B28" s="22"/>
      <c r="D28" s="77" t="str">
        <f t="shared" si="5"/>
        <v>2016 CAPEX</v>
      </c>
      <c r="E28" s="78"/>
      <c r="F28" s="78"/>
      <c r="G28" s="78"/>
      <c r="H28" s="78"/>
      <c r="I28" s="78"/>
      <c r="J28" s="78"/>
      <c r="K28" s="125"/>
      <c r="L28" s="125"/>
      <c r="M28" s="125"/>
      <c r="N28" s="125"/>
    </row>
    <row r="29" spans="2:16" s="33" customFormat="1" ht="12.75" hidden="1" customHeight="1" outlineLevel="1">
      <c r="D29" s="77" t="str">
        <f t="shared" si="5"/>
        <v>2017 CAPEX</v>
      </c>
      <c r="E29" s="119"/>
      <c r="F29" s="78"/>
      <c r="G29" s="78"/>
      <c r="H29" s="78"/>
      <c r="I29" s="78"/>
      <c r="J29" s="78"/>
      <c r="K29" s="78"/>
      <c r="L29" s="125"/>
      <c r="M29" s="125"/>
      <c r="N29" s="125"/>
      <c r="O29" s="125"/>
    </row>
    <row r="30" spans="2:16" s="33" customFormat="1" ht="12.75" hidden="1" customHeight="1" outlineLevel="1">
      <c r="D30" s="77" t="str">
        <f t="shared" si="5"/>
        <v>2018 CAPEX</v>
      </c>
      <c r="E30" s="119"/>
      <c r="F30" s="78"/>
      <c r="G30" s="78"/>
      <c r="H30" s="78"/>
      <c r="I30" s="78"/>
      <c r="J30" s="78"/>
      <c r="K30" s="78"/>
      <c r="L30" s="125"/>
      <c r="M30" s="125"/>
      <c r="N30" s="125"/>
      <c r="O30" s="125"/>
      <c r="P30" s="125"/>
    </row>
    <row r="31" spans="2:16" s="33" customFormat="1" ht="21" hidden="1" customHeight="1" outlineLevel="1">
      <c r="B31" s="22" t="s">
        <v>171</v>
      </c>
      <c r="D31" s="213"/>
      <c r="E31" s="23"/>
      <c r="F31" s="23"/>
      <c r="G31" s="23"/>
      <c r="H31" s="582"/>
      <c r="I31" s="582"/>
      <c r="J31" s="582"/>
      <c r="K31" s="582"/>
      <c r="L31" s="582"/>
      <c r="M31" s="582"/>
    </row>
    <row r="32" spans="2:16" s="33" customFormat="1" ht="12.75" hidden="1" customHeight="1" outlineLevel="1">
      <c r="B32" s="22"/>
      <c r="D32" s="77" t="s">
        <v>9</v>
      </c>
      <c r="E32" s="30"/>
      <c r="F32" s="30"/>
      <c r="G32" s="30"/>
      <c r="H32" s="30"/>
      <c r="I32" s="30"/>
      <c r="J32" s="30"/>
      <c r="K32" s="30"/>
      <c r="L32" s="30"/>
      <c r="M32" s="30"/>
    </row>
    <row r="33" spans="2:13" s="33" customFormat="1" ht="12.75" hidden="1" customHeight="1" outlineLevel="1">
      <c r="D33" s="77" t="str">
        <f>D24</f>
        <v>Existing PP&amp;E</v>
      </c>
      <c r="E33" s="119"/>
      <c r="F33" s="78"/>
      <c r="G33" s="78"/>
      <c r="H33" s="78"/>
      <c r="I33" s="78"/>
      <c r="J33" s="78"/>
      <c r="K33" s="78"/>
      <c r="L33" s="78"/>
      <c r="M33" s="78"/>
    </row>
    <row r="34" spans="2:13" s="33" customFormat="1" ht="12.75" hidden="1" customHeight="1" outlineLevel="1">
      <c r="D34" s="77" t="str">
        <f t="shared" ref="D34:D39" si="6">D25</f>
        <v>2013 CAPEX</v>
      </c>
      <c r="E34" s="119"/>
      <c r="F34" s="78"/>
      <c r="G34" s="78"/>
      <c r="H34" s="78"/>
      <c r="I34" s="78"/>
      <c r="J34" s="78"/>
      <c r="K34" s="78"/>
      <c r="L34" s="78"/>
      <c r="M34" s="78"/>
    </row>
    <row r="35" spans="2:13" s="33" customFormat="1" ht="12.75" hidden="1" customHeight="1" outlineLevel="1">
      <c r="D35" s="77" t="str">
        <f t="shared" si="6"/>
        <v>2014 CAPEX</v>
      </c>
      <c r="E35" s="561"/>
      <c r="F35" s="561"/>
      <c r="G35" s="561"/>
      <c r="H35" s="561"/>
      <c r="I35" s="561"/>
      <c r="J35" s="78"/>
      <c r="K35" s="78"/>
      <c r="L35" s="78"/>
      <c r="M35" s="78"/>
    </row>
    <row r="36" spans="2:13" s="33" customFormat="1" ht="12.75" hidden="1" customHeight="1" outlineLevel="1">
      <c r="B36" s="22"/>
      <c r="D36" s="77" t="str">
        <f t="shared" si="6"/>
        <v>2015 CAPEX</v>
      </c>
      <c r="E36" s="78"/>
      <c r="F36" s="78"/>
      <c r="G36" s="78"/>
      <c r="H36" s="78"/>
      <c r="I36" s="78"/>
      <c r="J36" s="78"/>
      <c r="K36" s="78"/>
      <c r="L36" s="78"/>
      <c r="M36" s="78"/>
    </row>
    <row r="37" spans="2:13" s="33" customFormat="1" ht="12.75" hidden="1" customHeight="1" outlineLevel="1">
      <c r="D37" s="77" t="str">
        <f t="shared" si="6"/>
        <v>2016 CAPEX</v>
      </c>
      <c r="E37" s="119"/>
      <c r="F37" s="78"/>
      <c r="G37" s="78"/>
      <c r="H37" s="78"/>
      <c r="I37" s="78"/>
      <c r="J37" s="78"/>
      <c r="K37" s="78"/>
      <c r="L37" s="78"/>
      <c r="M37" s="78"/>
    </row>
    <row r="38" spans="2:13" s="33" customFormat="1" ht="12.75" hidden="1" customHeight="1" outlineLevel="1">
      <c r="D38" s="77" t="str">
        <f t="shared" si="6"/>
        <v>2017 CAPEX</v>
      </c>
      <c r="E38" s="119"/>
      <c r="F38" s="78"/>
      <c r="G38" s="78"/>
      <c r="H38" s="78"/>
      <c r="I38" s="78"/>
      <c r="J38" s="78"/>
      <c r="K38" s="78"/>
      <c r="L38" s="78"/>
      <c r="M38" s="78"/>
    </row>
    <row r="39" spans="2:13" s="33" customFormat="1" ht="12.75" hidden="1" customHeight="1" outlineLevel="1">
      <c r="D39" s="77" t="str">
        <f t="shared" si="6"/>
        <v>2018 CAPEX</v>
      </c>
      <c r="E39" s="119"/>
      <c r="F39" s="78"/>
      <c r="G39" s="78"/>
      <c r="H39" s="78"/>
      <c r="I39" s="78"/>
      <c r="J39" s="78"/>
      <c r="K39" s="78"/>
      <c r="L39" s="78"/>
      <c r="M39" s="78"/>
    </row>
    <row r="40" spans="2:13" s="33" customFormat="1" ht="12.75" hidden="1" customHeight="1" outlineLevel="1">
      <c r="B40" s="22"/>
      <c r="C40" s="22" t="s">
        <v>172</v>
      </c>
      <c r="D40" s="22"/>
      <c r="E40" s="41"/>
      <c r="F40" s="41"/>
      <c r="G40" s="41"/>
      <c r="H40" s="41"/>
      <c r="I40" s="41"/>
      <c r="J40" s="41"/>
      <c r="K40" s="41"/>
      <c r="L40" s="41"/>
      <c r="M40" s="41"/>
    </row>
    <row r="41" spans="2:13" s="33" customFormat="1" ht="12.75" hidden="1" customHeight="1" outlineLevel="1">
      <c r="B41" s="22"/>
      <c r="C41" s="33" t="s">
        <v>173</v>
      </c>
      <c r="E41" s="583"/>
      <c r="F41" s="583"/>
      <c r="G41" s="583"/>
      <c r="H41" s="583"/>
      <c r="I41" s="583"/>
      <c r="J41" s="583"/>
      <c r="K41" s="583"/>
      <c r="L41" s="583"/>
      <c r="M41" s="583"/>
    </row>
    <row r="42" spans="2:13" s="89" customFormat="1" ht="12.75" hidden="1" customHeight="1" outlineLevel="1">
      <c r="D42" s="92" t="s">
        <v>174</v>
      </c>
      <c r="E42" s="215"/>
      <c r="F42" s="215"/>
      <c r="G42" s="215"/>
      <c r="H42" s="215"/>
      <c r="I42" s="215"/>
      <c r="J42" s="215"/>
      <c r="K42" s="215"/>
      <c r="L42" s="215"/>
      <c r="M42" s="215"/>
    </row>
    <row r="43" spans="2:13" s="89" customFormat="1" ht="12.75" hidden="1" customHeight="1" outlineLevel="1">
      <c r="C43" s="57" t="s">
        <v>175</v>
      </c>
      <c r="D43" s="57"/>
      <c r="E43" s="73"/>
      <c r="F43" s="73"/>
      <c r="G43" s="73"/>
      <c r="H43" s="73"/>
      <c r="I43" s="73"/>
      <c r="J43" s="73"/>
      <c r="K43" s="73"/>
      <c r="L43" s="73"/>
      <c r="M43" s="73"/>
    </row>
    <row r="44" spans="2:13" s="19" customFormat="1" ht="12" collapsed="1">
      <c r="E44" s="20"/>
      <c r="F44" s="20"/>
      <c r="G44" s="20"/>
      <c r="H44" s="20"/>
      <c r="I44" s="20"/>
      <c r="J44" s="20"/>
      <c r="K44" s="20"/>
      <c r="L44" s="20"/>
      <c r="M44" s="20"/>
    </row>
    <row r="45" spans="2:13" s="19" customFormat="1" ht="12">
      <c r="E45" s="20"/>
      <c r="F45" s="20"/>
      <c r="G45" s="20"/>
      <c r="H45" s="20"/>
      <c r="I45" s="20"/>
      <c r="J45" s="20"/>
      <c r="K45" s="20"/>
      <c r="L45" s="20"/>
      <c r="M45" s="20"/>
    </row>
    <row r="46" spans="2:13" ht="20.100000000000001" customHeight="1">
      <c r="E46" s="207"/>
      <c r="F46" s="207"/>
      <c r="G46" s="207"/>
      <c r="H46" s="207"/>
      <c r="I46" s="207"/>
      <c r="J46" s="207"/>
      <c r="K46" s="207"/>
      <c r="L46" s="207"/>
      <c r="M46" s="207"/>
    </row>
    <row r="47" spans="2:13" ht="20.100000000000001" customHeight="1">
      <c r="G47" s="8"/>
      <c r="H47" s="8"/>
      <c r="I47" s="8"/>
      <c r="J47" s="8"/>
      <c r="K47" s="8"/>
      <c r="L47" s="8"/>
      <c r="M47" s="8"/>
    </row>
    <row r="48" spans="2:13" ht="20.100000000000001" customHeight="1">
      <c r="G48" s="8"/>
      <c r="H48" s="8"/>
      <c r="I48" s="8"/>
      <c r="J48" s="8"/>
      <c r="K48" s="8"/>
      <c r="L48" s="8"/>
      <c r="M48" s="8"/>
    </row>
  </sheetData>
  <phoneticPr fontId="28" type="noConversion"/>
  <pageMargins left="0.75" right="0.75" top="1" bottom="1" header="0.5" footer="0.5"/>
  <headerFooter alignWithMargins="0"/>
  <drawing r:id="rId1"/>
</worksheet>
</file>

<file path=xl/worksheets/sheet8.xml><?xml version="1.0" encoding="utf-8"?>
<worksheet xmlns="http://schemas.openxmlformats.org/spreadsheetml/2006/main" xmlns:r="http://schemas.openxmlformats.org/officeDocument/2006/relationships">
  <dimension ref="B1:N33"/>
  <sheetViews>
    <sheetView showGridLines="0" workbookViewId="0"/>
  </sheetViews>
  <sheetFormatPr defaultColWidth="9.140625" defaultRowHeight="20.100000000000001" customHeight="1"/>
  <cols>
    <col min="1" max="1" width="3.7109375" style="43" customWidth="1"/>
    <col min="2" max="3" width="2.7109375" style="2" customWidth="1"/>
    <col min="4" max="4" width="28.85546875" style="2" customWidth="1"/>
    <col min="5" max="6" width="9.7109375" style="8" customWidth="1"/>
    <col min="7" max="7" width="9.7109375" style="43" customWidth="1"/>
    <col min="8" max="8" width="9.7109375" style="2" customWidth="1"/>
    <col min="9" max="12" width="9.7109375" style="43" customWidth="1"/>
    <col min="13" max="16384" width="9.140625" style="43"/>
  </cols>
  <sheetData>
    <row r="1" spans="2:14" ht="66" customHeight="1">
      <c r="B1" s="188"/>
      <c r="C1" s="105"/>
      <c r="D1" s="105"/>
      <c r="E1" s="106"/>
      <c r="F1" s="106"/>
      <c r="G1" s="189"/>
      <c r="H1" s="105"/>
      <c r="I1" s="189"/>
      <c r="J1" s="189"/>
      <c r="K1" s="189"/>
      <c r="L1" s="189"/>
    </row>
    <row r="2" spans="2:14" ht="12.75" customHeight="1">
      <c r="B2" s="37" t="s">
        <v>8</v>
      </c>
      <c r="C2" s="37"/>
      <c r="D2" s="37"/>
      <c r="E2" s="38"/>
      <c r="F2" s="38"/>
      <c r="G2" s="44"/>
      <c r="H2" s="37"/>
      <c r="I2" s="44"/>
      <c r="J2" s="44"/>
      <c r="K2" s="44"/>
      <c r="L2" s="44"/>
      <c r="M2" s="44"/>
    </row>
    <row r="3" spans="2:14" ht="12.75" customHeight="1">
      <c r="B3" s="12" t="s">
        <v>21</v>
      </c>
      <c r="C3" s="13"/>
      <c r="D3" s="13"/>
      <c r="E3" s="46" t="s">
        <v>23</v>
      </c>
      <c r="F3" s="46"/>
      <c r="G3" s="53"/>
      <c r="H3" s="54" t="s">
        <v>20</v>
      </c>
      <c r="I3" s="55"/>
      <c r="J3" s="51"/>
      <c r="K3" s="55"/>
      <c r="L3" s="55"/>
      <c r="M3" s="55"/>
    </row>
    <row r="4" spans="2:14" ht="12.75" customHeight="1">
      <c r="B4" s="12"/>
      <c r="C4" s="13"/>
      <c r="D4" s="13"/>
      <c r="E4" s="56"/>
      <c r="F4" s="56"/>
      <c r="G4" s="47"/>
      <c r="H4" s="47"/>
      <c r="I4" s="47"/>
      <c r="J4" s="47"/>
      <c r="K4" s="47"/>
      <c r="L4" s="47"/>
      <c r="M4" s="47"/>
    </row>
    <row r="5" spans="2:14" ht="12.75" customHeight="1">
      <c r="B5" s="48" t="s">
        <v>309</v>
      </c>
      <c r="C5" s="49"/>
      <c r="D5" s="49"/>
      <c r="E5" s="191">
        <v>2010</v>
      </c>
      <c r="F5" s="191">
        <f t="shared" ref="F5:M5" si="0">E5+1</f>
        <v>2011</v>
      </c>
      <c r="G5" s="185">
        <f t="shared" si="0"/>
        <v>2012</v>
      </c>
      <c r="H5" s="50">
        <f t="shared" si="0"/>
        <v>2013</v>
      </c>
      <c r="I5" s="50">
        <f t="shared" si="0"/>
        <v>2014</v>
      </c>
      <c r="J5" s="50">
        <f t="shared" si="0"/>
        <v>2015</v>
      </c>
      <c r="K5" s="50">
        <f t="shared" si="0"/>
        <v>2016</v>
      </c>
      <c r="L5" s="50">
        <f t="shared" si="0"/>
        <v>2017</v>
      </c>
      <c r="M5" s="50">
        <f t="shared" si="0"/>
        <v>2018</v>
      </c>
      <c r="N5" s="61"/>
    </row>
    <row r="6" spans="2:14" s="45" customFormat="1" ht="21" customHeight="1">
      <c r="B6" s="57" t="s">
        <v>99</v>
      </c>
      <c r="C6" s="59"/>
      <c r="D6" s="59"/>
      <c r="E6" s="60"/>
      <c r="F6" s="60"/>
      <c r="G6" s="60"/>
      <c r="H6" s="61"/>
      <c r="I6" s="61"/>
      <c r="J6" s="61"/>
      <c r="K6" s="61"/>
      <c r="L6" s="61"/>
      <c r="M6" s="61"/>
    </row>
    <row r="7" spans="2:14" s="2" customFormat="1" ht="12.75" customHeight="1">
      <c r="C7" s="2" t="s">
        <v>100</v>
      </c>
      <c r="F7" s="27"/>
      <c r="G7" s="27"/>
      <c r="H7" s="602">
        <f t="shared" ref="H7:M7" si="1">G27</f>
        <v>1199</v>
      </c>
      <c r="I7" s="602">
        <f t="shared" ca="1" si="1"/>
        <v>50</v>
      </c>
      <c r="J7" s="602">
        <f t="shared" ca="1" si="1"/>
        <v>591.13077373683154</v>
      </c>
      <c r="K7" s="602">
        <f t="shared" ca="1" si="1"/>
        <v>1633.4154752195707</v>
      </c>
      <c r="L7" s="602">
        <f t="shared" ca="1" si="1"/>
        <v>2754.6455987595573</v>
      </c>
      <c r="M7" s="602">
        <f t="shared" ca="1" si="1"/>
        <v>3637.2532061897373</v>
      </c>
    </row>
    <row r="8" spans="2:14" s="2" customFormat="1" ht="12.75" customHeight="1">
      <c r="C8" s="2" t="s">
        <v>68</v>
      </c>
      <c r="E8" s="33"/>
      <c r="F8" s="27"/>
      <c r="G8" s="27"/>
      <c r="H8" s="602">
        <f ca="1">'Cash flow statement'!H52</f>
        <v>777.42856928010781</v>
      </c>
      <c r="I8" s="602">
        <f ca="1">'Cash flow statement'!I52</f>
        <v>822.70220445672385</v>
      </c>
      <c r="J8" s="602">
        <f ca="1">'Cash flow statement'!J52</f>
        <v>1042.2847014827391</v>
      </c>
      <c r="K8" s="602">
        <f ca="1">'Cash flow statement'!K52</f>
        <v>1121.2301235399866</v>
      </c>
      <c r="L8" s="602">
        <f ca="1">'Cash flow statement'!L52</f>
        <v>882.60760743017988</v>
      </c>
      <c r="M8" s="602">
        <f ca="1">'Cash flow statement'!M52</f>
        <v>1133.409929101023</v>
      </c>
    </row>
    <row r="9" spans="2:14" s="2" customFormat="1" ht="12.75" customHeight="1">
      <c r="C9" s="2" t="s">
        <v>101</v>
      </c>
      <c r="E9" s="33"/>
      <c r="F9" s="232"/>
      <c r="G9" s="232"/>
      <c r="H9" s="232">
        <v>-50</v>
      </c>
      <c r="I9" s="232">
        <v>-50</v>
      </c>
      <c r="J9" s="232">
        <v>-50</v>
      </c>
      <c r="K9" s="232">
        <v>-50</v>
      </c>
      <c r="L9" s="232">
        <v>-50</v>
      </c>
      <c r="M9" s="232">
        <v>-50</v>
      </c>
    </row>
    <row r="10" spans="2:14" s="2" customFormat="1" ht="12.75" customHeight="1">
      <c r="C10" s="1" t="s">
        <v>102</v>
      </c>
      <c r="D10" s="1"/>
      <c r="E10" s="41"/>
      <c r="F10" s="16"/>
      <c r="G10" s="16"/>
      <c r="H10" s="16">
        <f t="shared" ref="H10:M10" ca="1" si="2">SUM(H7:H9)</f>
        <v>1926.4285692801077</v>
      </c>
      <c r="I10" s="16">
        <f t="shared" ca="1" si="2"/>
        <v>822.70220445672385</v>
      </c>
      <c r="J10" s="16">
        <f t="shared" ca="1" si="2"/>
        <v>1583.4154752195707</v>
      </c>
      <c r="K10" s="16">
        <f t="shared" ca="1" si="2"/>
        <v>2704.6455987595573</v>
      </c>
      <c r="L10" s="16">
        <f t="shared" ca="1" si="2"/>
        <v>3587.2532061897373</v>
      </c>
      <c r="M10" s="16">
        <f t="shared" ca="1" si="2"/>
        <v>4720.6631352907607</v>
      </c>
    </row>
    <row r="11" spans="2:14" s="2" customFormat="1" ht="21" customHeight="1">
      <c r="B11" s="1" t="s">
        <v>114</v>
      </c>
      <c r="E11" s="84"/>
      <c r="F11" s="15"/>
      <c r="G11" s="15"/>
      <c r="H11" s="15"/>
      <c r="I11" s="15"/>
      <c r="J11" s="15"/>
      <c r="K11" s="15"/>
      <c r="L11" s="15"/>
      <c r="M11" s="15"/>
    </row>
    <row r="12" spans="2:14" s="2" customFormat="1" ht="12.75" customHeight="1">
      <c r="B12" s="1"/>
      <c r="C12" s="2" t="s">
        <v>184</v>
      </c>
      <c r="E12" s="33"/>
      <c r="F12" s="18"/>
      <c r="G12" s="18"/>
      <c r="H12" s="603">
        <f t="shared" ref="H12:M12" si="3">G15</f>
        <v>523</v>
      </c>
      <c r="I12" s="603">
        <f t="shared" ca="1" si="3"/>
        <v>0</v>
      </c>
      <c r="J12" s="603">
        <f t="shared" ca="1" si="3"/>
        <v>0</v>
      </c>
      <c r="K12" s="603">
        <f t="shared" ca="1" si="3"/>
        <v>0</v>
      </c>
      <c r="L12" s="603">
        <f t="shared" ca="1" si="3"/>
        <v>0</v>
      </c>
      <c r="M12" s="603">
        <f t="shared" ca="1" si="3"/>
        <v>0</v>
      </c>
    </row>
    <row r="13" spans="2:14" s="2" customFormat="1" ht="12.75" customHeight="1">
      <c r="B13" s="1"/>
      <c r="C13" s="2" t="s">
        <v>104</v>
      </c>
      <c r="E13" s="83"/>
      <c r="F13" s="117"/>
      <c r="G13" s="117"/>
      <c r="H13" s="117">
        <v>0</v>
      </c>
      <c r="I13" s="117">
        <v>0</v>
      </c>
      <c r="J13" s="117">
        <v>0</v>
      </c>
      <c r="K13" s="117">
        <v>0</v>
      </c>
      <c r="L13" s="117">
        <v>0</v>
      </c>
      <c r="M13" s="117">
        <v>0</v>
      </c>
      <c r="N13" s="21" t="s">
        <v>306</v>
      </c>
    </row>
    <row r="14" spans="2:14" s="2" customFormat="1" ht="12.75" customHeight="1">
      <c r="B14" s="1"/>
      <c r="C14" s="2" t="s">
        <v>105</v>
      </c>
      <c r="E14" s="72"/>
      <c r="F14" s="118"/>
      <c r="G14" s="118"/>
      <c r="H14" s="76">
        <f t="shared" ref="H14:M14" ca="1" si="4">-MIN(H10,H12)*$N$14</f>
        <v>-523</v>
      </c>
      <c r="I14" s="76">
        <f t="shared" ca="1" si="4"/>
        <v>0</v>
      </c>
      <c r="J14" s="76">
        <f t="shared" ca="1" si="4"/>
        <v>0</v>
      </c>
      <c r="K14" s="76">
        <f t="shared" ca="1" si="4"/>
        <v>0</v>
      </c>
      <c r="L14" s="76">
        <f t="shared" ca="1" si="4"/>
        <v>0</v>
      </c>
      <c r="M14" s="76">
        <f t="shared" ca="1" si="4"/>
        <v>0</v>
      </c>
      <c r="N14" s="544">
        <v>1</v>
      </c>
    </row>
    <row r="15" spans="2:14" s="2" customFormat="1" ht="12.75" customHeight="1">
      <c r="C15" s="1" t="s">
        <v>185</v>
      </c>
      <c r="D15" s="3"/>
      <c r="E15" s="41"/>
      <c r="F15" s="41"/>
      <c r="G15" s="233">
        <f>'Balance Sheet'!G23</f>
        <v>523</v>
      </c>
      <c r="H15" s="16">
        <f t="shared" ref="H15:M15" ca="1" si="5">SUM(H12:H14)</f>
        <v>0</v>
      </c>
      <c r="I15" s="16">
        <f t="shared" ca="1" si="5"/>
        <v>0</v>
      </c>
      <c r="J15" s="16">
        <f t="shared" ca="1" si="5"/>
        <v>0</v>
      </c>
      <c r="K15" s="16">
        <f t="shared" ca="1" si="5"/>
        <v>0</v>
      </c>
      <c r="L15" s="16">
        <f t="shared" ca="1" si="5"/>
        <v>0</v>
      </c>
      <c r="M15" s="16">
        <f t="shared" ca="1" si="5"/>
        <v>0</v>
      </c>
    </row>
    <row r="16" spans="2:14" s="2" customFormat="1" ht="12.75" customHeight="1">
      <c r="B16" s="1"/>
      <c r="C16" s="2" t="s">
        <v>117</v>
      </c>
      <c r="D16" s="128"/>
      <c r="E16" s="33"/>
      <c r="F16" s="18"/>
      <c r="G16" s="18"/>
      <c r="H16" s="18">
        <f t="shared" ref="H16:M16" ca="1" si="6">AVERAGE(H12,H15)*H17</f>
        <v>7.8449999999999998</v>
      </c>
      <c r="I16" s="18">
        <f t="shared" ca="1" si="6"/>
        <v>0</v>
      </c>
      <c r="J16" s="18">
        <f t="shared" ca="1" si="6"/>
        <v>0</v>
      </c>
      <c r="K16" s="18">
        <f t="shared" ca="1" si="6"/>
        <v>0</v>
      </c>
      <c r="L16" s="18">
        <f t="shared" ca="1" si="6"/>
        <v>0</v>
      </c>
      <c r="M16" s="18">
        <f t="shared" ca="1" si="6"/>
        <v>0</v>
      </c>
    </row>
    <row r="17" spans="2:14" s="2" customFormat="1" ht="12.75" customHeight="1">
      <c r="B17" s="1"/>
      <c r="D17" s="85" t="s">
        <v>113</v>
      </c>
      <c r="E17" s="33"/>
      <c r="F17" s="129"/>
      <c r="G17" s="129"/>
      <c r="H17" s="234">
        <v>0.03</v>
      </c>
      <c r="I17" s="234">
        <v>0.03</v>
      </c>
      <c r="J17" s="234">
        <v>0.03</v>
      </c>
      <c r="K17" s="234">
        <v>0.03</v>
      </c>
      <c r="L17" s="234">
        <v>0.03</v>
      </c>
      <c r="M17" s="234">
        <v>0.03</v>
      </c>
    </row>
    <row r="18" spans="2:14" s="2" customFormat="1" ht="21" customHeight="1">
      <c r="B18" s="1" t="s">
        <v>109</v>
      </c>
      <c r="E18" s="84"/>
      <c r="F18" s="15"/>
      <c r="G18" s="15"/>
      <c r="H18" s="15"/>
      <c r="I18" s="15"/>
      <c r="J18" s="15"/>
      <c r="K18" s="15"/>
      <c r="L18" s="15"/>
      <c r="M18" s="15"/>
    </row>
    <row r="19" spans="2:14" s="2" customFormat="1" ht="12.75" customHeight="1">
      <c r="B19" s="1"/>
      <c r="C19" s="2" t="s">
        <v>103</v>
      </c>
      <c r="E19" s="33"/>
      <c r="F19" s="18"/>
      <c r="G19" s="18"/>
      <c r="H19" s="603">
        <f t="shared" ref="H19:M19" si="7">G22</f>
        <v>1685</v>
      </c>
      <c r="I19" s="603">
        <f t="shared" ca="1" si="7"/>
        <v>281.57143071989231</v>
      </c>
      <c r="J19" s="603">
        <f t="shared" ca="1" si="7"/>
        <v>0</v>
      </c>
      <c r="K19" s="603">
        <f t="shared" ca="1" si="7"/>
        <v>0</v>
      </c>
      <c r="L19" s="603">
        <f t="shared" ca="1" si="7"/>
        <v>0</v>
      </c>
      <c r="M19" s="603">
        <f t="shared" ca="1" si="7"/>
        <v>0</v>
      </c>
    </row>
    <row r="20" spans="2:14" s="2" customFormat="1" ht="12.75" customHeight="1">
      <c r="B20" s="1"/>
      <c r="C20" s="2" t="s">
        <v>104</v>
      </c>
      <c r="E20" s="83"/>
      <c r="F20" s="117"/>
      <c r="G20" s="117"/>
      <c r="H20" s="117">
        <v>0</v>
      </c>
      <c r="I20" s="117">
        <v>0</v>
      </c>
      <c r="J20" s="117">
        <v>0</v>
      </c>
      <c r="K20" s="117">
        <v>0</v>
      </c>
      <c r="L20" s="117">
        <v>0</v>
      </c>
      <c r="M20" s="117">
        <v>0</v>
      </c>
      <c r="N20" s="21" t="s">
        <v>306</v>
      </c>
    </row>
    <row r="21" spans="2:14" s="2" customFormat="1" ht="12.75" customHeight="1">
      <c r="B21" s="1"/>
      <c r="C21" s="2" t="s">
        <v>105</v>
      </c>
      <c r="E21" s="72"/>
      <c r="F21" s="118"/>
      <c r="G21" s="118"/>
      <c r="H21" s="76">
        <f t="shared" ref="H21:M21" ca="1" si="8">-MIN(H10+H14,H19)*$N$21</f>
        <v>-1403.4285692801077</v>
      </c>
      <c r="I21" s="76">
        <f t="shared" ca="1" si="8"/>
        <v>-281.57143071989231</v>
      </c>
      <c r="J21" s="76">
        <f t="shared" ca="1" si="8"/>
        <v>0</v>
      </c>
      <c r="K21" s="76">
        <f t="shared" ca="1" si="8"/>
        <v>0</v>
      </c>
      <c r="L21" s="76">
        <f t="shared" ca="1" si="8"/>
        <v>0</v>
      </c>
      <c r="M21" s="76">
        <f t="shared" ca="1" si="8"/>
        <v>0</v>
      </c>
      <c r="N21" s="544">
        <v>1</v>
      </c>
    </row>
    <row r="22" spans="2:14" s="2" customFormat="1" ht="12.75" customHeight="1">
      <c r="C22" s="1" t="s">
        <v>106</v>
      </c>
      <c r="D22" s="3"/>
      <c r="E22" s="41"/>
      <c r="F22" s="41"/>
      <c r="G22" s="233">
        <f>'Balance Sheet'!G31</f>
        <v>1685</v>
      </c>
      <c r="H22" s="16">
        <f t="shared" ref="H22:M22" ca="1" si="9">SUM(H19:H21)</f>
        <v>281.57143071989231</v>
      </c>
      <c r="I22" s="16">
        <f t="shared" ca="1" si="9"/>
        <v>0</v>
      </c>
      <c r="J22" s="16">
        <f t="shared" ca="1" si="9"/>
        <v>0</v>
      </c>
      <c r="K22" s="16">
        <f t="shared" ca="1" si="9"/>
        <v>0</v>
      </c>
      <c r="L22" s="16">
        <f t="shared" ca="1" si="9"/>
        <v>0</v>
      </c>
      <c r="M22" s="16">
        <f t="shared" ca="1" si="9"/>
        <v>0</v>
      </c>
    </row>
    <row r="23" spans="2:14" s="2" customFormat="1" ht="12.75" customHeight="1">
      <c r="B23" s="1"/>
      <c r="C23" s="2" t="s">
        <v>107</v>
      </c>
      <c r="D23" s="128"/>
      <c r="E23" s="33"/>
      <c r="F23" s="18"/>
      <c r="G23" s="18"/>
      <c r="H23" s="18">
        <f t="shared" ref="H23:M23" ca="1" si="10">AVERAGE(H19,H22)*H24</f>
        <v>68.830000075196239</v>
      </c>
      <c r="I23" s="18">
        <f t="shared" ca="1" si="10"/>
        <v>9.8550000751962319</v>
      </c>
      <c r="J23" s="18">
        <f t="shared" ca="1" si="10"/>
        <v>0</v>
      </c>
      <c r="K23" s="18">
        <f t="shared" ca="1" si="10"/>
        <v>0</v>
      </c>
      <c r="L23" s="18">
        <f t="shared" ca="1" si="10"/>
        <v>0</v>
      </c>
      <c r="M23" s="18">
        <f t="shared" ca="1" si="10"/>
        <v>0</v>
      </c>
    </row>
    <row r="24" spans="2:14" s="2" customFormat="1" ht="12.75" customHeight="1">
      <c r="B24" s="1"/>
      <c r="D24" s="85" t="s">
        <v>108</v>
      </c>
      <c r="E24" s="33"/>
      <c r="F24" s="129"/>
      <c r="G24" s="129"/>
      <c r="H24" s="234">
        <v>7.0000000000000007E-2</v>
      </c>
      <c r="I24" s="234">
        <v>7.0000000000000007E-2</v>
      </c>
      <c r="J24" s="234">
        <v>7.0000000000000007E-2</v>
      </c>
      <c r="K24" s="234">
        <v>7.0000000000000007E-2</v>
      </c>
      <c r="L24" s="234">
        <v>7.0000000000000007E-2</v>
      </c>
      <c r="M24" s="234">
        <v>7.0000000000000007E-2</v>
      </c>
    </row>
    <row r="25" spans="2:14" ht="20.100000000000001" customHeight="1">
      <c r="B25" s="72"/>
      <c r="C25" s="22" t="s">
        <v>110</v>
      </c>
      <c r="D25" s="33"/>
      <c r="E25" s="34"/>
      <c r="F25" s="86"/>
      <c r="G25" s="86"/>
      <c r="H25" s="86">
        <f t="shared" ref="H25:M25" ca="1" si="11">H14+H21</f>
        <v>-1926.4285692801077</v>
      </c>
      <c r="I25" s="86">
        <f t="shared" ca="1" si="11"/>
        <v>-281.57143071989231</v>
      </c>
      <c r="J25" s="86">
        <f t="shared" ca="1" si="11"/>
        <v>0</v>
      </c>
      <c r="K25" s="86">
        <f t="shared" ca="1" si="11"/>
        <v>0</v>
      </c>
      <c r="L25" s="86">
        <f t="shared" ca="1" si="11"/>
        <v>0</v>
      </c>
      <c r="M25" s="86">
        <f t="shared" ca="1" si="11"/>
        <v>0</v>
      </c>
    </row>
    <row r="26" spans="2:14" ht="20.100000000000001" customHeight="1">
      <c r="C26" s="1" t="s">
        <v>111</v>
      </c>
      <c r="E26" s="34"/>
      <c r="F26" s="235"/>
      <c r="G26" s="235"/>
      <c r="H26" s="235">
        <f t="shared" ref="H26:M26" ca="1" si="12">H16+H23</f>
        <v>76.675000075196238</v>
      </c>
      <c r="I26" s="235">
        <f t="shared" ca="1" si="12"/>
        <v>9.8550000751962319</v>
      </c>
      <c r="J26" s="235">
        <f t="shared" ca="1" si="12"/>
        <v>0</v>
      </c>
      <c r="K26" s="235">
        <f t="shared" ca="1" si="12"/>
        <v>0</v>
      </c>
      <c r="L26" s="235">
        <f t="shared" ca="1" si="12"/>
        <v>0</v>
      </c>
      <c r="M26" s="235">
        <f t="shared" ca="1" si="12"/>
        <v>0</v>
      </c>
    </row>
    <row r="27" spans="2:14" ht="20.100000000000001" customHeight="1">
      <c r="C27" s="1" t="s">
        <v>112</v>
      </c>
      <c r="E27" s="35"/>
      <c r="F27" s="35"/>
      <c r="G27" s="236">
        <f>'Balance Sheet'!G8</f>
        <v>1199</v>
      </c>
      <c r="H27" s="39">
        <f t="shared" ref="H27:M27" ca="1" si="13">H7+H8+H25</f>
        <v>50</v>
      </c>
      <c r="I27" s="39">
        <f t="shared" ca="1" si="13"/>
        <v>591.13077373683154</v>
      </c>
      <c r="J27" s="39">
        <f t="shared" ca="1" si="13"/>
        <v>1633.4154752195707</v>
      </c>
      <c r="K27" s="39">
        <f t="shared" ca="1" si="13"/>
        <v>2754.6455987595573</v>
      </c>
      <c r="L27" s="39">
        <f t="shared" ca="1" si="13"/>
        <v>3637.2532061897373</v>
      </c>
      <c r="M27" s="39">
        <f t="shared" ca="1" si="13"/>
        <v>4770.6631352907607</v>
      </c>
    </row>
    <row r="28" spans="2:14" ht="12">
      <c r="C28" s="2" t="s">
        <v>17</v>
      </c>
      <c r="D28" s="125"/>
      <c r="G28" s="8"/>
      <c r="H28" s="18">
        <f t="shared" ref="H28:M28" ca="1" si="14">AVERAGE(H24,H27)*H29</f>
        <v>0.25035000000000002</v>
      </c>
      <c r="I28" s="18">
        <f t="shared" ca="1" si="14"/>
        <v>2.9560038686841579</v>
      </c>
      <c r="J28" s="18">
        <f t="shared" ca="1" si="14"/>
        <v>8.1674273760978533</v>
      </c>
      <c r="K28" s="18">
        <f t="shared" ca="1" si="14"/>
        <v>13.773577993797787</v>
      </c>
      <c r="L28" s="18">
        <f t="shared" ca="1" si="14"/>
        <v>18.186616030948688</v>
      </c>
      <c r="M28" s="18">
        <f t="shared" ca="1" si="14"/>
        <v>23.853665676453801</v>
      </c>
    </row>
    <row r="29" spans="2:14" ht="12">
      <c r="D29" s="87" t="s">
        <v>113</v>
      </c>
      <c r="F29" s="130"/>
      <c r="G29" s="130"/>
      <c r="H29" s="130">
        <v>0.01</v>
      </c>
      <c r="I29" s="130">
        <v>0.01</v>
      </c>
      <c r="J29" s="130">
        <v>0.01</v>
      </c>
      <c r="K29" s="130">
        <v>0.01</v>
      </c>
      <c r="L29" s="130">
        <v>0.01</v>
      </c>
      <c r="M29" s="130">
        <v>0.01</v>
      </c>
    </row>
    <row r="30" spans="2:14" ht="20.100000000000001" customHeight="1">
      <c r="B30" s="198"/>
      <c r="C30" s="205" t="s">
        <v>14</v>
      </c>
      <c r="D30" s="198"/>
      <c r="E30" s="206"/>
      <c r="F30" s="206"/>
      <c r="G30" s="206"/>
      <c r="H30" s="206" t="str">
        <f ca="1">IF(ROUND(H27-'Balance Sheet'!H8,1)=0,"Y","N")</f>
        <v>Y</v>
      </c>
      <c r="I30" s="206" t="str">
        <f ca="1">IF(ROUND(I27-'Balance Sheet'!I8,1)=0,"Y","N")</f>
        <v>Y</v>
      </c>
      <c r="J30" s="206" t="str">
        <f ca="1">IF(ROUND(J27-'Balance Sheet'!J8,1)=0,"Y","N")</f>
        <v>Y</v>
      </c>
      <c r="K30" s="206" t="str">
        <f ca="1">IF(ROUND(K27-'Balance Sheet'!K8,1)=0,"Y","N")</f>
        <v>Y</v>
      </c>
      <c r="L30" s="206" t="str">
        <f ca="1">IF(ROUND(L27-'Balance Sheet'!L8,1)=0,"Y","N")</f>
        <v>Y</v>
      </c>
      <c r="M30" s="206" t="str">
        <f ca="1">IF(ROUND(M27-'Balance Sheet'!M8,1)=0,"Y","N")</f>
        <v>Y</v>
      </c>
    </row>
    <row r="32" spans="2:14" ht="20.100000000000001" customHeight="1">
      <c r="G32" s="237"/>
    </row>
    <row r="33" spans="7:7" ht="20.100000000000001" customHeight="1">
      <c r="G33" s="238"/>
    </row>
  </sheetData>
  <phoneticPr fontId="28" type="noConversion"/>
  <pageMargins left="0.75" right="0.75" top="1" bottom="1" header="0.5" footer="0.5"/>
  <pageSetup orientation="portrait" verticalDpi="0" r:id="rId1"/>
  <headerFooter alignWithMargins="0"/>
  <drawing r:id="rId2"/>
</worksheet>
</file>

<file path=xl/worksheets/sheet9.xml><?xml version="1.0" encoding="utf-8"?>
<worksheet xmlns="http://schemas.openxmlformats.org/spreadsheetml/2006/main" xmlns:r="http://schemas.openxmlformats.org/officeDocument/2006/relationships">
  <dimension ref="A1"/>
  <sheetViews>
    <sheetView showGridLines="0" view="pageBreakPreview" zoomScale="60" zoomScaleNormal="100" workbookViewId="0"/>
  </sheetViews>
  <sheetFormatPr defaultRowHeight="12.75"/>
  <sheetData/>
  <phoneticPr fontId="28" type="noConversion"/>
  <pageMargins left="0.75" right="0.75" top="1" bottom="1" header="0.5" footer="0.5"/>
  <pageSetup orientation="portrait" r:id="rId1"/>
  <headerFooter alignWithMargins="0"/>
</worksheet>
</file>

<file path=xl/worksheets/sheet10.xml><?xml version="1.0" encoding="utf-8"?>
<worksheet xmlns="http://schemas.openxmlformats.org/spreadsheetml/2006/main" xmlns:r="http://schemas.openxmlformats.org/officeDocument/2006/relationships">
  <sheetPr enableFormatConditionsCalculation="0">
    <tabColor indexed="16"/>
  </sheetPr>
  <dimension ref="B1:Q54"/>
  <sheetViews>
    <sheetView showGridLines="0" zoomScale="85" zoomScaleNormal="85" workbookViewId="0"/>
  </sheetViews>
  <sheetFormatPr defaultColWidth="9.140625" defaultRowHeight="12"/>
  <cols>
    <col min="1" max="1" width="3.7109375" style="257" customWidth="1"/>
    <col min="2" max="3" width="2.7109375" style="257" customWidth="1"/>
    <col min="4" max="4" width="43.28515625" style="257" customWidth="1"/>
    <col min="5" max="14" width="9.7109375" style="257" customWidth="1"/>
    <col min="15" max="15" width="9.140625" style="257"/>
    <col min="16" max="16" width="9.42578125" style="257" bestFit="1" customWidth="1"/>
    <col min="17" max="16384" width="9.140625" style="257"/>
  </cols>
  <sheetData>
    <row r="1" spans="2:14" s="241" customFormat="1" ht="66" customHeight="1">
      <c r="B1" s="239"/>
      <c r="C1" s="239"/>
      <c r="D1" s="240"/>
      <c r="E1" s="240"/>
      <c r="F1" s="239"/>
      <c r="G1" s="239"/>
      <c r="H1" s="239"/>
      <c r="I1" s="239"/>
      <c r="J1" s="239"/>
      <c r="K1" s="239"/>
      <c r="L1" s="239"/>
      <c r="M1" s="239"/>
      <c r="N1" s="289"/>
    </row>
    <row r="2" spans="2:14" s="241" customFormat="1" ht="12.75" customHeight="1">
      <c r="B2" s="242" t="s">
        <v>186</v>
      </c>
      <c r="C2" s="243"/>
      <c r="D2" s="242"/>
      <c r="E2" s="244"/>
      <c r="F2" s="244"/>
      <c r="G2" s="242"/>
      <c r="H2" s="242"/>
      <c r="I2" s="242"/>
      <c r="J2" s="242"/>
      <c r="K2" s="242"/>
      <c r="L2" s="242"/>
      <c r="M2" s="290"/>
      <c r="N2" s="290"/>
    </row>
    <row r="3" spans="2:14" s="241" customFormat="1" ht="12.75" customHeight="1">
      <c r="B3" s="245" t="s">
        <v>187</v>
      </c>
      <c r="C3" s="246"/>
      <c r="D3" s="247"/>
      <c r="E3" s="248" t="s">
        <v>23</v>
      </c>
      <c r="F3" s="248"/>
      <c r="G3" s="249"/>
      <c r="H3" s="607"/>
      <c r="I3" s="520"/>
      <c r="J3" s="521" t="s">
        <v>20</v>
      </c>
      <c r="K3" s="520"/>
      <c r="L3" s="520"/>
      <c r="M3" s="295"/>
      <c r="N3" s="295"/>
    </row>
    <row r="4" spans="2:14" s="241" customFormat="1" ht="12.75" customHeight="1">
      <c r="B4" s="245"/>
      <c r="C4" s="246"/>
      <c r="D4" s="247"/>
      <c r="E4" s="250"/>
      <c r="F4" s="250"/>
      <c r="G4" s="608"/>
      <c r="H4" s="251"/>
      <c r="I4" s="251"/>
      <c r="J4" s="251"/>
      <c r="K4" s="251"/>
      <c r="L4" s="251"/>
      <c r="M4" s="296"/>
      <c r="N4" s="296"/>
    </row>
    <row r="5" spans="2:14" s="241" customFormat="1" ht="12.75" customHeight="1">
      <c r="B5" s="252" t="s">
        <v>309</v>
      </c>
      <c r="C5" s="253"/>
      <c r="D5" s="252"/>
      <c r="E5" s="254">
        <f>'[1]Income Statement'!D5</f>
        <v>2010</v>
      </c>
      <c r="F5" s="254">
        <f t="shared" ref="F5:L5" si="0">E5+1</f>
        <v>2011</v>
      </c>
      <c r="G5" s="609">
        <f t="shared" si="0"/>
        <v>2012</v>
      </c>
      <c r="H5" s="255">
        <f t="shared" si="0"/>
        <v>2013</v>
      </c>
      <c r="I5" s="255">
        <f t="shared" si="0"/>
        <v>2014</v>
      </c>
      <c r="J5" s="255">
        <f t="shared" si="0"/>
        <v>2015</v>
      </c>
      <c r="K5" s="255">
        <f t="shared" si="0"/>
        <v>2016</v>
      </c>
      <c r="L5" s="255">
        <f t="shared" si="0"/>
        <v>2017</v>
      </c>
      <c r="M5" s="514"/>
      <c r="N5" s="514"/>
    </row>
    <row r="6" spans="2:14" ht="21" customHeight="1">
      <c r="B6" s="256" t="s">
        <v>188</v>
      </c>
      <c r="C6" s="241"/>
      <c r="E6" s="258"/>
      <c r="F6" s="258"/>
      <c r="G6" s="610"/>
      <c r="H6" s="258"/>
      <c r="I6" s="258"/>
      <c r="J6" s="258"/>
      <c r="K6" s="258"/>
      <c r="L6" s="258"/>
      <c r="M6" s="515"/>
      <c r="N6" s="515"/>
    </row>
    <row r="7" spans="2:14" ht="12.75" customHeight="1">
      <c r="B7" s="256"/>
      <c r="C7" s="259" t="s">
        <v>1</v>
      </c>
      <c r="E7" s="258"/>
      <c r="F7" s="258"/>
      <c r="G7" s="611">
        <f>'Income statement'!G22</f>
        <v>2179</v>
      </c>
      <c r="H7" s="479">
        <f>'Income statement'!H22</f>
        <v>1502.4349999999977</v>
      </c>
      <c r="I7" s="479">
        <f>'Income statement'!I22</f>
        <v>1319.5572575999981</v>
      </c>
      <c r="J7" s="479">
        <f>'Income statement'!J22</f>
        <v>1236.2921924479988</v>
      </c>
      <c r="K7" s="479">
        <f>'Income statement'!K22</f>
        <v>1157.2814485990366</v>
      </c>
      <c r="L7" s="479">
        <f>'Income statement'!L22</f>
        <v>1144.8517130850312</v>
      </c>
      <c r="M7" s="516"/>
      <c r="N7" s="516"/>
    </row>
    <row r="8" spans="2:14" ht="12.75" customHeight="1">
      <c r="B8" s="256"/>
      <c r="C8" s="241" t="s">
        <v>189</v>
      </c>
      <c r="E8" s="258"/>
      <c r="F8" s="258"/>
      <c r="G8" s="611">
        <f>'Income statement'!G20+'Income statement'!G21</f>
        <v>945</v>
      </c>
      <c r="H8" s="479">
        <f>'Income statement'!H20+'Income statement'!H21</f>
        <v>951.6869999999999</v>
      </c>
      <c r="I8" s="479">
        <f>'Income statement'!I20+'Income statement'!I21</f>
        <v>989.28071999999997</v>
      </c>
      <c r="J8" s="479">
        <f>'Income statement'!J20+'Income statement'!J21</f>
        <v>1026.3690256</v>
      </c>
      <c r="K8" s="479">
        <f>'Income statement'!K20+'Income statement'!K21</f>
        <v>1060.1265450880001</v>
      </c>
      <c r="L8" s="479">
        <f>'Income statement'!L20+'Income statement'!L21</f>
        <v>1094.7303605388799</v>
      </c>
      <c r="M8" s="516"/>
      <c r="N8" s="516"/>
    </row>
    <row r="9" spans="2:14" ht="12.75" customHeight="1">
      <c r="B9" s="256"/>
      <c r="C9" s="241" t="s">
        <v>190</v>
      </c>
      <c r="E9" s="258"/>
      <c r="F9" s="258"/>
      <c r="G9" s="612">
        <f>'Cash flow statement'!G15</f>
        <v>28</v>
      </c>
      <c r="H9" s="606">
        <f>'Cash flow statement'!H15</f>
        <v>-30</v>
      </c>
      <c r="I9" s="606">
        <f>'Cash flow statement'!I15</f>
        <v>-134</v>
      </c>
      <c r="J9" s="606">
        <f>'Cash flow statement'!J15</f>
        <v>28</v>
      </c>
      <c r="K9" s="606">
        <f>'Cash flow statement'!K15</f>
        <v>-30</v>
      </c>
      <c r="L9" s="606">
        <f>'Cash flow statement'!L15</f>
        <v>-134</v>
      </c>
      <c r="M9" s="517"/>
      <c r="N9" s="517"/>
    </row>
    <row r="10" spans="2:14" ht="12.75" customHeight="1">
      <c r="B10" s="256"/>
      <c r="C10" s="241" t="s">
        <v>0</v>
      </c>
      <c r="E10" s="258"/>
      <c r="F10" s="258"/>
      <c r="G10" s="613">
        <v>0</v>
      </c>
      <c r="H10" s="478">
        <v>0</v>
      </c>
      <c r="I10" s="478">
        <v>0</v>
      </c>
      <c r="J10" s="478">
        <v>0</v>
      </c>
      <c r="K10" s="478">
        <v>0</v>
      </c>
      <c r="L10" s="478">
        <v>0</v>
      </c>
      <c r="M10" s="515"/>
      <c r="N10" s="515"/>
    </row>
    <row r="11" spans="2:14" ht="12.75" customHeight="1">
      <c r="B11" s="256"/>
      <c r="C11" s="241" t="s">
        <v>191</v>
      </c>
      <c r="E11" s="258"/>
      <c r="F11" s="258"/>
      <c r="G11" s="612">
        <f>'Cash flow statement'!G27</f>
        <v>688</v>
      </c>
      <c r="H11" s="606">
        <f>'Cash flow statement'!H27</f>
        <v>-296.46692931234332</v>
      </c>
      <c r="I11" s="606">
        <f>'Cash flow statement'!I27</f>
        <v>35.936786066711704</v>
      </c>
      <c r="J11" s="606">
        <f>'Cash flow statement'!J27</f>
        <v>26.290602864913126</v>
      </c>
      <c r="K11" s="606">
        <f>'Cash flow statement'!K27</f>
        <v>25.764790807614418</v>
      </c>
      <c r="L11" s="606">
        <f>'Cash flow statement'!L27</f>
        <v>-12.624747495731015</v>
      </c>
      <c r="M11" s="518"/>
      <c r="N11" s="518"/>
    </row>
    <row r="12" spans="2:14" ht="12.75" customHeight="1">
      <c r="B12" s="256"/>
      <c r="C12" s="241" t="s">
        <v>192</v>
      </c>
      <c r="E12" s="258"/>
      <c r="F12" s="258"/>
      <c r="G12" s="612">
        <f>'Cash flow statement'!G30</f>
        <v>-766</v>
      </c>
      <c r="H12" s="606">
        <f>'Cash flow statement'!H30</f>
        <v>-749.46</v>
      </c>
      <c r="I12" s="606">
        <f>'Cash flow statement'!I30</f>
        <v>-770.46</v>
      </c>
      <c r="J12" s="606">
        <f>'Cash flow statement'!J30</f>
        <v>-759.98</v>
      </c>
      <c r="K12" s="606">
        <f>'Cash flow statement'!K30</f>
        <v>-693</v>
      </c>
      <c r="L12" s="606">
        <f>'Cash flow statement'!L30</f>
        <v>-683.33</v>
      </c>
      <c r="M12" s="518"/>
      <c r="N12" s="319" t="s">
        <v>16</v>
      </c>
    </row>
    <row r="13" spans="2:14" ht="12.75" customHeight="1">
      <c r="B13" s="256"/>
      <c r="C13" s="241" t="s">
        <v>193</v>
      </c>
      <c r="E13" s="260"/>
      <c r="F13" s="260"/>
      <c r="G13" s="614"/>
      <c r="H13" s="482">
        <f>-H7*$N$13</f>
        <v>-508.74960374639693</v>
      </c>
      <c r="I13" s="482">
        <f>-I7*$N$13</f>
        <v>-446.82414342363052</v>
      </c>
      <c r="J13" s="482">
        <f>-J7*$N$13</f>
        <v>-418.62920061279499</v>
      </c>
      <c r="K13" s="482">
        <f>-K7*$N$13</f>
        <v>-391.8748421048611</v>
      </c>
      <c r="L13" s="482">
        <f>-L7*$N$13</f>
        <v>-387.66592590055092</v>
      </c>
      <c r="M13" s="517"/>
      <c r="N13" s="481">
        <f>'Income statement'!H33</f>
        <v>0.33861671469740634</v>
      </c>
    </row>
    <row r="14" spans="2:14" s="261" customFormat="1" ht="12.75" customHeight="1">
      <c r="B14" s="256" t="s">
        <v>194</v>
      </c>
      <c r="C14" s="256"/>
      <c r="E14" s="262"/>
      <c r="F14" s="262"/>
      <c r="G14" s="262"/>
      <c r="H14" s="262">
        <f>SUM(H7:H13)</f>
        <v>869.44546694125722</v>
      </c>
      <c r="I14" s="262">
        <f>SUM(I7:I13)</f>
        <v>993.49062024307943</v>
      </c>
      <c r="J14" s="262">
        <f>SUM(J7:J13)</f>
        <v>1138.3426203001168</v>
      </c>
      <c r="K14" s="262">
        <f>SUM(K7:K13)</f>
        <v>1128.2979423897898</v>
      </c>
      <c r="L14" s="262">
        <f>SUM(L7:L13)</f>
        <v>1021.9614002276294</v>
      </c>
      <c r="M14" s="519"/>
      <c r="N14" s="519"/>
    </row>
    <row r="15" spans="2:14" ht="21" customHeight="1">
      <c r="B15" s="256" t="s">
        <v>195</v>
      </c>
      <c r="C15" s="241"/>
      <c r="H15" s="258"/>
      <c r="I15" s="258"/>
      <c r="J15" s="258"/>
      <c r="K15" s="258"/>
      <c r="L15" s="258"/>
      <c r="M15" s="515"/>
      <c r="N15" s="515"/>
    </row>
    <row r="16" spans="2:14" ht="12.75" thickBot="1">
      <c r="B16" s="256"/>
      <c r="C16" s="241" t="s">
        <v>196</v>
      </c>
      <c r="G16" s="263"/>
      <c r="H16" s="258">
        <v>0.5</v>
      </c>
      <c r="I16" s="258">
        <f>H16+1</f>
        <v>1.5</v>
      </c>
      <c r="J16" s="258">
        <f>I16+1</f>
        <v>2.5</v>
      </c>
      <c r="K16" s="258">
        <f>J16+1</f>
        <v>3.5</v>
      </c>
      <c r="L16" s="258">
        <f>K16+1</f>
        <v>4.5</v>
      </c>
      <c r="M16" s="515"/>
      <c r="N16" s="515"/>
    </row>
    <row r="17" spans="2:17" ht="12.75" thickBot="1">
      <c r="B17" s="256"/>
      <c r="C17" s="241" t="s">
        <v>197</v>
      </c>
      <c r="G17" s="264">
        <v>0.09</v>
      </c>
      <c r="H17" s="258">
        <f>H14/(1+$G$17)^H16</f>
        <v>832.7777218027137</v>
      </c>
      <c r="I17" s="258">
        <f>I14/(1+$G$17)^I16</f>
        <v>873.01966072429934</v>
      </c>
      <c r="J17" s="258">
        <f>J14/(1+$G$17)^J16</f>
        <v>917.71272057147735</v>
      </c>
      <c r="K17" s="258">
        <f>K14/(1+$G$17)^K16</f>
        <v>834.50905484115094</v>
      </c>
      <c r="L17" s="258">
        <f>L14/(1+$G$17)^L16</f>
        <v>693.45015880409233</v>
      </c>
      <c r="M17" s="515"/>
      <c r="N17" s="515"/>
    </row>
    <row r="18" spans="2:17">
      <c r="B18" s="256"/>
      <c r="C18" s="256" t="s">
        <v>198</v>
      </c>
      <c r="G18" s="263"/>
      <c r="H18" s="262">
        <f>SUM(H17:L17)</f>
        <v>4151.4693167437335</v>
      </c>
      <c r="I18" s="258"/>
      <c r="J18" s="258"/>
      <c r="K18" s="258"/>
      <c r="L18" s="258"/>
      <c r="M18" s="258"/>
      <c r="N18" s="258"/>
    </row>
    <row r="19" spans="2:17" ht="21" customHeight="1">
      <c r="B19" s="256" t="s">
        <v>199</v>
      </c>
      <c r="C19" s="265"/>
      <c r="G19" s="263"/>
      <c r="H19" s="258"/>
      <c r="I19" s="258"/>
      <c r="J19" s="258"/>
      <c r="K19" s="258"/>
      <c r="L19" s="258"/>
      <c r="M19" s="258"/>
      <c r="N19" s="258"/>
    </row>
    <row r="20" spans="2:17">
      <c r="B20" s="256"/>
      <c r="C20" s="256" t="s">
        <v>200</v>
      </c>
      <c r="G20" s="263"/>
      <c r="H20" s="258"/>
      <c r="I20" s="258"/>
      <c r="J20" s="258"/>
      <c r="K20" s="266" t="s">
        <v>201</v>
      </c>
      <c r="L20" s="267"/>
      <c r="M20" s="493"/>
      <c r="N20" s="490"/>
      <c r="O20" s="486"/>
      <c r="P20" s="487"/>
      <c r="Q20" s="268"/>
    </row>
    <row r="21" spans="2:17" ht="12.75" thickBot="1">
      <c r="B21" s="256"/>
      <c r="D21" s="269" t="s">
        <v>202</v>
      </c>
      <c r="G21" s="258">
        <f>L7+L8</f>
        <v>2239.5820736239111</v>
      </c>
      <c r="I21" s="258"/>
      <c r="K21" s="270" t="s">
        <v>203</v>
      </c>
      <c r="L21" s="271"/>
      <c r="M21" s="494">
        <v>2.8000000000000001E-2</v>
      </c>
      <c r="N21" s="491" t="str">
        <f>"Stock Price"</f>
        <v>Stock Price</v>
      </c>
      <c r="O21" s="271"/>
      <c r="P21" s="483">
        <f>COMPS!E22</f>
        <v>12.95</v>
      </c>
    </row>
    <row r="22" spans="2:17" ht="12.75" thickBot="1">
      <c r="B22" s="256"/>
      <c r="D22" s="269" t="s">
        <v>12</v>
      </c>
      <c r="G22" s="506">
        <v>2</v>
      </c>
      <c r="H22" s="258"/>
      <c r="I22" s="258"/>
      <c r="K22" s="270" t="s">
        <v>204</v>
      </c>
      <c r="L22" s="271"/>
      <c r="M22" s="494">
        <v>0.06</v>
      </c>
      <c r="N22" s="257" t="s">
        <v>298</v>
      </c>
      <c r="P22" s="497">
        <v>0</v>
      </c>
    </row>
    <row r="23" spans="2:17">
      <c r="B23" s="256"/>
      <c r="D23" s="485" t="s">
        <v>199</v>
      </c>
      <c r="E23" s="396"/>
      <c r="F23" s="396"/>
      <c r="G23" s="507">
        <f>G21*G22</f>
        <v>4479.1641472478223</v>
      </c>
      <c r="H23" s="258"/>
      <c r="I23" s="258"/>
      <c r="K23" s="488" t="s">
        <v>205</v>
      </c>
      <c r="L23" s="396"/>
      <c r="M23" s="495">
        <v>1.48</v>
      </c>
      <c r="N23" s="485" t="s">
        <v>206</v>
      </c>
      <c r="O23" s="396"/>
      <c r="P23" s="489">
        <f ca="1">COMPS!F33</f>
        <v>336.66747500000002</v>
      </c>
    </row>
    <row r="24" spans="2:17">
      <c r="B24" s="256"/>
      <c r="D24" s="273" t="s">
        <v>207</v>
      </c>
      <c r="G24" s="274">
        <f>G23/(1+G17)^L16</f>
        <v>3039.329165002473</v>
      </c>
      <c r="H24" s="262"/>
      <c r="I24" s="258"/>
      <c r="K24" s="275" t="s">
        <v>208</v>
      </c>
      <c r="L24" s="271"/>
      <c r="M24" s="496">
        <f>M21+M22*M23</f>
        <v>0.11679999999999999</v>
      </c>
      <c r="N24" s="492" t="s">
        <v>262</v>
      </c>
      <c r="O24" s="271"/>
      <c r="P24" s="484">
        <f ca="1">P21*(P22+P23)</f>
        <v>4359.8438012500001</v>
      </c>
    </row>
    <row r="25" spans="2:17">
      <c r="B25" s="241"/>
      <c r="C25" s="256" t="s">
        <v>209</v>
      </c>
      <c r="G25" s="263"/>
      <c r="H25" s="258"/>
      <c r="I25" s="258"/>
      <c r="K25" s="272"/>
      <c r="L25" s="271"/>
      <c r="M25" s="496"/>
      <c r="N25" s="271" t="s">
        <v>296</v>
      </c>
      <c r="O25" s="271"/>
      <c r="P25" s="500">
        <f>SUM(COMPS!F36:F40)</f>
        <v>2226</v>
      </c>
    </row>
    <row r="26" spans="2:17" ht="12.75" thickBot="1">
      <c r="B26" s="241"/>
      <c r="D26" s="269" t="s">
        <v>188</v>
      </c>
      <c r="G26" s="276">
        <f>L14</f>
        <v>1021.9614002276294</v>
      </c>
      <c r="I26" s="258"/>
      <c r="K26" s="275" t="s">
        <v>210</v>
      </c>
      <c r="L26" s="271"/>
      <c r="M26" s="494">
        <v>7.0000000000000007E-2</v>
      </c>
      <c r="N26" s="271" t="s">
        <v>297</v>
      </c>
      <c r="P26" s="500">
        <f>COMPS!F42</f>
        <v>-680</v>
      </c>
    </row>
    <row r="27" spans="2:17" ht="12.75" thickBot="1">
      <c r="B27" s="241"/>
      <c r="D27" s="269" t="s">
        <v>211</v>
      </c>
      <c r="G27" s="508">
        <v>-0.02</v>
      </c>
      <c r="H27" s="258"/>
      <c r="I27" s="258"/>
      <c r="K27" s="488" t="s">
        <v>212</v>
      </c>
      <c r="L27" s="396"/>
      <c r="M27" s="499">
        <v>0</v>
      </c>
      <c r="N27" s="396" t="s">
        <v>268</v>
      </c>
      <c r="O27" s="396"/>
      <c r="P27" s="501">
        <f>COMPS!F41</f>
        <v>596</v>
      </c>
    </row>
    <row r="28" spans="2:17" ht="12.75">
      <c r="B28" s="241"/>
      <c r="D28" s="485" t="s">
        <v>199</v>
      </c>
      <c r="E28" s="396"/>
      <c r="F28" s="396"/>
      <c r="G28" s="260">
        <f>G26*(1+G27)/(G17-G27)</f>
        <v>9104.7470202097884</v>
      </c>
      <c r="H28" s="277"/>
      <c r="I28" s="258"/>
      <c r="K28" s="498" t="s">
        <v>213</v>
      </c>
      <c r="L28" s="396"/>
      <c r="M28" s="499">
        <f ca="1">M24*Q30+M26*(1-N13)*Q31</f>
        <v>9.297009130183706E-2</v>
      </c>
      <c r="N28" s="503" t="s">
        <v>18</v>
      </c>
      <c r="O28" s="396"/>
      <c r="P28" s="502">
        <f ca="1">P24+P25+P26+P27</f>
        <v>6501.8438012500001</v>
      </c>
    </row>
    <row r="29" spans="2:17">
      <c r="B29" s="241"/>
      <c r="D29" s="273" t="s">
        <v>207</v>
      </c>
      <c r="G29" s="278">
        <f>G28/(1+G17)^L16</f>
        <v>6178.0105057091851</v>
      </c>
      <c r="H29" s="262"/>
      <c r="I29" s="258"/>
    </row>
    <row r="30" spans="2:17" ht="21" customHeight="1">
      <c r="B30" s="256" t="s">
        <v>214</v>
      </c>
      <c r="C30" s="241"/>
      <c r="H30" s="258"/>
      <c r="I30" s="258"/>
      <c r="N30" s="257" t="s">
        <v>299</v>
      </c>
      <c r="P30" s="504">
        <f ca="1">P24</f>
        <v>4359.8438012500001</v>
      </c>
      <c r="Q30" s="480">
        <f ca="1">P30/$P$32</f>
        <v>0.66200230871289378</v>
      </c>
    </row>
    <row r="31" spans="2:17">
      <c r="B31" s="241"/>
      <c r="C31" s="256" t="s">
        <v>200</v>
      </c>
      <c r="G31" s="258">
        <f>G24+H18</f>
        <v>7190.7984817462066</v>
      </c>
      <c r="H31" s="262"/>
      <c r="I31" s="258"/>
      <c r="J31" s="258"/>
      <c r="K31" s="258"/>
      <c r="L31" s="258"/>
      <c r="M31" s="258"/>
      <c r="N31" s="260" t="s">
        <v>235</v>
      </c>
      <c r="O31" s="396"/>
      <c r="P31" s="505">
        <f>P25</f>
        <v>2226</v>
      </c>
      <c r="Q31" s="480">
        <f ca="1">P31/$P$32</f>
        <v>0.33799769128710627</v>
      </c>
    </row>
    <row r="32" spans="2:17">
      <c r="B32" s="241"/>
      <c r="C32" s="256" t="s">
        <v>209</v>
      </c>
      <c r="G32" s="258">
        <f>G29+H18</f>
        <v>10329.479822452919</v>
      </c>
      <c r="H32" s="262"/>
      <c r="I32" s="258"/>
      <c r="J32" s="258"/>
      <c r="K32" s="258"/>
      <c r="L32" s="258"/>
      <c r="M32" s="258"/>
      <c r="N32" s="258" t="s">
        <v>300</v>
      </c>
      <c r="O32" s="279"/>
      <c r="P32" s="279">
        <f ca="1">SUM(P30:P31)</f>
        <v>6585.8438012500001</v>
      </c>
      <c r="Q32" s="279"/>
    </row>
    <row r="33" spans="2:17">
      <c r="B33" s="241"/>
      <c r="C33" s="256" t="s">
        <v>11</v>
      </c>
      <c r="G33" s="258">
        <f>P25+P26</f>
        <v>1546</v>
      </c>
      <c r="H33" s="262"/>
      <c r="I33" s="258"/>
      <c r="J33" s="258"/>
      <c r="K33" s="258"/>
      <c r="L33" s="258"/>
      <c r="M33" s="258"/>
      <c r="N33" s="258"/>
    </row>
    <row r="34" spans="2:17">
      <c r="B34" s="241"/>
      <c r="C34" s="256" t="s">
        <v>215</v>
      </c>
      <c r="G34" s="412">
        <f ca="1">P23</f>
        <v>336.66747500000002</v>
      </c>
      <c r="H34" s="280"/>
      <c r="I34" s="258"/>
      <c r="J34" s="258"/>
      <c r="K34" s="258"/>
      <c r="L34" s="258"/>
      <c r="M34" s="258"/>
      <c r="N34" s="258"/>
      <c r="O34" s="268"/>
      <c r="P34" s="268"/>
      <c r="Q34" s="268"/>
    </row>
    <row r="35" spans="2:17">
      <c r="B35" s="241"/>
      <c r="C35" s="256" t="s">
        <v>216</v>
      </c>
      <c r="G35" s="546">
        <f ca="1">(G31-G33)/G34</f>
        <v>16.766687906950935</v>
      </c>
      <c r="H35" s="281"/>
      <c r="I35" s="258"/>
      <c r="J35" s="258"/>
      <c r="K35" s="258"/>
      <c r="L35" s="258"/>
      <c r="M35" s="258"/>
      <c r="N35" s="258"/>
      <c r="O35" s="282"/>
      <c r="P35" s="282"/>
      <c r="Q35" s="282"/>
    </row>
    <row r="36" spans="2:17">
      <c r="B36" s="241"/>
      <c r="C36" s="256" t="s">
        <v>217</v>
      </c>
      <c r="G36" s="546">
        <f ca="1">(G32-G33)/G34</f>
        <v>26.089481386501379</v>
      </c>
      <c r="H36" s="281"/>
      <c r="I36" s="258"/>
      <c r="J36" s="258"/>
      <c r="K36" s="258"/>
      <c r="L36" s="258"/>
      <c r="M36" s="258"/>
      <c r="N36" s="258"/>
    </row>
    <row r="37" spans="2:17" ht="21" customHeight="1"/>
    <row r="38" spans="2:17" ht="21" customHeight="1">
      <c r="D38" s="620" t="s">
        <v>218</v>
      </c>
      <c r="E38" s="620"/>
      <c r="F38" s="620"/>
      <c r="G38" s="620"/>
      <c r="I38" s="277"/>
      <c r="J38" s="277"/>
      <c r="K38" s="277"/>
      <c r="L38" s="277"/>
      <c r="M38" s="277"/>
      <c r="N38" s="277"/>
    </row>
    <row r="39" spans="2:17" ht="21" customHeight="1">
      <c r="D39" s="283">
        <f ca="1">G35</f>
        <v>16.766687906950935</v>
      </c>
      <c r="E39" s="522">
        <f>F39-0.01</f>
        <v>0.08</v>
      </c>
      <c r="F39" s="284">
        <v>0.09</v>
      </c>
      <c r="G39" s="522">
        <f>F39+0.01</f>
        <v>9.9999999999999992E-2</v>
      </c>
      <c r="I39" s="277"/>
      <c r="J39" s="277"/>
      <c r="K39" s="277"/>
      <c r="L39" s="277"/>
      <c r="M39" s="277"/>
      <c r="N39" s="277"/>
    </row>
    <row r="40" spans="2:17" ht="21" customHeight="1">
      <c r="D40" s="286">
        <f>D41-0.5</f>
        <v>1.5</v>
      </c>
      <c r="E40" s="523">
        <f t="dataTable" ref="E40:G42" dt2D="1" dtr="0" r1="G17" r2="G22" ca="1"/>
        <v>15.076037352189728</v>
      </c>
      <c r="F40" s="523">
        <v>14.509765728024627</v>
      </c>
      <c r="G40" s="523">
        <v>13.968165086692398</v>
      </c>
      <c r="I40" s="277"/>
      <c r="J40" s="277"/>
      <c r="K40" s="277"/>
      <c r="L40" s="277"/>
      <c r="M40" s="277"/>
      <c r="N40" s="277"/>
    </row>
    <row r="41" spans="2:17" ht="21" customHeight="1">
      <c r="D41" s="285">
        <v>2</v>
      </c>
      <c r="E41" s="523">
        <v>17.428533524352034</v>
      </c>
      <c r="F41" s="615">
        <v>16.766687906950935</v>
      </c>
      <c r="G41" s="523">
        <v>16.134216405806118</v>
      </c>
      <c r="I41" s="277"/>
      <c r="J41" s="277"/>
      <c r="K41" s="277"/>
      <c r="L41" s="277"/>
      <c r="M41" s="277"/>
      <c r="N41" s="277"/>
    </row>
    <row r="42" spans="2:17" ht="21" customHeight="1">
      <c r="D42" s="286">
        <f>D41+0.5</f>
        <v>2.5</v>
      </c>
      <c r="E42" s="523">
        <v>19.781029696514334</v>
      </c>
      <c r="F42" s="523">
        <v>19.023610085877241</v>
      </c>
      <c r="G42" s="523">
        <v>18.300267724919834</v>
      </c>
      <c r="I42" s="277"/>
      <c r="J42" s="277"/>
      <c r="K42" s="277"/>
      <c r="L42" s="277"/>
      <c r="M42" s="277"/>
      <c r="N42" s="277"/>
    </row>
    <row r="43" spans="2:17" ht="21" customHeight="1">
      <c r="I43" s="277"/>
      <c r="J43" s="277"/>
      <c r="K43" s="277"/>
      <c r="L43" s="277"/>
      <c r="M43" s="277"/>
      <c r="N43" s="277"/>
    </row>
    <row r="44" spans="2:17" ht="21" customHeight="1">
      <c r="D44" s="620" t="s">
        <v>219</v>
      </c>
      <c r="E44" s="620"/>
      <c r="F44" s="620"/>
      <c r="G44" s="620"/>
      <c r="I44" s="277"/>
      <c r="J44" s="277"/>
      <c r="K44" s="277"/>
      <c r="L44" s="277"/>
      <c r="M44" s="277"/>
      <c r="N44" s="277"/>
    </row>
    <row r="45" spans="2:17" ht="21" customHeight="1">
      <c r="D45" s="283">
        <f ca="1">G36</f>
        <v>26.089481386501379</v>
      </c>
      <c r="E45" s="522">
        <f>F45-0.01</f>
        <v>0.08</v>
      </c>
      <c r="F45" s="284">
        <v>0.09</v>
      </c>
      <c r="G45" s="522">
        <f>F45+0.01</f>
        <v>9.9999999999999992E-2</v>
      </c>
      <c r="I45" s="277"/>
      <c r="J45" s="277"/>
      <c r="K45" s="277"/>
      <c r="L45" s="277"/>
      <c r="M45" s="277"/>
      <c r="N45" s="277"/>
    </row>
    <row r="46" spans="2:17" ht="21" customHeight="1">
      <c r="D46" s="284">
        <f>D47-0.005</f>
        <v>-2.5000000000000001E-2</v>
      </c>
      <c r="E46" s="523">
        <f t="dataTable" ref="E46:G48" dt2D="1" dtr="0" r1="G17" r2="G27" ca="1"/>
        <v>27.954719731040452</v>
      </c>
      <c r="F46" s="523">
        <v>25.202080073598601</v>
      </c>
      <c r="G46" s="523">
        <v>22.889175935062305</v>
      </c>
      <c r="I46" s="277"/>
      <c r="J46" s="277"/>
      <c r="K46" s="277"/>
      <c r="L46" s="277"/>
      <c r="M46" s="277"/>
      <c r="N46" s="277"/>
    </row>
    <row r="47" spans="2:17" ht="21" customHeight="1">
      <c r="D47" s="284">
        <v>-0.02</v>
      </c>
      <c r="E47" s="523">
        <v>29.05887688832069</v>
      </c>
      <c r="F47" s="615">
        <v>26.089481386501379</v>
      </c>
      <c r="G47" s="523">
        <v>23.614008468664107</v>
      </c>
      <c r="I47" s="277"/>
      <c r="J47" s="277"/>
      <c r="K47" s="277"/>
      <c r="L47" s="277"/>
      <c r="M47" s="277"/>
      <c r="N47" s="277"/>
    </row>
    <row r="48" spans="2:17" ht="21" customHeight="1">
      <c r="D48" s="284">
        <f>D47+0.005</f>
        <v>-1.4999999999999999E-2</v>
      </c>
      <c r="E48" s="523">
        <v>30.279261114788319</v>
      </c>
      <c r="F48" s="523">
        <v>27.061397110156811</v>
      </c>
      <c r="G48" s="523">
        <v>24.401869918231284</v>
      </c>
      <c r="I48" s="277"/>
      <c r="J48" s="277"/>
      <c r="K48" s="277"/>
      <c r="L48" s="277"/>
      <c r="M48" s="277"/>
      <c r="N48" s="277"/>
    </row>
    <row r="49" spans="4:6" ht="21" customHeight="1">
      <c r="D49" s="241"/>
      <c r="E49" s="287"/>
      <c r="F49" s="287"/>
    </row>
    <row r="50" spans="4:6" ht="21" customHeight="1"/>
    <row r="51" spans="4:6" ht="21" customHeight="1"/>
    <row r="52" spans="4:6" ht="21" customHeight="1"/>
    <row r="53" spans="4:6" ht="21" customHeight="1"/>
    <row r="54" spans="4:6" ht="21" customHeight="1"/>
  </sheetData>
  <mergeCells count="2">
    <mergeCell ref="D38:G38"/>
    <mergeCell ref="D44:G44"/>
  </mergeCells>
  <phoneticPr fontId="28" type="noConversion"/>
  <pageMargins left="0.75" right="0.75" top="1" bottom="1" header="0.5" footer="0.5"/>
  <headerFooter alignWithMargins="0"/>
  <drawing r:id="rId1"/>
  <legacyDrawing r:id="rId2"/>
</worksheet>
</file>

<file path=xl/worksheets/sheet11.xml><?xml version="1.0" encoding="utf-8"?>
<worksheet xmlns="http://schemas.openxmlformats.org/spreadsheetml/2006/main" xmlns:r="http://schemas.openxmlformats.org/officeDocument/2006/relationships">
  <sheetPr enableFormatConditionsCalculation="0">
    <tabColor indexed="16"/>
  </sheetPr>
  <dimension ref="B1:T75"/>
  <sheetViews>
    <sheetView showGridLines="0" zoomScale="110" zoomScaleNormal="110" workbookViewId="0">
      <pane xSplit="3" ySplit="6" topLeftCell="D7" activePane="bottomRight" state="frozen"/>
      <selection pane="topRight" activeCell="D1" sqref="D1"/>
      <selection pane="bottomLeft" activeCell="A7" sqref="A7"/>
      <selection pane="bottomRight" activeCell="D7" sqref="D7"/>
    </sheetView>
  </sheetViews>
  <sheetFormatPr defaultColWidth="9.140625" defaultRowHeight="12" customHeight="1" outlineLevelRow="1"/>
  <cols>
    <col min="1" max="1" width="3.7109375" style="257" customWidth="1"/>
    <col min="2" max="2" width="2.42578125" style="241" customWidth="1"/>
    <col min="3" max="3" width="15.28515625" style="241" customWidth="1"/>
    <col min="4" max="4" width="10.42578125" style="241" customWidth="1"/>
    <col min="5" max="5" width="12.85546875" style="287" bestFit="1" customWidth="1"/>
    <col min="6" max="6" width="12.28515625" style="257" customWidth="1"/>
    <col min="7" max="7" width="11.42578125" style="257" bestFit="1" customWidth="1"/>
    <col min="8" max="8" width="3.7109375" style="257" customWidth="1"/>
    <col min="9" max="11" width="8.7109375" style="257" customWidth="1"/>
    <col min="12" max="12" width="2.7109375" style="257" customWidth="1"/>
    <col min="13" max="15" width="8.7109375" style="257" customWidth="1"/>
    <col min="16" max="16" width="2.7109375" style="257" customWidth="1"/>
    <col min="17" max="19" width="8.7109375" style="257" customWidth="1"/>
    <col min="20" max="20" width="2.7109375" style="257" customWidth="1"/>
    <col min="21" max="16384" width="9.140625" style="257"/>
  </cols>
  <sheetData>
    <row r="1" spans="2:20" ht="66" customHeight="1">
      <c r="B1" s="239"/>
      <c r="C1" s="239"/>
      <c r="D1" s="239"/>
      <c r="E1" s="240"/>
      <c r="F1" s="288"/>
      <c r="G1" s="288"/>
      <c r="H1" s="288"/>
    </row>
    <row r="2" spans="2:20" ht="15" customHeight="1">
      <c r="B2" s="325" t="s">
        <v>226</v>
      </c>
      <c r="C2" s="239"/>
      <c r="D2" s="239"/>
      <c r="E2" s="240"/>
      <c r="F2" s="288"/>
      <c r="G2" s="288"/>
      <c r="H2" s="288"/>
    </row>
    <row r="3" spans="2:20">
      <c r="B3" s="292" t="s">
        <v>252</v>
      </c>
      <c r="C3" s="302"/>
      <c r="D3" s="302"/>
      <c r="E3" s="333"/>
      <c r="F3" s="333"/>
      <c r="G3" s="333"/>
      <c r="H3" s="333"/>
      <c r="I3" s="320"/>
      <c r="J3" s="320"/>
      <c r="K3" s="320"/>
      <c r="L3" s="320"/>
      <c r="M3" s="320"/>
      <c r="N3" s="320"/>
      <c r="O3" s="320"/>
      <c r="P3" s="320"/>
      <c r="Q3" s="320"/>
      <c r="R3" s="320"/>
      <c r="S3" s="320"/>
      <c r="T3" s="320"/>
    </row>
    <row r="4" spans="2:20" s="241" customFormat="1">
      <c r="B4" s="292"/>
      <c r="C4" s="313"/>
      <c r="D4" s="314" t="s">
        <v>248</v>
      </c>
      <c r="E4" s="334" t="s">
        <v>257</v>
      </c>
      <c r="F4" s="314" t="s">
        <v>249</v>
      </c>
      <c r="G4" s="317" t="s">
        <v>227</v>
      </c>
      <c r="H4" s="317"/>
      <c r="I4" s="321" t="s">
        <v>251</v>
      </c>
      <c r="J4" s="321"/>
      <c r="K4" s="321"/>
      <c r="L4" s="322"/>
      <c r="M4" s="321" t="s">
        <v>254</v>
      </c>
      <c r="N4" s="321"/>
      <c r="O4" s="321"/>
      <c r="P4" s="322"/>
      <c r="Q4" s="321" t="s">
        <v>228</v>
      </c>
      <c r="R4" s="321"/>
      <c r="S4" s="321"/>
      <c r="T4" s="245"/>
    </row>
    <row r="5" spans="2:20" s="312" customFormat="1" ht="12" customHeight="1">
      <c r="B5" s="311"/>
      <c r="C5" s="313" t="s">
        <v>230</v>
      </c>
      <c r="D5" s="315" t="s">
        <v>247</v>
      </c>
      <c r="E5" s="317" t="s">
        <v>258</v>
      </c>
      <c r="F5" s="316" t="s">
        <v>250</v>
      </c>
      <c r="G5" s="318" t="s">
        <v>229</v>
      </c>
      <c r="H5" s="318"/>
      <c r="I5" s="323" t="s">
        <v>238</v>
      </c>
      <c r="J5" s="323" t="s">
        <v>236</v>
      </c>
      <c r="K5" s="323" t="s">
        <v>274</v>
      </c>
      <c r="L5" s="324"/>
      <c r="M5" s="323" t="s">
        <v>238</v>
      </c>
      <c r="N5" s="323" t="s">
        <v>236</v>
      </c>
      <c r="O5" s="323" t="s">
        <v>274</v>
      </c>
      <c r="P5" s="324"/>
      <c r="Q5" s="323" t="s">
        <v>238</v>
      </c>
      <c r="R5" s="323" t="s">
        <v>236</v>
      </c>
      <c r="S5" s="323" t="s">
        <v>274</v>
      </c>
      <c r="T5" s="310"/>
    </row>
    <row r="6" spans="2:20" s="293" customFormat="1" ht="5.0999999999999996" customHeight="1">
      <c r="B6" s="290"/>
      <c r="C6" s="290"/>
      <c r="D6" s="303"/>
      <c r="E6" s="290"/>
      <c r="F6" s="304"/>
      <c r="G6" s="304"/>
      <c r="H6" s="304"/>
    </row>
    <row r="7" spans="2:20" s="239" customFormat="1" ht="12" customHeight="1">
      <c r="B7" s="289"/>
      <c r="C7" s="290" t="s">
        <v>239</v>
      </c>
      <c r="E7" s="290"/>
      <c r="F7" s="305"/>
      <c r="G7" s="305"/>
      <c r="H7" s="305"/>
    </row>
    <row r="8" spans="2:20" s="239" customFormat="1" ht="12" customHeight="1">
      <c r="B8" s="289"/>
      <c r="C8" s="345" t="s">
        <v>243</v>
      </c>
      <c r="D8" s="15" t="s">
        <v>220</v>
      </c>
      <c r="E8" s="335">
        <v>26.21</v>
      </c>
      <c r="F8" s="342">
        <v>3170</v>
      </c>
      <c r="G8" s="342">
        <v>2830</v>
      </c>
      <c r="H8" s="308"/>
      <c r="I8" s="567">
        <f>G8/802.53</f>
        <v>3.5263479246881739</v>
      </c>
      <c r="J8" s="567">
        <v>3.59</v>
      </c>
      <c r="K8" s="567">
        <f>G8/823.58</f>
        <v>3.4362174894970736</v>
      </c>
      <c r="L8" s="567"/>
      <c r="M8" s="567">
        <f>G8/8924.17</f>
        <v>0.31711632566389925</v>
      </c>
      <c r="N8" s="567">
        <v>0.32</v>
      </c>
      <c r="O8" s="567">
        <f>G8/9034.15</f>
        <v>0.31325581266638258</v>
      </c>
      <c r="P8" s="567"/>
      <c r="Q8" s="568">
        <f>E8/3.2</f>
        <v>8.1906249999999989</v>
      </c>
      <c r="R8" s="568" t="s">
        <v>253</v>
      </c>
      <c r="S8" s="568">
        <f>E8/3.44</f>
        <v>7.6191860465116283</v>
      </c>
    </row>
    <row r="9" spans="2:20" s="239" customFormat="1" ht="12" customHeight="1">
      <c r="B9" s="289"/>
      <c r="C9" s="345" t="s">
        <v>241</v>
      </c>
      <c r="D9" s="15" t="s">
        <v>225</v>
      </c>
      <c r="E9" s="335">
        <v>28.09</v>
      </c>
      <c r="F9" s="342">
        <v>915.4</v>
      </c>
      <c r="G9" s="342">
        <v>1220</v>
      </c>
      <c r="H9" s="308"/>
      <c r="I9" s="567">
        <f>G9/112.03</f>
        <v>10.889940194590734</v>
      </c>
      <c r="J9" s="567">
        <v>25.89</v>
      </c>
      <c r="K9" s="567">
        <f>G9/136.97</f>
        <v>8.9070599401328767</v>
      </c>
      <c r="L9" s="567"/>
      <c r="M9" s="567">
        <f>G9/854.59</f>
        <v>1.4275851577949659</v>
      </c>
      <c r="N9" s="567">
        <v>1.48</v>
      </c>
      <c r="O9" s="567">
        <f>G9/987.36</f>
        <v>1.2356182142278398</v>
      </c>
      <c r="P9" s="567"/>
      <c r="Q9" s="568">
        <f>E9/1.53</f>
        <v>18.359477124183005</v>
      </c>
      <c r="R9" s="568">
        <v>50.5</v>
      </c>
      <c r="S9" s="568">
        <f>E9/1.91</f>
        <v>14.706806282722514</v>
      </c>
    </row>
    <row r="10" spans="2:20" s="239" customFormat="1" ht="12" customHeight="1">
      <c r="B10" s="289"/>
      <c r="C10" s="345" t="s">
        <v>240</v>
      </c>
      <c r="D10" s="15" t="s">
        <v>221</v>
      </c>
      <c r="E10" s="335">
        <v>7.44</v>
      </c>
      <c r="F10" s="343">
        <v>257.42</v>
      </c>
      <c r="G10" s="343">
        <v>255.19</v>
      </c>
      <c r="H10" s="308"/>
      <c r="I10" s="567">
        <f>G10/93.37</f>
        <v>2.7331048516654168</v>
      </c>
      <c r="J10" s="567">
        <v>2.66</v>
      </c>
      <c r="K10" s="567">
        <f>G10/97.95</f>
        <v>2.6053088310362429</v>
      </c>
      <c r="L10" s="567"/>
      <c r="M10" s="567">
        <f>G10/2584.08</f>
        <v>9.8754682517569123E-2</v>
      </c>
      <c r="N10" s="567">
        <v>0.1</v>
      </c>
      <c r="O10" s="567">
        <f>G10/2744.35</f>
        <v>9.2987410497932119E-2</v>
      </c>
      <c r="P10" s="567"/>
      <c r="Q10" s="568">
        <f>E10/0.93</f>
        <v>8</v>
      </c>
      <c r="R10" s="568">
        <v>3.64</v>
      </c>
      <c r="S10" s="568">
        <f>E10/1</f>
        <v>7.44</v>
      </c>
    </row>
    <row r="11" spans="2:20" s="239" customFormat="1" ht="5.0999999999999996" customHeight="1">
      <c r="B11" s="289"/>
      <c r="C11" s="345"/>
      <c r="D11" s="15"/>
      <c r="E11" s="335"/>
      <c r="F11" s="343"/>
      <c r="G11" s="343"/>
      <c r="H11" s="308"/>
      <c r="I11" s="567"/>
      <c r="J11" s="567"/>
      <c r="K11" s="567"/>
      <c r="L11" s="567"/>
      <c r="M11" s="567"/>
      <c r="N11" s="567"/>
      <c r="O11" s="567"/>
      <c r="P11" s="567"/>
      <c r="Q11" s="568"/>
      <c r="R11" s="568"/>
      <c r="S11" s="568"/>
    </row>
    <row r="12" spans="2:20" s="329" customFormat="1" ht="12" customHeight="1">
      <c r="B12" s="289"/>
      <c r="E12" s="308"/>
      <c r="G12" s="377" t="s">
        <v>231</v>
      </c>
      <c r="H12" s="308"/>
      <c r="I12" s="569">
        <f>MEDIAN(I8:I10)</f>
        <v>3.5263479246881739</v>
      </c>
      <c r="J12" s="570">
        <f>MEDIAN(J8:J10)</f>
        <v>3.59</v>
      </c>
      <c r="K12" s="570">
        <f>MEDIAN(K8:K10)</f>
        <v>3.4362174894970736</v>
      </c>
      <c r="L12" s="571"/>
      <c r="M12" s="570">
        <f>MEDIAN(M8:M10)</f>
        <v>0.31711632566389925</v>
      </c>
      <c r="N12" s="570">
        <f>MEDIAN(N8:N10)</f>
        <v>0.32</v>
      </c>
      <c r="O12" s="570">
        <f>MEDIAN(O8:O10)</f>
        <v>0.31325581266638258</v>
      </c>
      <c r="P12" s="571"/>
      <c r="Q12" s="570">
        <f>MEDIAN(Q8:Q10)</f>
        <v>8.1906249999999989</v>
      </c>
      <c r="R12" s="570">
        <f>MEDIAN(R8:R10)</f>
        <v>27.07</v>
      </c>
      <c r="S12" s="572">
        <f>MEDIAN(S8:S10)</f>
        <v>7.6191860465116283</v>
      </c>
      <c r="T12" s="378"/>
    </row>
    <row r="13" spans="2:20" s="329" customFormat="1" ht="12" customHeight="1">
      <c r="B13" s="289"/>
      <c r="E13" s="308"/>
      <c r="G13" s="377" t="s">
        <v>275</v>
      </c>
      <c r="H13" s="308"/>
      <c r="I13" s="573">
        <f>AVERAGE(I8:I10)</f>
        <v>5.7164643236481085</v>
      </c>
      <c r="J13" s="574">
        <f>AVERAGE(J8:J10)</f>
        <v>10.713333333333333</v>
      </c>
      <c r="K13" s="574">
        <f>AVERAGE(K8:K10)</f>
        <v>4.9828620868887308</v>
      </c>
      <c r="L13" s="575"/>
      <c r="M13" s="574">
        <f>AVERAGE(M8:M10)</f>
        <v>0.61448538865881142</v>
      </c>
      <c r="N13" s="574">
        <f>AVERAGE(N8:N10)</f>
        <v>0.63333333333333341</v>
      </c>
      <c r="O13" s="574">
        <f>AVERAGE(O8:O10)</f>
        <v>0.5472871457973848</v>
      </c>
      <c r="P13" s="575"/>
      <c r="Q13" s="574">
        <f>AVERAGE(Q8:Q10)</f>
        <v>11.516700708061002</v>
      </c>
      <c r="R13" s="574">
        <f>AVERAGE(R8:R10)</f>
        <v>27.07</v>
      </c>
      <c r="S13" s="576">
        <f>AVERAGE(S8:S10)</f>
        <v>9.9219974430780482</v>
      </c>
      <c r="T13" s="378"/>
    </row>
    <row r="14" spans="2:20" s="239" customFormat="1" ht="5.0999999999999996" customHeight="1">
      <c r="B14" s="289"/>
      <c r="C14" s="345"/>
      <c r="D14" s="15"/>
      <c r="E14" s="335"/>
      <c r="F14" s="343"/>
      <c r="G14" s="343"/>
      <c r="H14" s="308"/>
      <c r="I14" s="567"/>
      <c r="J14" s="567"/>
      <c r="K14" s="567"/>
      <c r="L14" s="567"/>
      <c r="M14" s="567"/>
      <c r="N14" s="567"/>
      <c r="O14" s="567"/>
      <c r="P14" s="567"/>
      <c r="Q14" s="568"/>
      <c r="R14" s="568"/>
      <c r="S14" s="568"/>
    </row>
    <row r="15" spans="2:20" s="239" customFormat="1" ht="12" customHeight="1">
      <c r="B15" s="289"/>
      <c r="C15" s="1" t="s">
        <v>222</v>
      </c>
      <c r="D15" s="15"/>
      <c r="E15" s="341"/>
      <c r="F15" s="344"/>
      <c r="G15" s="344"/>
      <c r="H15" s="308"/>
      <c r="I15" s="567"/>
      <c r="J15" s="567"/>
      <c r="K15" s="567"/>
      <c r="L15" s="567"/>
      <c r="M15" s="567"/>
      <c r="N15" s="567"/>
      <c r="O15" s="567"/>
      <c r="P15" s="567"/>
      <c r="Q15" s="567"/>
      <c r="R15" s="567"/>
      <c r="S15" s="567"/>
    </row>
    <row r="16" spans="2:20" s="239" customFormat="1" ht="12" customHeight="1">
      <c r="B16" s="289"/>
      <c r="C16" s="345" t="s">
        <v>242</v>
      </c>
      <c r="D16" s="15" t="s">
        <v>224</v>
      </c>
      <c r="E16" s="335">
        <v>589.36</v>
      </c>
      <c r="F16" s="344">
        <v>554410</v>
      </c>
      <c r="G16" s="344">
        <v>519240</v>
      </c>
      <c r="H16" s="308"/>
      <c r="I16" s="567">
        <f>G16/66335.51</f>
        <v>7.827481841927499</v>
      </c>
      <c r="J16" s="567">
        <v>8.8699999999999992</v>
      </c>
      <c r="K16" s="567">
        <f>G16/80100.29</f>
        <v>6.4823735344778406</v>
      </c>
      <c r="L16" s="567"/>
      <c r="M16" s="567">
        <f>G16/192952.25</f>
        <v>2.6910284798441064</v>
      </c>
      <c r="N16" s="567">
        <v>3.32</v>
      </c>
      <c r="O16" s="567">
        <f>G16/220992.82</f>
        <v>2.3495785971689034</v>
      </c>
      <c r="P16" s="567"/>
      <c r="Q16" s="568">
        <f>E16/49.38</f>
        <v>11.935196435803968</v>
      </c>
      <c r="R16" s="568">
        <v>13.35</v>
      </c>
      <c r="S16" s="568">
        <f>E16/58.1</f>
        <v>10.143889845094664</v>
      </c>
    </row>
    <row r="17" spans="2:20" s="239" customFormat="1" ht="12" customHeight="1">
      <c r="B17" s="289"/>
      <c r="C17" s="345" t="s">
        <v>244</v>
      </c>
      <c r="D17" s="309" t="s">
        <v>223</v>
      </c>
      <c r="E17" s="335">
        <v>251.27</v>
      </c>
      <c r="F17" s="344">
        <v>113810</v>
      </c>
      <c r="G17" s="344">
        <v>106680</v>
      </c>
      <c r="H17" s="308"/>
      <c r="I17" s="567">
        <f>G17/3742.2</f>
        <v>28.507295173961843</v>
      </c>
      <c r="J17" s="567">
        <v>51.07</v>
      </c>
      <c r="K17" s="567">
        <f>G17/6273.93</f>
        <v>17.003696247806399</v>
      </c>
      <c r="L17" s="567"/>
      <c r="M17" s="567">
        <f>G17/79241.12</f>
        <v>1.3462707240887055</v>
      </c>
      <c r="N17" s="567">
        <v>1.86</v>
      </c>
      <c r="O17" s="567">
        <f>G17/98742.02</f>
        <v>1.0803911040102279</v>
      </c>
      <c r="P17" s="567"/>
      <c r="Q17" s="568">
        <f>E17/1.82</f>
        <v>138.06043956043956</v>
      </c>
      <c r="R17" s="568" t="s">
        <v>253</v>
      </c>
      <c r="S17" s="568">
        <f>E17/3.9</f>
        <v>64.428205128205136</v>
      </c>
    </row>
    <row r="18" spans="2:20" s="239" customFormat="1" ht="12" customHeight="1">
      <c r="B18" s="289"/>
      <c r="C18" s="2"/>
      <c r="D18" s="2"/>
      <c r="E18" s="307"/>
      <c r="F18" s="308"/>
      <c r="G18" s="308"/>
      <c r="H18" s="308"/>
      <c r="I18" s="567"/>
      <c r="J18" s="567"/>
      <c r="K18" s="567"/>
      <c r="L18" s="567"/>
      <c r="M18" s="567"/>
      <c r="N18" s="567"/>
      <c r="O18" s="567"/>
      <c r="P18" s="567"/>
      <c r="Q18" s="567"/>
      <c r="R18" s="567"/>
      <c r="S18" s="567"/>
    </row>
    <row r="19" spans="2:20" s="239" customFormat="1" ht="12" customHeight="1">
      <c r="B19" s="289"/>
      <c r="C19" s="2"/>
      <c r="D19" s="2"/>
      <c r="E19" s="307"/>
      <c r="F19" s="308"/>
      <c r="G19" s="377" t="s">
        <v>231</v>
      </c>
      <c r="H19" s="308"/>
      <c r="I19" s="569">
        <f>MEDIAN(I16:I17)</f>
        <v>18.167388507944672</v>
      </c>
      <c r="J19" s="570">
        <f>MEDIAN(J16:J17)</f>
        <v>29.97</v>
      </c>
      <c r="K19" s="570">
        <f>MEDIAN(K16:K17)</f>
        <v>11.74303489114212</v>
      </c>
      <c r="L19" s="571"/>
      <c r="M19" s="570">
        <f>MEDIAN(M16:M17)</f>
        <v>2.018649601966406</v>
      </c>
      <c r="N19" s="570">
        <f>MEDIAN(N16:N17)</f>
        <v>2.59</v>
      </c>
      <c r="O19" s="570">
        <f>MEDIAN(O16:O17)</f>
        <v>1.7149848505895657</v>
      </c>
      <c r="P19" s="571"/>
      <c r="Q19" s="570">
        <f>MEDIAN(Q16:Q17)</f>
        <v>74.997817998121761</v>
      </c>
      <c r="R19" s="570">
        <f>MEDIAN(R16:R17)</f>
        <v>13.35</v>
      </c>
      <c r="S19" s="572">
        <f>MEDIAN(S16:S17)</f>
        <v>37.286047486649899</v>
      </c>
      <c r="T19" s="378"/>
    </row>
    <row r="20" spans="2:20" ht="12" customHeight="1">
      <c r="G20" s="377" t="s">
        <v>275</v>
      </c>
      <c r="H20" s="308"/>
      <c r="I20" s="573">
        <f>AVERAGE(I16:I17)</f>
        <v>18.167388507944672</v>
      </c>
      <c r="J20" s="574">
        <f>AVERAGE(J16:J17)</f>
        <v>29.97</v>
      </c>
      <c r="K20" s="574">
        <f>AVERAGE(K16:K17)</f>
        <v>11.74303489114212</v>
      </c>
      <c r="L20" s="575"/>
      <c r="M20" s="574">
        <f>AVERAGE(M16:M17)</f>
        <v>2.018649601966406</v>
      </c>
      <c r="N20" s="574">
        <f>AVERAGE(N16:N17)</f>
        <v>2.59</v>
      </c>
      <c r="O20" s="574">
        <f>AVERAGE(O16:O17)</f>
        <v>1.7149848505895657</v>
      </c>
      <c r="P20" s="575"/>
      <c r="Q20" s="574">
        <f>AVERAGE(Q16:Q17)</f>
        <v>74.997817998121761</v>
      </c>
      <c r="R20" s="574">
        <f>AVERAGE(R16:R17)</f>
        <v>13.35</v>
      </c>
      <c r="S20" s="576">
        <f>AVERAGE(S16:S17)</f>
        <v>37.286047486649899</v>
      </c>
      <c r="T20" s="378"/>
    </row>
    <row r="21" spans="2:20" s="330" customFormat="1" ht="5.0999999999999996" customHeight="1">
      <c r="B21" s="289"/>
      <c r="C21" s="290"/>
      <c r="D21" s="290"/>
      <c r="E21" s="291"/>
      <c r="F21" s="291"/>
      <c r="G21" s="291"/>
      <c r="H21" s="291"/>
      <c r="I21" s="577"/>
      <c r="J21" s="577"/>
      <c r="K21" s="577"/>
      <c r="L21" s="577"/>
      <c r="M21" s="577"/>
      <c r="N21" s="577"/>
      <c r="O21" s="577"/>
      <c r="P21" s="577"/>
      <c r="Q21" s="577"/>
      <c r="R21" s="577"/>
      <c r="S21" s="577"/>
    </row>
    <row r="22" spans="2:20" s="241" customFormat="1" ht="12" customHeight="1">
      <c r="B22" s="290"/>
      <c r="C22" s="326" t="s">
        <v>245</v>
      </c>
      <c r="D22" s="346" t="s">
        <v>246</v>
      </c>
      <c r="E22" s="347">
        <v>12.95</v>
      </c>
      <c r="F22" s="375">
        <f ca="1">F34</f>
        <v>4359.8438012500001</v>
      </c>
      <c r="G22" s="376">
        <f ca="1">F43</f>
        <v>6501.8438012500001</v>
      </c>
      <c r="H22" s="326"/>
      <c r="I22" s="578">
        <f ca="1">G22/2329.74</f>
        <v>2.7908023218256117</v>
      </c>
      <c r="J22" s="578">
        <v>1.88</v>
      </c>
      <c r="K22" s="578">
        <f ca="1">G22/2176.37</f>
        <v>2.9874717080505615</v>
      </c>
      <c r="L22" s="578"/>
      <c r="M22" s="578">
        <f ca="1">G22/49026.67</f>
        <v>0.13261850746236692</v>
      </c>
      <c r="N22" s="578">
        <v>0.12</v>
      </c>
      <c r="O22" s="578">
        <f ca="1">G22/48055.05</f>
        <v>0.13529990711173956</v>
      </c>
      <c r="P22" s="578"/>
      <c r="Q22" s="578">
        <f>E22/2.09</f>
        <v>6.196172248803828</v>
      </c>
      <c r="R22" s="578" t="s">
        <v>253</v>
      </c>
      <c r="S22" s="578">
        <f>E22/2.17</f>
        <v>5.967741935483871</v>
      </c>
      <c r="T22" s="331"/>
    </row>
    <row r="23" spans="2:20" s="241" customFormat="1" ht="12" customHeight="1">
      <c r="B23" s="289"/>
      <c r="C23" s="298"/>
      <c r="D23" s="298"/>
      <c r="E23" s="298"/>
      <c r="F23" s="298"/>
      <c r="G23" s="298"/>
      <c r="H23" s="298"/>
    </row>
    <row r="24" spans="2:20" s="241" customFormat="1" ht="12" customHeight="1" thickBot="1">
      <c r="B24" s="289"/>
      <c r="C24" s="327"/>
      <c r="D24" s="327"/>
      <c r="E24" s="327"/>
      <c r="F24" s="328"/>
      <c r="G24" s="328"/>
      <c r="H24" s="328"/>
      <c r="I24" s="332"/>
      <c r="J24" s="332"/>
      <c r="K24" s="332"/>
      <c r="L24" s="332"/>
      <c r="M24" s="332"/>
      <c r="N24" s="332"/>
      <c r="O24" s="332"/>
      <c r="P24" s="332"/>
      <c r="Q24" s="332"/>
      <c r="R24" s="332"/>
      <c r="S24" s="332"/>
      <c r="T24" s="332"/>
    </row>
    <row r="25" spans="2:20" s="259" customFormat="1" ht="12" customHeight="1">
      <c r="B25" s="290"/>
      <c r="C25" s="2" t="s">
        <v>273</v>
      </c>
      <c r="D25" s="2"/>
      <c r="E25" s="290"/>
      <c r="F25" s="290"/>
      <c r="G25" s="290"/>
      <c r="H25" s="290"/>
    </row>
    <row r="26" spans="2:20" s="241" customFormat="1" ht="12" customHeight="1">
      <c r="B26" s="290"/>
      <c r="E26" s="290"/>
      <c r="F26" s="290"/>
      <c r="G26" s="290"/>
      <c r="H26" s="290"/>
    </row>
    <row r="27" spans="2:20" s="241" customFormat="1" ht="12" customHeight="1">
      <c r="B27" s="289"/>
      <c r="E27" s="299"/>
      <c r="F27" s="300"/>
      <c r="G27" s="300"/>
      <c r="H27" s="300"/>
    </row>
    <row r="28" spans="2:20" s="241" customFormat="1" ht="12" customHeight="1">
      <c r="B28" s="289"/>
      <c r="E28" s="299"/>
      <c r="F28" s="300"/>
      <c r="G28" s="300"/>
      <c r="H28" s="300"/>
    </row>
    <row r="29" spans="2:20" s="241" customFormat="1" ht="12" customHeight="1" outlineLevel="1">
      <c r="B29" s="289"/>
      <c r="C29" s="340" t="s">
        <v>18</v>
      </c>
      <c r="D29" s="337"/>
      <c r="E29" s="338"/>
      <c r="F29" s="339"/>
      <c r="G29" s="300"/>
      <c r="H29" s="300"/>
    </row>
    <row r="30" spans="2:20" s="241" customFormat="1" ht="12" customHeight="1" outlineLevel="1">
      <c r="B30" s="289"/>
      <c r="C30" s="19" t="s">
        <v>255</v>
      </c>
      <c r="D30" s="43"/>
      <c r="E30" s="43"/>
      <c r="F30" s="351">
        <f>E22</f>
        <v>12.95</v>
      </c>
      <c r="G30" s="289"/>
      <c r="H30" s="289"/>
    </row>
    <row r="31" spans="2:20" s="241" customFormat="1" ht="12" customHeight="1" outlineLevel="1">
      <c r="B31" s="289"/>
      <c r="C31" s="89" t="s">
        <v>259</v>
      </c>
      <c r="D31" s="352"/>
      <c r="E31" s="352"/>
      <c r="F31" s="353">
        <v>336.66747500000002</v>
      </c>
      <c r="G31" s="289"/>
      <c r="H31" s="289"/>
    </row>
    <row r="32" spans="2:20" ht="12" customHeight="1" outlineLevel="1">
      <c r="B32" s="289"/>
      <c r="C32" s="42" t="s">
        <v>260</v>
      </c>
      <c r="D32" s="71"/>
      <c r="E32" s="71"/>
      <c r="F32" s="374">
        <f ca="1">F49</f>
        <v>0</v>
      </c>
      <c r="G32" s="294"/>
      <c r="H32" s="294"/>
    </row>
    <row r="33" spans="2:8" ht="12" customHeight="1" outlineLevel="1">
      <c r="B33" s="289"/>
      <c r="C33" s="354" t="s">
        <v>261</v>
      </c>
      <c r="D33" s="355"/>
      <c r="E33" s="355"/>
      <c r="F33" s="356">
        <f ca="1">SUM(F31:F32)</f>
        <v>336.66747500000002</v>
      </c>
      <c r="G33" s="294"/>
      <c r="H33" s="294"/>
    </row>
    <row r="34" spans="2:8" ht="12" customHeight="1" outlineLevel="1">
      <c r="B34" s="289"/>
      <c r="C34" s="195" t="s">
        <v>262</v>
      </c>
      <c r="D34" s="65"/>
      <c r="E34" s="65"/>
      <c r="F34" s="357">
        <f ca="1">F33*F30</f>
        <v>4359.8438012500001</v>
      </c>
      <c r="G34" s="294"/>
      <c r="H34" s="294"/>
    </row>
    <row r="35" spans="2:8" ht="12" customHeight="1" outlineLevel="1">
      <c r="B35" s="289"/>
      <c r="C35" s="358" t="s">
        <v>263</v>
      </c>
      <c r="D35" s="43"/>
      <c r="E35" s="43"/>
      <c r="F35" s="43"/>
      <c r="G35" s="294"/>
      <c r="H35" s="294"/>
    </row>
    <row r="36" spans="2:8" ht="12" customHeight="1" outlineLevel="1">
      <c r="B36" s="289"/>
      <c r="C36" s="345" t="s">
        <v>264</v>
      </c>
      <c r="D36" s="43"/>
      <c r="E36" s="43"/>
      <c r="F36" s="359">
        <f>519+542</f>
        <v>1061</v>
      </c>
      <c r="G36" s="294"/>
      <c r="H36" s="294"/>
    </row>
    <row r="37" spans="2:8" ht="12" customHeight="1" outlineLevel="1">
      <c r="C37" s="345" t="s">
        <v>81</v>
      </c>
      <c r="D37" s="43"/>
      <c r="E37" s="43"/>
      <c r="F37" s="359">
        <v>1165</v>
      </c>
    </row>
    <row r="38" spans="2:8" ht="12" customHeight="1" outlineLevel="1">
      <c r="C38" s="345" t="s">
        <v>265</v>
      </c>
      <c r="D38" s="43"/>
      <c r="E38" s="43"/>
      <c r="F38" s="359">
        <v>0</v>
      </c>
    </row>
    <row r="39" spans="2:8" ht="12" customHeight="1" outlineLevel="1">
      <c r="C39" s="345" t="s">
        <v>266</v>
      </c>
      <c r="D39" s="43"/>
      <c r="E39" s="43"/>
      <c r="F39" s="359">
        <v>0</v>
      </c>
    </row>
    <row r="40" spans="2:8" ht="12" customHeight="1" outlineLevel="1">
      <c r="C40" s="345" t="s">
        <v>267</v>
      </c>
      <c r="D40" s="43"/>
      <c r="E40" s="43"/>
      <c r="F40" s="359">
        <v>0</v>
      </c>
    </row>
    <row r="41" spans="2:8" ht="12" customHeight="1" outlineLevel="1">
      <c r="C41" s="345" t="s">
        <v>268</v>
      </c>
      <c r="D41" s="43"/>
      <c r="E41" s="43"/>
      <c r="F41" s="359">
        <v>596</v>
      </c>
    </row>
    <row r="42" spans="2:8" ht="12" customHeight="1" outlineLevel="1">
      <c r="C42" s="71" t="s">
        <v>269</v>
      </c>
      <c r="D42" s="71"/>
      <c r="E42" s="71"/>
      <c r="F42" s="360">
        <v>-680</v>
      </c>
    </row>
    <row r="43" spans="2:8" ht="12" customHeight="1" outlineLevel="1">
      <c r="C43" s="361" t="s">
        <v>18</v>
      </c>
      <c r="D43" s="355"/>
      <c r="E43" s="355"/>
      <c r="F43" s="362">
        <f ca="1">F34+SUM(F36:F42)</f>
        <v>6501.8438012500001</v>
      </c>
    </row>
    <row r="44" spans="2:8" ht="12" customHeight="1" outlineLevel="1">
      <c r="C44" s="43"/>
      <c r="D44" s="43"/>
      <c r="E44" s="43"/>
      <c r="F44" s="43"/>
    </row>
    <row r="45" spans="2:8" ht="12" customHeight="1" outlineLevel="1">
      <c r="C45" s="363" t="s">
        <v>270</v>
      </c>
      <c r="D45" s="364"/>
      <c r="E45" s="365" t="s">
        <v>271</v>
      </c>
      <c r="F45" s="365" t="s">
        <v>272</v>
      </c>
    </row>
    <row r="46" spans="2:8" ht="12" customHeight="1" outlineLevel="1">
      <c r="C46" s="366" t="s">
        <v>237</v>
      </c>
      <c r="D46" s="71"/>
      <c r="E46" s="367" t="s">
        <v>256</v>
      </c>
      <c r="F46" s="367" t="s">
        <v>234</v>
      </c>
    </row>
    <row r="47" spans="2:8" ht="12" customHeight="1" outlineLevel="1">
      <c r="C47" s="368">
        <v>35.801000000000002</v>
      </c>
      <c r="D47" s="43"/>
      <c r="E47" s="369">
        <v>38.08</v>
      </c>
      <c r="F47" s="370">
        <f>IF(E$22&gt;E47,C47*E47/E$22,0)</f>
        <v>0</v>
      </c>
    </row>
    <row r="48" spans="2:8" ht="12" customHeight="1" outlineLevel="1">
      <c r="C48" s="371">
        <v>0</v>
      </c>
      <c r="D48" s="71"/>
      <c r="E48" s="372">
        <v>0</v>
      </c>
      <c r="F48" s="373">
        <f ca="1">IF(F$22&gt;E48,C48*E48/F$22,0)</f>
        <v>0</v>
      </c>
    </row>
    <row r="49" spans="3:15" ht="12" customHeight="1" outlineLevel="1" thickBot="1">
      <c r="C49" s="348" t="s">
        <v>10</v>
      </c>
      <c r="D49" s="348"/>
      <c r="E49" s="349"/>
      <c r="F49" s="350">
        <f ca="1">SUM(F47:F48)</f>
        <v>0</v>
      </c>
    </row>
    <row r="50" spans="3:15" ht="12" customHeight="1" outlineLevel="1"/>
    <row r="53" spans="3:15" ht="12" customHeight="1">
      <c r="C53" s="290" t="s">
        <v>276</v>
      </c>
      <c r="D53" s="379"/>
      <c r="E53" s="308"/>
      <c r="F53" s="308"/>
      <c r="G53" s="308"/>
      <c r="H53" s="306"/>
      <c r="I53" s="380"/>
      <c r="J53" s="380"/>
      <c r="K53" s="380"/>
      <c r="M53" s="295" t="s">
        <v>18</v>
      </c>
      <c r="N53" s="295"/>
    </row>
    <row r="54" spans="3:15" ht="12" customHeight="1">
      <c r="C54" s="289"/>
      <c r="D54" s="379"/>
      <c r="E54" s="381" t="s">
        <v>277</v>
      </c>
      <c r="F54" s="308"/>
      <c r="G54" s="308"/>
      <c r="I54" s="382" t="s">
        <v>233</v>
      </c>
      <c r="J54" s="383" t="s">
        <v>232</v>
      </c>
      <c r="K54" s="380"/>
      <c r="M54" s="383" t="s">
        <v>233</v>
      </c>
      <c r="N54" s="383" t="s">
        <v>232</v>
      </c>
    </row>
    <row r="55" spans="3:15" ht="12" customHeight="1">
      <c r="C55" s="289" t="s">
        <v>278</v>
      </c>
      <c r="D55" s="379"/>
      <c r="E55" s="308">
        <f>AVERAGE('Income statement'!F18:G18)</f>
        <v>3178</v>
      </c>
      <c r="F55" s="308"/>
      <c r="G55" s="308"/>
      <c r="I55" s="384">
        <v>2</v>
      </c>
      <c r="J55" s="384">
        <v>3</v>
      </c>
      <c r="K55" s="380"/>
      <c r="M55" s="305">
        <f>$E$55*I55</f>
        <v>6356</v>
      </c>
      <c r="N55" s="305">
        <f>$E$55*J55</f>
        <v>9534</v>
      </c>
    </row>
    <row r="56" spans="3:15" ht="12" customHeight="1">
      <c r="C56" s="297" t="s">
        <v>115</v>
      </c>
      <c r="D56" s="385"/>
      <c r="E56" s="381">
        <f>'Income statement'!H18</f>
        <v>2454.1219999999976</v>
      </c>
      <c r="F56" s="381"/>
      <c r="G56" s="381"/>
      <c r="H56" s="396"/>
      <c r="I56" s="386">
        <v>1.5</v>
      </c>
      <c r="J56" s="387">
        <v>2.5</v>
      </c>
      <c r="K56" s="383"/>
      <c r="L56" s="396"/>
      <c r="M56" s="388">
        <f>$E$56*I56</f>
        <v>3681.1829999999964</v>
      </c>
      <c r="N56" s="388">
        <f>$E$56*J56</f>
        <v>6135.3049999999939</v>
      </c>
    </row>
    <row r="57" spans="3:15" ht="12" customHeight="1">
      <c r="C57" s="290" t="s">
        <v>279</v>
      </c>
      <c r="D57" s="379"/>
      <c r="E57" s="308"/>
      <c r="F57" s="308"/>
      <c r="G57" s="308"/>
      <c r="I57" s="306"/>
      <c r="J57" s="380"/>
      <c r="K57" s="380"/>
      <c r="M57" s="389">
        <f>MEDIAN(M55:M56)</f>
        <v>5018.5914999999986</v>
      </c>
      <c r="N57" s="389">
        <f>MEDIAN(N55:N56)</f>
        <v>7834.6524999999965</v>
      </c>
    </row>
    <row r="58" spans="3:15" ht="12" customHeight="1">
      <c r="C58" s="297" t="s">
        <v>280</v>
      </c>
      <c r="D58" s="385"/>
      <c r="E58" s="381"/>
      <c r="F58" s="381"/>
      <c r="G58" s="381"/>
      <c r="H58" s="396"/>
      <c r="I58" s="382"/>
      <c r="J58" s="383"/>
      <c r="K58" s="383"/>
      <c r="L58" s="396"/>
      <c r="M58" s="398">
        <f>SUM(F36:F42)</f>
        <v>2142</v>
      </c>
      <c r="N58" s="394">
        <f>M58</f>
        <v>2142</v>
      </c>
    </row>
    <row r="59" spans="3:15" ht="12" customHeight="1">
      <c r="C59" s="290" t="s">
        <v>281</v>
      </c>
      <c r="D59" s="379"/>
      <c r="E59" s="308"/>
      <c r="F59" s="308"/>
      <c r="G59" s="308"/>
      <c r="I59" s="306"/>
      <c r="J59" s="380"/>
      <c r="K59" s="380"/>
      <c r="M59" s="389">
        <f>M57-M58</f>
        <v>2876.5914999999986</v>
      </c>
      <c r="N59" s="389">
        <f>N57-N58</f>
        <v>5692.6524999999965</v>
      </c>
    </row>
    <row r="60" spans="3:15" ht="12" customHeight="1">
      <c r="C60" s="297" t="s">
        <v>282</v>
      </c>
      <c r="D60" s="385"/>
      <c r="E60" s="381"/>
      <c r="F60" s="381"/>
      <c r="G60" s="381"/>
      <c r="H60" s="396"/>
      <c r="I60" s="382"/>
      <c r="J60" s="383"/>
      <c r="K60" s="383"/>
      <c r="L60" s="396"/>
      <c r="M60" s="397">
        <f ca="1">F33</f>
        <v>336.66747500000002</v>
      </c>
      <c r="N60" s="395">
        <f ca="1">M60</f>
        <v>336.66747500000002</v>
      </c>
    </row>
    <row r="61" spans="3:15" ht="12" customHeight="1">
      <c r="C61" s="290" t="s">
        <v>283</v>
      </c>
      <c r="D61" s="379"/>
      <c r="E61" s="308"/>
      <c r="F61" s="308"/>
      <c r="G61" s="308"/>
      <c r="I61" s="306"/>
      <c r="J61" s="380"/>
      <c r="K61" s="380"/>
      <c r="M61" s="400">
        <f ca="1">M59/M60</f>
        <v>8.5443106733134773</v>
      </c>
      <c r="N61" s="400">
        <f ca="1">N59/N60</f>
        <v>16.908828213952049</v>
      </c>
    </row>
    <row r="62" spans="3:15" ht="5.0999999999999996" customHeight="1" thickBot="1">
      <c r="C62" s="390"/>
      <c r="D62" s="391"/>
      <c r="E62" s="392"/>
      <c r="F62" s="392"/>
      <c r="G62" s="392"/>
      <c r="H62" s="393"/>
      <c r="I62" s="393"/>
      <c r="J62" s="393"/>
      <c r="K62" s="393"/>
      <c r="L62" s="393"/>
      <c r="M62" s="393"/>
      <c r="N62" s="393"/>
    </row>
    <row r="63" spans="3:15" ht="12" customHeight="1">
      <c r="C63" s="289"/>
      <c r="D63" s="379"/>
      <c r="E63" s="308"/>
      <c r="F63" s="308"/>
      <c r="G63" s="308"/>
      <c r="I63" s="306"/>
      <c r="J63" s="380"/>
      <c r="K63" s="380"/>
      <c r="M63" s="380"/>
      <c r="N63" s="380"/>
    </row>
    <row r="64" spans="3:15" ht="12" customHeight="1">
      <c r="C64" s="290"/>
      <c r="D64" s="379"/>
      <c r="E64" s="308"/>
      <c r="F64" s="308"/>
      <c r="G64" s="308"/>
      <c r="H64" s="294"/>
      <c r="I64" s="306"/>
      <c r="J64" s="380"/>
      <c r="K64" s="380"/>
      <c r="L64" s="294"/>
      <c r="M64" s="295"/>
      <c r="N64" s="295"/>
      <c r="O64" s="294"/>
    </row>
    <row r="65" spans="3:15" ht="12" customHeight="1">
      <c r="C65" s="289"/>
      <c r="D65" s="379"/>
      <c r="E65" s="308"/>
      <c r="F65" s="308"/>
      <c r="G65" s="308"/>
      <c r="H65" s="294"/>
      <c r="I65" s="306"/>
      <c r="J65" s="380"/>
      <c r="K65" s="380"/>
      <c r="L65" s="294"/>
      <c r="M65" s="380"/>
      <c r="N65" s="380"/>
      <c r="O65" s="294"/>
    </row>
    <row r="66" spans="3:15" ht="12" customHeight="1">
      <c r="C66" s="289"/>
      <c r="D66" s="379"/>
      <c r="E66" s="308"/>
      <c r="F66" s="308"/>
      <c r="G66" s="308"/>
      <c r="H66" s="294"/>
      <c r="I66" s="524"/>
      <c r="J66" s="524"/>
      <c r="K66" s="380"/>
      <c r="L66" s="294"/>
      <c r="M66" s="305"/>
      <c r="N66" s="305"/>
      <c r="O66" s="294"/>
    </row>
    <row r="67" spans="3:15" ht="12" customHeight="1">
      <c r="C67" s="290"/>
      <c r="D67" s="379"/>
      <c r="E67" s="308"/>
      <c r="F67" s="308"/>
      <c r="G67" s="308"/>
      <c r="H67" s="294"/>
      <c r="I67" s="306"/>
      <c r="J67" s="380"/>
      <c r="K67" s="380"/>
      <c r="L67" s="294"/>
      <c r="M67" s="399"/>
      <c r="N67" s="399"/>
      <c r="O67" s="294"/>
    </row>
    <row r="68" spans="3:15" ht="12" customHeight="1">
      <c r="C68" s="289"/>
      <c r="D68" s="379"/>
      <c r="E68" s="308"/>
      <c r="F68" s="308"/>
      <c r="G68" s="308"/>
      <c r="H68" s="294"/>
      <c r="I68" s="306"/>
      <c r="J68" s="380"/>
      <c r="K68" s="380"/>
      <c r="L68" s="294"/>
      <c r="M68" s="525"/>
      <c r="N68" s="525"/>
      <c r="O68" s="294"/>
    </row>
    <row r="69" spans="3:15" ht="12" customHeight="1">
      <c r="C69" s="290"/>
      <c r="D69" s="379"/>
      <c r="E69" s="308"/>
      <c r="F69" s="308"/>
      <c r="G69" s="308"/>
      <c r="H69" s="294"/>
      <c r="I69" s="306"/>
      <c r="J69" s="380"/>
      <c r="K69" s="380"/>
      <c r="L69" s="294"/>
      <c r="M69" s="389"/>
      <c r="N69" s="389"/>
      <c r="O69" s="294"/>
    </row>
    <row r="70" spans="3:15" ht="12" customHeight="1">
      <c r="C70" s="289"/>
      <c r="D70" s="379"/>
      <c r="E70" s="308"/>
      <c r="F70" s="308"/>
      <c r="G70" s="308"/>
      <c r="H70" s="294"/>
      <c r="I70" s="306"/>
      <c r="J70" s="380"/>
      <c r="K70" s="380"/>
      <c r="L70" s="294"/>
      <c r="M70" s="526"/>
      <c r="N70" s="526"/>
      <c r="O70" s="294"/>
    </row>
    <row r="71" spans="3:15" ht="12" customHeight="1">
      <c r="C71" s="290"/>
      <c r="D71" s="379"/>
      <c r="E71" s="308"/>
      <c r="F71" s="308"/>
      <c r="G71" s="308"/>
      <c r="H71" s="294"/>
      <c r="I71" s="306"/>
      <c r="J71" s="380"/>
      <c r="K71" s="380"/>
      <c r="L71" s="294"/>
      <c r="M71" s="400"/>
      <c r="N71" s="400"/>
      <c r="O71" s="294"/>
    </row>
    <row r="72" spans="3:15" ht="5.0999999999999996" customHeight="1">
      <c r="C72" s="289"/>
      <c r="D72" s="379"/>
      <c r="E72" s="308"/>
      <c r="F72" s="308"/>
      <c r="G72" s="308"/>
      <c r="H72" s="380"/>
      <c r="I72" s="380"/>
      <c r="J72" s="380"/>
      <c r="K72" s="380"/>
      <c r="L72" s="380"/>
      <c r="M72" s="380"/>
      <c r="N72" s="380"/>
      <c r="O72" s="294"/>
    </row>
    <row r="73" spans="3:15" ht="12" customHeight="1">
      <c r="C73" s="289"/>
      <c r="D73" s="289"/>
      <c r="E73" s="301"/>
      <c r="F73" s="294"/>
      <c r="G73" s="294"/>
      <c r="H73" s="294"/>
      <c r="I73" s="294"/>
      <c r="J73" s="294"/>
      <c r="K73" s="294"/>
      <c r="L73" s="294"/>
      <c r="M73" s="294"/>
      <c r="N73" s="294"/>
      <c r="O73" s="294"/>
    </row>
    <row r="74" spans="3:15" ht="12" customHeight="1">
      <c r="C74" s="289"/>
      <c r="D74" s="289"/>
      <c r="E74" s="301"/>
      <c r="F74" s="294"/>
      <c r="G74" s="294"/>
      <c r="H74" s="294"/>
      <c r="I74" s="294"/>
      <c r="J74" s="294"/>
      <c r="K74" s="294"/>
      <c r="L74" s="294"/>
      <c r="M74" s="294"/>
      <c r="N74" s="294"/>
      <c r="O74" s="294"/>
    </row>
    <row r="75" spans="3:15" ht="12" customHeight="1">
      <c r="C75" s="289"/>
      <c r="D75" s="289"/>
      <c r="E75" s="301"/>
      <c r="F75" s="294"/>
      <c r="G75" s="294"/>
      <c r="H75" s="294"/>
      <c r="I75" s="294"/>
      <c r="J75" s="294"/>
      <c r="K75" s="294"/>
      <c r="L75" s="294"/>
      <c r="M75" s="294"/>
      <c r="N75" s="294"/>
      <c r="O75" s="294"/>
    </row>
  </sheetData>
  <phoneticPr fontId="28" type="noConversion"/>
  <pageMargins left="0.75" right="0.75" top="1" bottom="1" header="0.5" footer="0.5"/>
  <headerFooter alignWithMargins="0"/>
  <drawing r:id="rId1"/>
  <legacyDrawing r:id="rId2"/>
</worksheet>
</file>

<file path=xl/worksheets/sheet12.xml><?xml version="1.0" encoding="utf-8"?>
<worksheet xmlns="http://schemas.openxmlformats.org/spreadsheetml/2006/main" xmlns:r="http://schemas.openxmlformats.org/officeDocument/2006/relationships">
  <sheetPr enableFormatConditionsCalculation="0">
    <tabColor indexed="16"/>
  </sheetPr>
  <dimension ref="C1:X20"/>
  <sheetViews>
    <sheetView showGridLines="0" zoomScale="130" zoomScaleNormal="130" workbookViewId="0"/>
  </sheetViews>
  <sheetFormatPr defaultRowHeight="12.75"/>
  <cols>
    <col min="3" max="3" width="17.28515625" bestFit="1" customWidth="1"/>
    <col min="8" max="8" width="7.140625" bestFit="1" customWidth="1"/>
  </cols>
  <sheetData>
    <row r="1" spans="3:24" ht="63.75" customHeight="1"/>
    <row r="3" spans="3:24">
      <c r="C3" s="401"/>
      <c r="D3" s="401"/>
      <c r="E3" s="401"/>
      <c r="F3" s="401"/>
      <c r="G3" s="401"/>
      <c r="H3" s="401"/>
      <c r="I3" s="401"/>
      <c r="J3" s="401"/>
      <c r="K3" s="401"/>
      <c r="L3" s="401"/>
      <c r="M3" s="401"/>
      <c r="N3" s="401"/>
      <c r="O3" s="401"/>
      <c r="P3" s="401"/>
      <c r="Q3" s="401"/>
      <c r="R3" s="401"/>
    </row>
    <row r="4" spans="3:24">
      <c r="C4" s="402"/>
      <c r="D4" s="403" t="s">
        <v>284</v>
      </c>
      <c r="E4" s="403"/>
      <c r="F4" s="403"/>
      <c r="G4" s="336"/>
      <c r="H4" s="403" t="s">
        <v>285</v>
      </c>
      <c r="I4" s="403"/>
      <c r="J4" s="403"/>
      <c r="K4" s="336"/>
      <c r="L4" s="403" t="s">
        <v>301</v>
      </c>
      <c r="M4" s="403"/>
      <c r="N4" s="403"/>
      <c r="O4" s="336"/>
      <c r="P4" s="403" t="s">
        <v>302</v>
      </c>
      <c r="Q4" s="403"/>
      <c r="R4" s="403"/>
    </row>
    <row r="5" spans="3:24">
      <c r="C5" s="404"/>
      <c r="D5" s="405" t="s">
        <v>233</v>
      </c>
      <c r="E5" s="405" t="s">
        <v>286</v>
      </c>
      <c r="F5" s="405" t="s">
        <v>232</v>
      </c>
      <c r="G5" s="406"/>
      <c r="H5" s="405" t="s">
        <v>233</v>
      </c>
      <c r="I5" s="405" t="s">
        <v>286</v>
      </c>
      <c r="J5" s="405" t="s">
        <v>232</v>
      </c>
      <c r="K5" s="406"/>
      <c r="L5" s="405" t="s">
        <v>233</v>
      </c>
      <c r="M5" s="405" t="s">
        <v>286</v>
      </c>
      <c r="N5" s="405" t="s">
        <v>232</v>
      </c>
      <c r="O5" s="406"/>
      <c r="P5" s="405" t="s">
        <v>233</v>
      </c>
      <c r="Q5" s="405" t="s">
        <v>286</v>
      </c>
      <c r="R5" s="405" t="s">
        <v>232</v>
      </c>
    </row>
    <row r="6" spans="3:24">
      <c r="C6" s="407"/>
      <c r="D6" s="407">
        <v>11.41</v>
      </c>
      <c r="E6" s="407"/>
      <c r="F6" s="407">
        <v>28.51</v>
      </c>
      <c r="G6" s="407"/>
      <c r="H6" s="411">
        <f ca="1">COMPS!M61</f>
        <v>8.5443106733134773</v>
      </c>
      <c r="I6" s="407"/>
      <c r="J6" s="411">
        <f ca="1">COMPS!N61</f>
        <v>16.908828213952049</v>
      </c>
      <c r="K6" s="407"/>
      <c r="L6" s="411">
        <f>DCF!G40</f>
        <v>13.968165086692398</v>
      </c>
      <c r="M6" s="407"/>
      <c r="N6" s="411">
        <f>DCF!E42</f>
        <v>19.781029696514334</v>
      </c>
      <c r="O6" s="407"/>
      <c r="P6" s="411">
        <f>DCF!G46</f>
        <v>22.889175935062305</v>
      </c>
      <c r="Q6" s="407"/>
      <c r="R6" s="411">
        <f>DCF!E48</f>
        <v>30.279261114788319</v>
      </c>
    </row>
    <row r="7" spans="3:24">
      <c r="C7" s="407" t="s">
        <v>255</v>
      </c>
      <c r="D7" s="408"/>
      <c r="E7" s="407"/>
      <c r="F7" s="408"/>
      <c r="G7" s="407"/>
      <c r="H7" s="409"/>
      <c r="J7" s="409"/>
      <c r="K7" s="407"/>
      <c r="L7" s="409"/>
      <c r="M7" s="410"/>
      <c r="N7" s="409"/>
      <c r="O7" s="407"/>
      <c r="P7" s="409"/>
      <c r="Q7" s="407"/>
      <c r="R7" s="409"/>
    </row>
    <row r="8" spans="3:24">
      <c r="C8" s="407" t="s">
        <v>282</v>
      </c>
      <c r="D8" s="407"/>
      <c r="E8" s="407"/>
      <c r="F8" s="407"/>
      <c r="G8" s="407"/>
      <c r="H8" s="407"/>
      <c r="I8" s="407"/>
      <c r="J8" s="407"/>
      <c r="K8" s="407"/>
      <c r="L8" s="407"/>
      <c r="M8" s="407"/>
      <c r="N8" s="407"/>
      <c r="O8" s="407"/>
      <c r="P8" s="407"/>
      <c r="Q8" s="407"/>
      <c r="R8" s="407"/>
    </row>
    <row r="9" spans="3:24">
      <c r="C9" s="407" t="s">
        <v>262</v>
      </c>
      <c r="D9" s="407"/>
      <c r="E9" s="407"/>
      <c r="F9" s="407"/>
      <c r="G9" s="407"/>
      <c r="H9" s="407"/>
      <c r="I9" s="407"/>
      <c r="J9" s="407"/>
      <c r="K9" s="407"/>
      <c r="L9" s="407"/>
      <c r="M9" s="407"/>
      <c r="N9" s="407"/>
      <c r="O9" s="407"/>
      <c r="P9" s="407"/>
      <c r="Q9" s="407"/>
      <c r="R9" s="407"/>
    </row>
    <row r="10" spans="3:24">
      <c r="C10" s="407" t="s">
        <v>280</v>
      </c>
      <c r="D10" s="404"/>
      <c r="E10" s="404"/>
      <c r="F10" s="404"/>
      <c r="G10" s="404"/>
      <c r="H10" s="404"/>
      <c r="I10" s="404"/>
      <c r="J10" s="404"/>
      <c r="K10" s="404"/>
      <c r="L10" s="404"/>
      <c r="M10" s="404"/>
      <c r="N10" s="404"/>
      <c r="O10" s="404"/>
      <c r="P10" s="404"/>
      <c r="Q10" s="404"/>
      <c r="R10" s="404"/>
    </row>
    <row r="11" spans="3:24">
      <c r="C11" s="407" t="s">
        <v>18</v>
      </c>
      <c r="D11" s="407"/>
      <c r="E11" s="407"/>
      <c r="F11" s="407"/>
      <c r="G11" s="407"/>
      <c r="H11" s="407"/>
      <c r="I11" s="407"/>
      <c r="J11" s="407"/>
      <c r="K11" s="407"/>
      <c r="L11" s="407"/>
      <c r="M11" s="407"/>
      <c r="N11" s="407"/>
      <c r="O11" s="407"/>
      <c r="P11" s="407"/>
      <c r="Q11" s="407"/>
      <c r="R11" s="407"/>
    </row>
    <row r="14" spans="3:24">
      <c r="H14" s="548">
        <f>X17</f>
        <v>12.95</v>
      </c>
      <c r="J14" s="547" t="s">
        <v>307</v>
      </c>
    </row>
    <row r="15" spans="3:24" ht="5.0999999999999996" customHeight="1"/>
    <row r="16" spans="3:24">
      <c r="T16" s="407" t="s">
        <v>287</v>
      </c>
      <c r="U16" s="407" t="s">
        <v>233</v>
      </c>
      <c r="V16" s="407" t="s">
        <v>116</v>
      </c>
      <c r="W16" s="407" t="s">
        <v>232</v>
      </c>
      <c r="X16" s="407" t="s">
        <v>288</v>
      </c>
    </row>
    <row r="17" spans="9:24">
      <c r="I17" s="616"/>
      <c r="T17" s="136" t="s">
        <v>301</v>
      </c>
      <c r="U17" s="411">
        <f>L6</f>
        <v>13.968165086692398</v>
      </c>
      <c r="V17" s="411">
        <f>W17-U17</f>
        <v>5.8128646098219363</v>
      </c>
      <c r="W17" s="411">
        <f>N6</f>
        <v>19.781029696514334</v>
      </c>
      <c r="X17" s="411">
        <f>COMPS!$E$22</f>
        <v>12.95</v>
      </c>
    </row>
    <row r="18" spans="9:24">
      <c r="T18" s="136" t="s">
        <v>289</v>
      </c>
      <c r="U18" s="411">
        <f>D6</f>
        <v>11.41</v>
      </c>
      <c r="V18" s="411">
        <f>W18-U18</f>
        <v>17.100000000000001</v>
      </c>
      <c r="W18" s="411">
        <f>F6</f>
        <v>28.51</v>
      </c>
      <c r="X18" s="411">
        <f>COMPS!$E$22</f>
        <v>12.95</v>
      </c>
    </row>
    <row r="19" spans="9:24">
      <c r="T19" s="136" t="s">
        <v>290</v>
      </c>
      <c r="U19" s="411">
        <f ca="1">H6</f>
        <v>8.5443106733134773</v>
      </c>
      <c r="V19" s="411">
        <f ca="1">W19-U19</f>
        <v>8.3645175406385714</v>
      </c>
      <c r="W19" s="411">
        <f ca="1">J6</f>
        <v>16.908828213952049</v>
      </c>
      <c r="X19" s="411">
        <f>COMPS!$E$22</f>
        <v>12.95</v>
      </c>
    </row>
    <row r="20" spans="9:24">
      <c r="T20" s="136" t="s">
        <v>302</v>
      </c>
      <c r="U20" s="411">
        <f>P6</f>
        <v>22.889175935062305</v>
      </c>
      <c r="V20" s="411">
        <f>W20-U20</f>
        <v>7.3900851797260145</v>
      </c>
      <c r="W20" s="411">
        <f>R6</f>
        <v>30.279261114788319</v>
      </c>
      <c r="X20" s="411">
        <f>COMPS!$E$22</f>
        <v>12.95</v>
      </c>
    </row>
  </sheetData>
  <phoneticPr fontId="28" type="noConversion"/>
  <pageMargins left="0.75" right="0.75" top="1" bottom="1" header="0.5" footer="0.5"/>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Stand alone---</vt:lpstr>
      <vt:lpstr>Scenario</vt:lpstr>
      <vt:lpstr>Income statement</vt:lpstr>
      <vt:lpstr>Cash flow statement</vt:lpstr>
      <vt:lpstr>Operating working capital</vt:lpstr>
      <vt:lpstr>Balance Sheet</vt:lpstr>
      <vt:lpstr>Depreciation schedule</vt:lpstr>
      <vt:lpstr>Debt schedule</vt:lpstr>
      <vt:lpstr>Valution---&gt;</vt:lpstr>
      <vt:lpstr>DCF</vt:lpstr>
      <vt:lpstr>COMPS</vt:lpstr>
      <vt:lpstr>Football field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dc:creator>
  <cp:lastModifiedBy>Paul</cp:lastModifiedBy>
  <cp:lastPrinted>2012-12-05T15:27:29Z</cp:lastPrinted>
  <dcterms:created xsi:type="dcterms:W3CDTF">2006-06-04T11:56:43Z</dcterms:created>
  <dcterms:modified xsi:type="dcterms:W3CDTF">2013-06-13T14:56:10Z</dcterms:modified>
</cp:coreProperties>
</file>