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2960" windowHeight="8490" tabRatio="594"/>
  </bookViews>
  <sheets>
    <sheet name="Income Statement" sheetId="1" r:id="rId1"/>
    <sheet name="Cash Flow Statement" sheetId="4" r:id="rId2"/>
    <sheet name="Balance Sheet" sheetId="5" r:id="rId3"/>
    <sheet name="Depreciation" sheetId="6" r:id="rId4"/>
    <sheet name="Operating Working Capital" sheetId="7" r:id="rId5"/>
    <sheet name="Debt Schedule" sheetId="8" r:id="rId6"/>
    <sheet name="Sheet1" sheetId="9" r:id="rId7"/>
  </sheets>
  <definedNames>
    <definedName name="_xlnm.Print_Area" localSheetId="2">'Balance Sheet'!$B$1:$M$42</definedName>
    <definedName name="_xlnm.Print_Area" localSheetId="1">'Cash Flow Statement'!$B$1:$M$41</definedName>
    <definedName name="_xlnm.Print_Area" localSheetId="5">'Debt Schedule'!$A$1:$M$28</definedName>
    <definedName name="_xlnm.Print_Area" localSheetId="3">Depreciation!$A$1:$M$40</definedName>
    <definedName name="_xlnm.Print_Area" localSheetId="0">'Income Statement'!$B$1:$M$58</definedName>
    <definedName name="_xlnm.Print_Area" localSheetId="4">'Operating Working Capital'!$A$1:$M$23</definedName>
    <definedName name="_xlnm.Print_Titles" localSheetId="0">'Income Statement'!$1:$5</definedName>
  </definedNames>
  <calcPr calcId="125725" iterate="1"/>
</workbook>
</file>

<file path=xl/calcChain.xml><?xml version="1.0" encoding="utf-8"?>
<calcChain xmlns="http://schemas.openxmlformats.org/spreadsheetml/2006/main">
  <c r="G58" i="1"/>
  <c r="H58" s="1"/>
  <c r="I58" s="1"/>
  <c r="J58" s="1"/>
  <c r="K58" s="1"/>
  <c r="L58" s="1"/>
  <c r="M58" s="1"/>
  <c r="G57"/>
  <c r="H57" s="1"/>
  <c r="I57" s="1"/>
  <c r="J57" s="1"/>
  <c r="K57" s="1"/>
  <c r="L57" s="1"/>
  <c r="M57" s="1"/>
  <c r="G50" l="1"/>
  <c r="G35" i="4" s="1"/>
  <c r="G37" i="5"/>
  <c r="H37" s="1"/>
  <c r="I37" s="1"/>
  <c r="J37" s="1"/>
  <c r="K37" s="1"/>
  <c r="L37" s="1"/>
  <c r="M37" s="1"/>
  <c r="G36"/>
  <c r="H36" s="1"/>
  <c r="I36" s="1"/>
  <c r="J36"/>
  <c r="K36" s="1"/>
  <c r="L36" s="1"/>
  <c r="M36" s="1"/>
  <c r="G34"/>
  <c r="G30"/>
  <c r="H30" s="1"/>
  <c r="I30" s="1"/>
  <c r="J30" s="1"/>
  <c r="K30" s="1"/>
  <c r="L30" s="1"/>
  <c r="M30" s="1"/>
  <c r="E27"/>
  <c r="E32" s="1"/>
  <c r="F27"/>
  <c r="F32" s="1"/>
  <c r="D27"/>
  <c r="D32" s="1"/>
  <c r="G18"/>
  <c r="H18" s="1"/>
  <c r="I18" s="1"/>
  <c r="J18" s="1"/>
  <c r="K18" s="1"/>
  <c r="L18" s="1"/>
  <c r="M18" s="1"/>
  <c r="G17"/>
  <c r="H17" s="1"/>
  <c r="I17" s="1"/>
  <c r="J17" s="1"/>
  <c r="K17" s="1"/>
  <c r="L17" s="1"/>
  <c r="M17" s="1"/>
  <c r="G15"/>
  <c r="H15" s="1"/>
  <c r="I15" s="1"/>
  <c r="J15" s="1"/>
  <c r="K15" s="1"/>
  <c r="L15" s="1"/>
  <c r="M15" s="1"/>
  <c r="E13"/>
  <c r="E20" s="1"/>
  <c r="F13"/>
  <c r="F20" s="1"/>
  <c r="D13"/>
  <c r="D20" s="1"/>
  <c r="E38" i="4"/>
  <c r="F38"/>
  <c r="D38"/>
  <c r="G37"/>
  <c r="G31" i="5" s="1"/>
  <c r="H37" i="4"/>
  <c r="E28"/>
  <c r="F28"/>
  <c r="D28"/>
  <c r="G27"/>
  <c r="G19" i="5" s="1"/>
  <c r="G26" i="4"/>
  <c r="H26" s="1"/>
  <c r="I26" s="1"/>
  <c r="J26" s="1"/>
  <c r="K26" s="1"/>
  <c r="L26" s="1"/>
  <c r="M26" s="1"/>
  <c r="G25"/>
  <c r="H25" s="1"/>
  <c r="I25" s="1"/>
  <c r="J25" s="1"/>
  <c r="K25" s="1"/>
  <c r="L25" s="1"/>
  <c r="M25" s="1"/>
  <c r="G24"/>
  <c r="G23"/>
  <c r="H23" s="1"/>
  <c r="I23" s="1"/>
  <c r="H22"/>
  <c r="I22"/>
  <c r="J22"/>
  <c r="K22"/>
  <c r="L22"/>
  <c r="M22"/>
  <c r="G22"/>
  <c r="E19"/>
  <c r="F19"/>
  <c r="D19"/>
  <c r="E21" i="7"/>
  <c r="F21"/>
  <c r="D21"/>
  <c r="G20"/>
  <c r="H20" s="1"/>
  <c r="F19"/>
  <c r="E19"/>
  <c r="F17"/>
  <c r="E17"/>
  <c r="F14"/>
  <c r="E14"/>
  <c r="D14"/>
  <c r="G13"/>
  <c r="F12"/>
  <c r="E12"/>
  <c r="F10"/>
  <c r="E10"/>
  <c r="H9" i="4"/>
  <c r="I9" s="1"/>
  <c r="J9" s="1"/>
  <c r="K9" s="1"/>
  <c r="L9" s="1"/>
  <c r="M9" s="1"/>
  <c r="G9"/>
  <c r="G16" i="5"/>
  <c r="H16" s="1"/>
  <c r="I16" s="1"/>
  <c r="J16" s="1"/>
  <c r="M36" i="6"/>
  <c r="M35"/>
  <c r="L35"/>
  <c r="L34"/>
  <c r="M34"/>
  <c r="K34"/>
  <c r="K33"/>
  <c r="L33"/>
  <c r="M33"/>
  <c r="J33"/>
  <c r="J32"/>
  <c r="K32"/>
  <c r="L32"/>
  <c r="M32"/>
  <c r="I32"/>
  <c r="I31"/>
  <c r="J31"/>
  <c r="K31"/>
  <c r="L31"/>
  <c r="M31"/>
  <c r="H31"/>
  <c r="H30"/>
  <c r="I30"/>
  <c r="J30"/>
  <c r="K30"/>
  <c r="L30"/>
  <c r="M30"/>
  <c r="M17"/>
  <c r="M16"/>
  <c r="L16"/>
  <c r="L15"/>
  <c r="M15"/>
  <c r="K15"/>
  <c r="K14"/>
  <c r="L14"/>
  <c r="M14"/>
  <c r="J14"/>
  <c r="J13"/>
  <c r="K13"/>
  <c r="L13"/>
  <c r="M13"/>
  <c r="I13"/>
  <c r="I12"/>
  <c r="J12"/>
  <c r="K12"/>
  <c r="L12"/>
  <c r="M12"/>
  <c r="H12"/>
  <c r="H11"/>
  <c r="I11"/>
  <c r="J11"/>
  <c r="K11"/>
  <c r="L11"/>
  <c r="M11"/>
  <c r="E50" i="1"/>
  <c r="F50"/>
  <c r="D50"/>
  <c r="E46"/>
  <c r="F46"/>
  <c r="G46"/>
  <c r="H46"/>
  <c r="I46"/>
  <c r="J46"/>
  <c r="K46"/>
  <c r="L46"/>
  <c r="M46"/>
  <c r="D46"/>
  <c r="E35"/>
  <c r="F35"/>
  <c r="D35"/>
  <c r="E24"/>
  <c r="F24"/>
  <c r="D24"/>
  <c r="G23"/>
  <c r="H23" s="1"/>
  <c r="I23" s="1"/>
  <c r="E11"/>
  <c r="E22" s="1"/>
  <c r="F11"/>
  <c r="D11"/>
  <c r="D20" s="1"/>
  <c r="G9"/>
  <c r="H9" s="1"/>
  <c r="I9" s="1"/>
  <c r="J9" s="1"/>
  <c r="K9" s="1"/>
  <c r="L9" s="1"/>
  <c r="M9" s="1"/>
  <c r="G7"/>
  <c r="F10"/>
  <c r="E10"/>
  <c r="F8"/>
  <c r="E8"/>
  <c r="E35" i="5"/>
  <c r="E39" s="1"/>
  <c r="F35"/>
  <c r="F39"/>
  <c r="D35"/>
  <c r="D39" s="1"/>
  <c r="G6" i="6"/>
  <c r="H29" s="1"/>
  <c r="F27" i="8"/>
  <c r="G7" s="1"/>
  <c r="F22"/>
  <c r="G19" s="1"/>
  <c r="F15"/>
  <c r="G12" s="1"/>
  <c r="G11" i="6"/>
  <c r="G30"/>
  <c r="D5" i="7"/>
  <c r="D5" i="8"/>
  <c r="D5" i="6"/>
  <c r="D5" i="5"/>
  <c r="D5" i="4"/>
  <c r="E5" i="1"/>
  <c r="E5" i="8" s="1"/>
  <c r="M29" i="6"/>
  <c r="D15" i="1"/>
  <c r="H27" i="4"/>
  <c r="I27" s="1"/>
  <c r="J27" s="1"/>
  <c r="K27" s="1"/>
  <c r="L27" s="1"/>
  <c r="M27" s="1"/>
  <c r="I37"/>
  <c r="J37" s="1"/>
  <c r="K37" s="1"/>
  <c r="L37" s="1"/>
  <c r="M37" s="1"/>
  <c r="H13" i="7"/>
  <c r="H24" i="4"/>
  <c r="G35" i="5"/>
  <c r="H35" s="1"/>
  <c r="I35" s="1"/>
  <c r="J35" s="1"/>
  <c r="K35" s="1"/>
  <c r="L35" s="1"/>
  <c r="M35" s="1"/>
  <c r="I13" i="7"/>
  <c r="I24" i="4"/>
  <c r="J24" s="1"/>
  <c r="K24"/>
  <c r="L24" s="1"/>
  <c r="M24" s="1"/>
  <c r="M10" i="6" l="1"/>
  <c r="G18" i="4"/>
  <c r="G26" i="5" s="1"/>
  <c r="K16"/>
  <c r="L16" s="1"/>
  <c r="M16" s="1"/>
  <c r="I28" i="4"/>
  <c r="I10" i="6"/>
  <c r="I18" s="1"/>
  <c r="I29" i="1" s="1"/>
  <c r="L10" i="6"/>
  <c r="L18" s="1"/>
  <c r="L29" i="1" s="1"/>
  <c r="L8" i="4" s="1"/>
  <c r="H31" i="5"/>
  <c r="I31" s="1"/>
  <c r="J31" s="1"/>
  <c r="K31" s="1"/>
  <c r="L31" s="1"/>
  <c r="M31" s="1"/>
  <c r="J10" i="6"/>
  <c r="I29"/>
  <c r="G29"/>
  <c r="G37" s="1"/>
  <c r="G38" s="1"/>
  <c r="L29"/>
  <c r="L37" s="1"/>
  <c r="H10"/>
  <c r="J29"/>
  <c r="J37" s="1"/>
  <c r="K10"/>
  <c r="K18" s="1"/>
  <c r="K29" i="1" s="1"/>
  <c r="K8" i="4" s="1"/>
  <c r="K29" i="6"/>
  <c r="K37" s="1"/>
  <c r="K38" s="1"/>
  <c r="G10"/>
  <c r="G18" s="1"/>
  <c r="G29" i="1" s="1"/>
  <c r="G8" i="4" s="1"/>
  <c r="G14" i="5" s="1"/>
  <c r="E5"/>
  <c r="E5" i="7"/>
  <c r="F12" i="1"/>
  <c r="E5" i="4"/>
  <c r="G11" i="1"/>
  <c r="G7" i="7" s="1"/>
  <c r="G12" i="4" s="1"/>
  <c r="G9" i="5" s="1"/>
  <c r="E12" i="1"/>
  <c r="E8" i="7"/>
  <c r="D16" i="1"/>
  <c r="D17" s="1"/>
  <c r="H7"/>
  <c r="I7" s="1"/>
  <c r="J7" s="1"/>
  <c r="E20"/>
  <c r="E16"/>
  <c r="E17" s="1"/>
  <c r="E15"/>
  <c r="D22"/>
  <c r="E22" i="7"/>
  <c r="E27" i="1"/>
  <c r="I20" i="7"/>
  <c r="H18" i="4"/>
  <c r="G28"/>
  <c r="D40" i="5"/>
  <c r="D42" s="1"/>
  <c r="I15" i="4"/>
  <c r="M37" i="6"/>
  <c r="F5" i="1"/>
  <c r="E5" i="6"/>
  <c r="H28" i="4"/>
  <c r="H19" i="5"/>
  <c r="I19" s="1"/>
  <c r="J19" s="1"/>
  <c r="K19" s="1"/>
  <c r="L19" s="1"/>
  <c r="M19" s="1"/>
  <c r="F40"/>
  <c r="F42" s="1"/>
  <c r="F16" i="1"/>
  <c r="F22"/>
  <c r="G22" s="1"/>
  <c r="F15"/>
  <c r="G15" s="1"/>
  <c r="H15" s="1"/>
  <c r="I15" s="1"/>
  <c r="J15" s="1"/>
  <c r="K15" s="1"/>
  <c r="L15" s="1"/>
  <c r="M15" s="1"/>
  <c r="F8" i="7"/>
  <c r="J23" i="1"/>
  <c r="J13" i="7"/>
  <c r="J15" i="4" s="1"/>
  <c r="F20" i="1"/>
  <c r="G20" s="1"/>
  <c r="H18" i="6"/>
  <c r="H29" i="1" s="1"/>
  <c r="H8" i="4" s="1"/>
  <c r="H14" i="5" s="1"/>
  <c r="M18" i="6"/>
  <c r="M29" i="1" s="1"/>
  <c r="M8" i="4" s="1"/>
  <c r="H15"/>
  <c r="G15"/>
  <c r="G12" i="5" s="1"/>
  <c r="H26"/>
  <c r="F22" i="7"/>
  <c r="J23" i="4"/>
  <c r="I37" i="6"/>
  <c r="I38" s="1"/>
  <c r="H37"/>
  <c r="D22" i="7"/>
  <c r="J18" i="6"/>
  <c r="J29" i="1" s="1"/>
  <c r="J8" i="4" s="1"/>
  <c r="I8"/>
  <c r="H34" i="5"/>
  <c r="E40"/>
  <c r="E42" s="1"/>
  <c r="J38" i="6" l="1"/>
  <c r="H38"/>
  <c r="F23" i="7"/>
  <c r="F24" s="1"/>
  <c r="H12" i="5"/>
  <c r="I12" s="1"/>
  <c r="E23" i="7"/>
  <c r="E24" s="1"/>
  <c r="D27" i="1"/>
  <c r="D30" s="1"/>
  <c r="I11"/>
  <c r="I7" i="7" s="1"/>
  <c r="G12" i="1"/>
  <c r="H11"/>
  <c r="H12" s="1"/>
  <c r="H7" i="7"/>
  <c r="E30" i="1"/>
  <c r="E28"/>
  <c r="L38" i="6"/>
  <c r="I14" i="5"/>
  <c r="J14" s="1"/>
  <c r="K14" s="1"/>
  <c r="L14" s="1"/>
  <c r="M14" s="1"/>
  <c r="H22" i="1"/>
  <c r="G21"/>
  <c r="F5" i="4"/>
  <c r="F5" i="7"/>
  <c r="F5" i="8"/>
  <c r="F5" i="6"/>
  <c r="G5" i="1"/>
  <c r="F5" i="5"/>
  <c r="J28" i="4"/>
  <c r="K23"/>
  <c r="J12" i="5"/>
  <c r="H20" i="1"/>
  <c r="G19"/>
  <c r="K15" i="4"/>
  <c r="K13" i="7"/>
  <c r="K23" i="1"/>
  <c r="F17"/>
  <c r="F27"/>
  <c r="J20" i="7"/>
  <c r="I18" i="4"/>
  <c r="I26" i="5" s="1"/>
  <c r="M38" i="6"/>
  <c r="K7" i="1"/>
  <c r="J11"/>
  <c r="G14"/>
  <c r="I34" i="5"/>
  <c r="H50" i="1"/>
  <c r="H35" i="4" s="1"/>
  <c r="D28" i="1" l="1"/>
  <c r="H14"/>
  <c r="H16" s="1"/>
  <c r="H17" s="1"/>
  <c r="I14"/>
  <c r="I12"/>
  <c r="G16" i="7"/>
  <c r="G16" i="1"/>
  <c r="G9" i="7"/>
  <c r="E36" i="1"/>
  <c r="E31"/>
  <c r="J7" i="7"/>
  <c r="J12" i="4" s="1"/>
  <c r="J14" i="1"/>
  <c r="J16" s="1"/>
  <c r="J12"/>
  <c r="D31"/>
  <c r="D36"/>
  <c r="F28"/>
  <c r="F30"/>
  <c r="L13" i="7"/>
  <c r="K12" i="5"/>
  <c r="G5"/>
  <c r="G5" i="6"/>
  <c r="G5" i="8"/>
  <c r="G5" i="7"/>
  <c r="H5" i="1"/>
  <c r="G5" i="4"/>
  <c r="L23"/>
  <c r="K28"/>
  <c r="G24" i="1"/>
  <c r="G11" i="7"/>
  <c r="G18"/>
  <c r="G17" i="4" s="1"/>
  <c r="G24" i="5" s="1"/>
  <c r="I9" i="7"/>
  <c r="I16"/>
  <c r="I22" i="1"/>
  <c r="H21"/>
  <c r="H9" i="7"/>
  <c r="H16"/>
  <c r="K11" i="1"/>
  <c r="L7"/>
  <c r="J18" i="4"/>
  <c r="J26" i="5" s="1"/>
  <c r="K20" i="7"/>
  <c r="L23" i="1"/>
  <c r="H19"/>
  <c r="I20"/>
  <c r="I16"/>
  <c r="I12" i="4"/>
  <c r="H12"/>
  <c r="I50" i="1"/>
  <c r="I35" i="4" s="1"/>
  <c r="J34" i="5"/>
  <c r="M7" i="1" l="1"/>
  <c r="M11" s="1"/>
  <c r="L11"/>
  <c r="H18" i="7"/>
  <c r="H17" i="4" s="1"/>
  <c r="H24" i="5" s="1"/>
  <c r="H11" i="7"/>
  <c r="H14" s="1"/>
  <c r="H24" i="1"/>
  <c r="H27" s="1"/>
  <c r="M23" i="4"/>
  <c r="M28" s="1"/>
  <c r="L28"/>
  <c r="H16"/>
  <c r="G21" i="7"/>
  <c r="G16" i="4"/>
  <c r="G23" i="5" s="1"/>
  <c r="M23" i="1"/>
  <c r="H14" i="4"/>
  <c r="G14"/>
  <c r="G11" i="5" s="1"/>
  <c r="J17" i="1"/>
  <c r="E40"/>
  <c r="E47" s="1"/>
  <c r="E39"/>
  <c r="E37"/>
  <c r="K18" i="4"/>
  <c r="L20" i="7"/>
  <c r="D40" i="1"/>
  <c r="D47" s="1"/>
  <c r="D39"/>
  <c r="D37"/>
  <c r="H13" i="4"/>
  <c r="G13"/>
  <c r="G14" i="7"/>
  <c r="F31" i="1"/>
  <c r="F36"/>
  <c r="I17"/>
  <c r="K12"/>
  <c r="K7" i="7"/>
  <c r="K12" i="4" s="1"/>
  <c r="K14" i="1"/>
  <c r="K16" s="1"/>
  <c r="J22"/>
  <c r="I21"/>
  <c r="C11" i="6"/>
  <c r="C30"/>
  <c r="B6"/>
  <c r="C21"/>
  <c r="K26" i="5"/>
  <c r="I19" i="1"/>
  <c r="J20"/>
  <c r="H21" i="7"/>
  <c r="I16" i="4"/>
  <c r="H5" i="6"/>
  <c r="I5" i="1"/>
  <c r="H5" i="7"/>
  <c r="H5" i="4"/>
  <c r="H5" i="5"/>
  <c r="H5" i="8"/>
  <c r="M13" i="7"/>
  <c r="M15" i="4" s="1"/>
  <c r="J16" i="7"/>
  <c r="J9"/>
  <c r="J13" i="4" s="1"/>
  <c r="H9" i="5"/>
  <c r="I9" s="1"/>
  <c r="J9" s="1"/>
  <c r="I13" i="4"/>
  <c r="L15"/>
  <c r="L12" i="5" s="1"/>
  <c r="G17" i="1"/>
  <c r="G27"/>
  <c r="K34" i="5"/>
  <c r="J50" i="1"/>
  <c r="J35" i="4" s="1"/>
  <c r="H11" i="5" l="1"/>
  <c r="H23"/>
  <c r="I23" s="1"/>
  <c r="G22" i="7"/>
  <c r="H19" i="4"/>
  <c r="K17" i="1"/>
  <c r="D54"/>
  <c r="D49"/>
  <c r="D55"/>
  <c r="D7" i="4"/>
  <c r="D20" s="1"/>
  <c r="D39" s="1"/>
  <c r="D52" i="1"/>
  <c r="E49"/>
  <c r="E54"/>
  <c r="E55"/>
  <c r="E7" i="4"/>
  <c r="E20" s="1"/>
  <c r="E39" s="1"/>
  <c r="E52" i="1"/>
  <c r="L12"/>
  <c r="L14"/>
  <c r="L7" i="7"/>
  <c r="L12" i="4" s="1"/>
  <c r="I5" i="8"/>
  <c r="I5" i="4"/>
  <c r="I5" i="5"/>
  <c r="J5" i="1"/>
  <c r="I5" i="7"/>
  <c r="I5" i="6"/>
  <c r="I11" i="7"/>
  <c r="I18"/>
  <c r="I24" i="1"/>
  <c r="I27" s="1"/>
  <c r="F40"/>
  <c r="F47" s="1"/>
  <c r="F39"/>
  <c r="G39" s="1"/>
  <c r="F37"/>
  <c r="G10" i="5"/>
  <c r="H10" s="1"/>
  <c r="I10" s="1"/>
  <c r="J10" s="1"/>
  <c r="G19" i="4"/>
  <c r="M12" i="5"/>
  <c r="G28" i="1"/>
  <c r="G30"/>
  <c r="G31" s="1"/>
  <c r="H22" i="7"/>
  <c r="J16" i="4"/>
  <c r="J23" i="5" s="1"/>
  <c r="C22" i="6"/>
  <c r="C12"/>
  <c r="C31"/>
  <c r="K20" i="1"/>
  <c r="J19"/>
  <c r="J21"/>
  <c r="K22"/>
  <c r="L18" i="4"/>
  <c r="L26" i="5" s="1"/>
  <c r="M20" i="7"/>
  <c r="M18" i="4" s="1"/>
  <c r="K9" i="5"/>
  <c r="K16" i="7"/>
  <c r="K9"/>
  <c r="H30" i="1"/>
  <c r="H31" s="1"/>
  <c r="H28"/>
  <c r="M12"/>
  <c r="M7" i="7"/>
  <c r="M14" i="1"/>
  <c r="M16" s="1"/>
  <c r="K50"/>
  <c r="K35" i="4" s="1"/>
  <c r="L34" i="5"/>
  <c r="H23" i="7" l="1"/>
  <c r="H24" s="1"/>
  <c r="G23"/>
  <c r="G24" s="1"/>
  <c r="F52" i="1"/>
  <c r="F55"/>
  <c r="F49"/>
  <c r="G49" s="1"/>
  <c r="H49" s="1"/>
  <c r="I49" s="1"/>
  <c r="J49" s="1"/>
  <c r="K49" s="1"/>
  <c r="L49" s="1"/>
  <c r="M49" s="1"/>
  <c r="F54"/>
  <c r="F7" i="4"/>
  <c r="F20" s="1"/>
  <c r="F39" s="1"/>
  <c r="C13" i="6"/>
  <c r="C23"/>
  <c r="C32"/>
  <c r="M26" i="5"/>
  <c r="L9" i="7"/>
  <c r="L13" i="4" s="1"/>
  <c r="L16" i="7"/>
  <c r="M17" i="1"/>
  <c r="L20"/>
  <c r="K19"/>
  <c r="I28"/>
  <c r="I30"/>
  <c r="I31" s="1"/>
  <c r="M9" i="7"/>
  <c r="M16"/>
  <c r="K16" i="4"/>
  <c r="K23" i="5" s="1"/>
  <c r="L22" i="1"/>
  <c r="K21"/>
  <c r="I17" i="4"/>
  <c r="I24" i="5" s="1"/>
  <c r="I21" i="7"/>
  <c r="J5" i="5"/>
  <c r="K5" i="1"/>
  <c r="J5" i="6"/>
  <c r="J5" i="7"/>
  <c r="J5" i="8"/>
  <c r="J5" i="4"/>
  <c r="K13"/>
  <c r="M12"/>
  <c r="L9" i="5"/>
  <c r="J11" i="7"/>
  <c r="J14" i="4" s="1"/>
  <c r="J18" i="7"/>
  <c r="J24" i="1"/>
  <c r="J27" s="1"/>
  <c r="G39" i="6"/>
  <c r="G40" s="1"/>
  <c r="G10" i="4" s="1"/>
  <c r="G29" i="5" s="1"/>
  <c r="H39" i="1"/>
  <c r="I14" i="7"/>
  <c r="I14" i="4"/>
  <c r="L16" i="1"/>
  <c r="M34" i="5"/>
  <c r="L50" i="1"/>
  <c r="L35" i="4" s="1"/>
  <c r="M50" i="1"/>
  <c r="M35" i="4" s="1"/>
  <c r="I22" i="7" l="1"/>
  <c r="M9" i="5"/>
  <c r="M13" i="4"/>
  <c r="J28" i="1"/>
  <c r="J30"/>
  <c r="J31" s="1"/>
  <c r="K5" i="6"/>
  <c r="K5" i="4"/>
  <c r="L5" i="1"/>
  <c r="K5" i="8"/>
  <c r="K5" i="5"/>
  <c r="K5" i="7"/>
  <c r="M16" i="4"/>
  <c r="L17" i="1"/>
  <c r="H39" i="6"/>
  <c r="H40" s="1"/>
  <c r="H10" i="4" s="1"/>
  <c r="H29" i="5" s="1"/>
  <c r="I39" i="1"/>
  <c r="J17" i="4"/>
  <c r="J19" s="1"/>
  <c r="J21" i="7"/>
  <c r="M22" i="1"/>
  <c r="M21" s="1"/>
  <c r="L21"/>
  <c r="L16" i="4"/>
  <c r="L23" i="5" s="1"/>
  <c r="M23" s="1"/>
  <c r="I23" i="7"/>
  <c r="C24" i="6"/>
  <c r="C14"/>
  <c r="C33"/>
  <c r="K18" i="7"/>
  <c r="K11"/>
  <c r="K24" i="1"/>
  <c r="K27" s="1"/>
  <c r="K10" i="5"/>
  <c r="L10" s="1"/>
  <c r="I11"/>
  <c r="J11" s="1"/>
  <c r="I19" i="4"/>
  <c r="J14" i="7"/>
  <c r="M20" i="1"/>
  <c r="M19" s="1"/>
  <c r="L19"/>
  <c r="J22" i="7" l="1"/>
  <c r="J23" s="1"/>
  <c r="J24" s="1"/>
  <c r="M10" i="5"/>
  <c r="K14" i="7"/>
  <c r="C15" i="6"/>
  <c r="C34"/>
  <c r="C25"/>
  <c r="K17" i="4"/>
  <c r="K21" i="7"/>
  <c r="L18"/>
  <c r="L11"/>
  <c r="L24" i="1"/>
  <c r="L27" s="1"/>
  <c r="I39" i="6"/>
  <c r="I40" s="1"/>
  <c r="I10" i="4" s="1"/>
  <c r="I29" i="5" s="1"/>
  <c r="J39" i="1"/>
  <c r="K14" i="4"/>
  <c r="K19" s="1"/>
  <c r="K28" i="1"/>
  <c r="K30"/>
  <c r="K31" s="1"/>
  <c r="J24" i="5"/>
  <c r="K24" s="1"/>
  <c r="I24" i="7"/>
  <c r="M18"/>
  <c r="M11"/>
  <c r="M14" s="1"/>
  <c r="M24" i="1"/>
  <c r="M27" s="1"/>
  <c r="L5" i="4"/>
  <c r="L5" i="7"/>
  <c r="L5" i="8"/>
  <c r="M5" i="1"/>
  <c r="L5" i="5"/>
  <c r="L5" i="6"/>
  <c r="K11" i="5" l="1"/>
  <c r="K39" i="1"/>
  <c r="J39" i="6"/>
  <c r="J40" s="1"/>
  <c r="J10" i="4" s="1"/>
  <c r="J29" i="5" s="1"/>
  <c r="M5"/>
  <c r="M5" i="7"/>
  <c r="M5" i="4"/>
  <c r="M5" i="8"/>
  <c r="M5" i="6"/>
  <c r="M28" i="1"/>
  <c r="M30"/>
  <c r="M31" s="1"/>
  <c r="L28"/>
  <c r="L30"/>
  <c r="L31" s="1"/>
  <c r="M14" i="4"/>
  <c r="L14" i="7"/>
  <c r="C16" i="6"/>
  <c r="C26"/>
  <c r="C35"/>
  <c r="M17" i="4"/>
  <c r="M21" i="7"/>
  <c r="M22" s="1"/>
  <c r="L17" i="4"/>
  <c r="L21" i="7"/>
  <c r="K22"/>
  <c r="K23" s="1"/>
  <c r="K24" s="1"/>
  <c r="L14" i="4"/>
  <c r="L11" i="5" l="1"/>
  <c r="M11"/>
  <c r="L22" i="7"/>
  <c r="L19" i="4"/>
  <c r="M19"/>
  <c r="L24" i="5"/>
  <c r="C27" i="6"/>
  <c r="C36"/>
  <c r="C17"/>
  <c r="K39"/>
  <c r="K40" s="1"/>
  <c r="K10" i="4" s="1"/>
  <c r="K29" i="5" s="1"/>
  <c r="L39" i="1"/>
  <c r="L23" i="7" l="1"/>
  <c r="L24" s="1"/>
  <c r="M23"/>
  <c r="M24" s="1"/>
  <c r="L39" i="6"/>
  <c r="L40" s="1"/>
  <c r="L10" i="4" s="1"/>
  <c r="L29" i="5" s="1"/>
  <c r="M39" i="1"/>
  <c r="M24" i="5"/>
  <c r="M39" i="6" l="1"/>
  <c r="M40" s="1"/>
  <c r="M10" i="4" s="1"/>
  <c r="M29" i="5" s="1"/>
  <c r="G8" l="1"/>
  <c r="H8"/>
  <c r="I8"/>
  <c r="J8"/>
  <c r="K8"/>
  <c r="L8"/>
  <c r="M8"/>
  <c r="G13"/>
  <c r="H13"/>
  <c r="I13"/>
  <c r="J13"/>
  <c r="K13"/>
  <c r="L13"/>
  <c r="M13"/>
  <c r="G20"/>
  <c r="H20"/>
  <c r="I20"/>
  <c r="J20"/>
  <c r="K20"/>
  <c r="L20"/>
  <c r="M20"/>
  <c r="G25"/>
  <c r="H25"/>
  <c r="I25"/>
  <c r="J25"/>
  <c r="K25"/>
  <c r="L25"/>
  <c r="M25"/>
  <c r="G27"/>
  <c r="H27"/>
  <c r="I27"/>
  <c r="J27"/>
  <c r="K27"/>
  <c r="L27"/>
  <c r="M27"/>
  <c r="G28"/>
  <c r="H28"/>
  <c r="I28"/>
  <c r="J28"/>
  <c r="K28"/>
  <c r="L28"/>
  <c r="M28"/>
  <c r="G32"/>
  <c r="H32"/>
  <c r="I32"/>
  <c r="J32"/>
  <c r="K32"/>
  <c r="L32"/>
  <c r="M32"/>
  <c r="G38"/>
  <c r="H38"/>
  <c r="I38"/>
  <c r="J38"/>
  <c r="K38"/>
  <c r="L38"/>
  <c r="M38"/>
  <c r="G39"/>
  <c r="H39"/>
  <c r="I39"/>
  <c r="J39"/>
  <c r="K39"/>
  <c r="L39"/>
  <c r="M39"/>
  <c r="G40"/>
  <c r="H40"/>
  <c r="I40"/>
  <c r="J40"/>
  <c r="K40"/>
  <c r="L40"/>
  <c r="M40"/>
  <c r="G42"/>
  <c r="H42"/>
  <c r="I42"/>
  <c r="J42"/>
  <c r="K42"/>
  <c r="L42"/>
  <c r="M42"/>
  <c r="G7" i="4"/>
  <c r="H7"/>
  <c r="I7"/>
  <c r="J7"/>
  <c r="K7"/>
  <c r="L7"/>
  <c r="M7"/>
  <c r="G20"/>
  <c r="H20"/>
  <c r="I20"/>
  <c r="J20"/>
  <c r="K20"/>
  <c r="L20"/>
  <c r="M20"/>
  <c r="G30"/>
  <c r="H30"/>
  <c r="I30"/>
  <c r="J30"/>
  <c r="K30"/>
  <c r="L30"/>
  <c r="M30"/>
  <c r="G31"/>
  <c r="H31"/>
  <c r="I31"/>
  <c r="J31"/>
  <c r="K31"/>
  <c r="L31"/>
  <c r="M31"/>
  <c r="G36"/>
  <c r="H36"/>
  <c r="I36"/>
  <c r="J36"/>
  <c r="K36"/>
  <c r="L36"/>
  <c r="M36"/>
  <c r="G38"/>
  <c r="H38"/>
  <c r="I38"/>
  <c r="J38"/>
  <c r="K38"/>
  <c r="L38"/>
  <c r="M38"/>
  <c r="G39"/>
  <c r="H39"/>
  <c r="I39"/>
  <c r="J39"/>
  <c r="K39"/>
  <c r="L39"/>
  <c r="M39"/>
  <c r="G41"/>
  <c r="H41"/>
  <c r="I41"/>
  <c r="J41"/>
  <c r="K41"/>
  <c r="L41"/>
  <c r="M41"/>
  <c r="H7" i="8"/>
  <c r="I7"/>
  <c r="J7"/>
  <c r="K7"/>
  <c r="L7"/>
  <c r="M7"/>
  <c r="G8"/>
  <c r="H8"/>
  <c r="I8"/>
  <c r="J8"/>
  <c r="K8"/>
  <c r="L8"/>
  <c r="M8"/>
  <c r="G10"/>
  <c r="H10"/>
  <c r="I10"/>
  <c r="J10"/>
  <c r="K10"/>
  <c r="L10"/>
  <c r="M10"/>
  <c r="H12"/>
  <c r="I12"/>
  <c r="J12"/>
  <c r="K12"/>
  <c r="L12"/>
  <c r="M12"/>
  <c r="G14"/>
  <c r="H14"/>
  <c r="I14"/>
  <c r="J14"/>
  <c r="K14"/>
  <c r="L14"/>
  <c r="M14"/>
  <c r="G15"/>
  <c r="H15"/>
  <c r="I15"/>
  <c r="J15"/>
  <c r="K15"/>
  <c r="L15"/>
  <c r="M15"/>
  <c r="G16"/>
  <c r="H16"/>
  <c r="I16"/>
  <c r="J16"/>
  <c r="K16"/>
  <c r="L16"/>
  <c r="M16"/>
  <c r="H19"/>
  <c r="I19"/>
  <c r="J19"/>
  <c r="K19"/>
  <c r="L19"/>
  <c r="M19"/>
  <c r="G21"/>
  <c r="H21"/>
  <c r="I21"/>
  <c r="J21"/>
  <c r="K21"/>
  <c r="L21"/>
  <c r="M21"/>
  <c r="G22"/>
  <c r="H22"/>
  <c r="I22"/>
  <c r="J22"/>
  <c r="K22"/>
  <c r="L22"/>
  <c r="M22"/>
  <c r="G23"/>
  <c r="H23"/>
  <c r="I23"/>
  <c r="J23"/>
  <c r="K23"/>
  <c r="L23"/>
  <c r="M23"/>
  <c r="G25"/>
  <c r="H25"/>
  <c r="I25"/>
  <c r="J25"/>
  <c r="K25"/>
  <c r="L25"/>
  <c r="M25"/>
  <c r="G26"/>
  <c r="H26"/>
  <c r="I26"/>
  <c r="J26"/>
  <c r="K26"/>
  <c r="L26"/>
  <c r="M26"/>
  <c r="G27"/>
  <c r="H27"/>
  <c r="I27"/>
  <c r="J27"/>
  <c r="K27"/>
  <c r="L27"/>
  <c r="M27"/>
  <c r="G28"/>
  <c r="H28"/>
  <c r="I28"/>
  <c r="J28"/>
  <c r="K28"/>
  <c r="L28"/>
  <c r="M28"/>
  <c r="G30"/>
  <c r="H30"/>
  <c r="I30"/>
  <c r="J30"/>
  <c r="K30"/>
  <c r="L30"/>
  <c r="M30"/>
  <c r="G33" i="1"/>
  <c r="H33"/>
  <c r="I33"/>
  <c r="J33"/>
  <c r="K33"/>
  <c r="L33"/>
  <c r="M33"/>
  <c r="G34"/>
  <c r="H34"/>
  <c r="I34"/>
  <c r="J34"/>
  <c r="K34"/>
  <c r="L34"/>
  <c r="M34"/>
  <c r="G35"/>
  <c r="H35"/>
  <c r="I35"/>
  <c r="J35"/>
  <c r="K35"/>
  <c r="L35"/>
  <c r="M35"/>
  <c r="G36"/>
  <c r="H36"/>
  <c r="I36"/>
  <c r="J36"/>
  <c r="K36"/>
  <c r="L36"/>
  <c r="M36"/>
  <c r="G37"/>
  <c r="H37"/>
  <c r="I37"/>
  <c r="J37"/>
  <c r="K37"/>
  <c r="L37"/>
  <c r="M37"/>
  <c r="G38"/>
  <c r="H38"/>
  <c r="I38"/>
  <c r="J38"/>
  <c r="K38"/>
  <c r="L38"/>
  <c r="M38"/>
  <c r="G40"/>
  <c r="H40"/>
  <c r="I40"/>
  <c r="J40"/>
  <c r="K40"/>
  <c r="L40"/>
  <c r="M40"/>
  <c r="G47"/>
  <c r="H47"/>
  <c r="I47"/>
  <c r="J47"/>
  <c r="K47"/>
  <c r="L47"/>
  <c r="M47"/>
  <c r="G48"/>
  <c r="H48"/>
  <c r="I48"/>
  <c r="J48"/>
  <c r="K48"/>
  <c r="L48"/>
  <c r="M48"/>
  <c r="G52"/>
  <c r="H52"/>
  <c r="I52"/>
  <c r="J52"/>
  <c r="K52"/>
  <c r="L52"/>
  <c r="M52"/>
  <c r="G54"/>
  <c r="H54"/>
  <c r="I54"/>
  <c r="J54"/>
  <c r="K54"/>
  <c r="L54"/>
  <c r="M54"/>
  <c r="G55"/>
  <c r="H55"/>
  <c r="I55"/>
  <c r="J55"/>
  <c r="K55"/>
  <c r="L55"/>
  <c r="M55"/>
</calcChain>
</file>

<file path=xl/sharedStrings.xml><?xml version="1.0" encoding="utf-8"?>
<sst xmlns="http://schemas.openxmlformats.org/spreadsheetml/2006/main" count="213" uniqueCount="172">
  <si>
    <t>Other</t>
  </si>
  <si>
    <t>EBIT</t>
  </si>
  <si>
    <t>EBITDA</t>
  </si>
  <si>
    <t>Depreciation</t>
  </si>
  <si>
    <t>Basic</t>
  </si>
  <si>
    <t>Diluted</t>
  </si>
  <si>
    <t>Assets</t>
  </si>
  <si>
    <t>Inventory</t>
  </si>
  <si>
    <t>Goodwill</t>
  </si>
  <si>
    <t>Liabilities</t>
  </si>
  <si>
    <t>Balance? (Y/N)</t>
  </si>
  <si>
    <t>Years</t>
  </si>
  <si>
    <t>Debt Schedule</t>
  </si>
  <si>
    <t>Existing PP&amp;E</t>
  </si>
  <si>
    <t>Match? (Y/N)</t>
  </si>
  <si>
    <t>Equity in earnings of unconsolidated affiliates</t>
  </si>
  <si>
    <t>Consolidated Statements of Cash Flows</t>
  </si>
  <si>
    <t>Consolidated Income Statements</t>
  </si>
  <si>
    <t>Consolidated Balance Sheets</t>
  </si>
  <si>
    <t>Operating Working Capital Schedule (OWC)</t>
  </si>
  <si>
    <t>Period Ending December 31</t>
  </si>
  <si>
    <t>On December 31</t>
  </si>
  <si>
    <t>(in US$ thousands)</t>
  </si>
  <si>
    <t>(in US$ thousands except shares &amp; per share amounts)</t>
  </si>
  <si>
    <t>SUPPLEMENTAL DATA:</t>
  </si>
  <si>
    <t>Amortization of identifiable intangible assets</t>
  </si>
  <si>
    <t>Deferred income taxes</t>
  </si>
  <si>
    <t>Cash flows from operating activities</t>
  </si>
  <si>
    <t>Cash flows from investing activities</t>
  </si>
  <si>
    <t>Cash flows from financing activities</t>
  </si>
  <si>
    <t>Proceeds from sale of property, leasehold improvements &amp; equipment</t>
  </si>
  <si>
    <t>Changes in accounts receivable</t>
  </si>
  <si>
    <t>Changes in inventory</t>
  </si>
  <si>
    <t>Changes in accounts payable</t>
  </si>
  <si>
    <t>Changes in other current liabilities</t>
  </si>
  <si>
    <t>Proceeds from issuance of common stock</t>
  </si>
  <si>
    <t>Repurchase of common stock [treasury stock]</t>
  </si>
  <si>
    <t>Common dividends paid</t>
  </si>
  <si>
    <t>Proceeds from issuance of preferred stock, net of issuance costs</t>
  </si>
  <si>
    <t>Changes in other current assets</t>
  </si>
  <si>
    <t>Other long-term assets</t>
  </si>
  <si>
    <t>Cash and cash equivalents</t>
  </si>
  <si>
    <t>Other current assets</t>
  </si>
  <si>
    <t>Accounts payable</t>
  </si>
  <si>
    <t>Other current liabilities</t>
  </si>
  <si>
    <t>Other long-term liabilities</t>
  </si>
  <si>
    <t>Preferred stock</t>
  </si>
  <si>
    <t>Business acquisitions net of cash acquired [&amp; net of intangibles/other]</t>
  </si>
  <si>
    <t>Proceeds from sale of businesses [spin-offs]</t>
  </si>
  <si>
    <t>Total current assets</t>
  </si>
  <si>
    <t>Accounts receivable, net of allowance for doubtful accounts</t>
  </si>
  <si>
    <t>Acquired identifiable amortizable intangible assets, net of accum. amort.</t>
  </si>
  <si>
    <t>Prepaid expenses</t>
  </si>
  <si>
    <t>Inventory, less allowances for loss</t>
  </si>
  <si>
    <t>Deferred tax liability</t>
  </si>
  <si>
    <t>Total current liabilities</t>
  </si>
  <si>
    <t>Property, plant and equipment, net</t>
  </si>
  <si>
    <t>Deferred tax asset</t>
  </si>
  <si>
    <t>Less stock repurchased [treasury stock]</t>
  </si>
  <si>
    <t>Pension assets</t>
  </si>
  <si>
    <t>Accrued salaries and employee benefits</t>
  </si>
  <si>
    <t>Pension and benefit obligations</t>
  </si>
  <si>
    <t>Accumulated other comprehensive income (loss)</t>
  </si>
  <si>
    <t>Actuals</t>
  </si>
  <si>
    <t>Estimates</t>
  </si>
  <si>
    <t>Investments (proceeds) in marketable &amp; non-marketable securities</t>
  </si>
  <si>
    <t>Changes in prepaid expenses</t>
  </si>
  <si>
    <t>Short-term debt</t>
  </si>
  <si>
    <t>Long-term debt</t>
  </si>
  <si>
    <t>Changes in accrued salaries and employee benefits</t>
  </si>
  <si>
    <t>Short-term borrowings (repayments)</t>
  </si>
  <si>
    <t>Long-term borrowings (repayments)</t>
  </si>
  <si>
    <t>Long term debt (beginning of year)</t>
  </si>
  <si>
    <t>Revenue</t>
  </si>
  <si>
    <t>Price</t>
  </si>
  <si>
    <t>Volume</t>
  </si>
  <si>
    <t>Y/Y volume growth (%)</t>
  </si>
  <si>
    <t>Y/Y price growth (%)</t>
  </si>
  <si>
    <t>Y/Y revenue growth (%)</t>
  </si>
  <si>
    <t>Cost of goods sold</t>
  </si>
  <si>
    <t>COGS as a % of revenue</t>
  </si>
  <si>
    <t>Gross profit margin (%)</t>
  </si>
  <si>
    <t>Selling, general and administrative</t>
  </si>
  <si>
    <t>Research and development</t>
  </si>
  <si>
    <t>EBITDA margin (%)</t>
  </si>
  <si>
    <t>Depreciation and amortization</t>
  </si>
  <si>
    <t>EBIT margin (%)</t>
  </si>
  <si>
    <t>Interest expense</t>
  </si>
  <si>
    <t>Interest income</t>
  </si>
  <si>
    <t>Operating expenses</t>
  </si>
  <si>
    <t>Total operating expenses</t>
  </si>
  <si>
    <t>Other income</t>
  </si>
  <si>
    <t>Income before tax (IBT)</t>
  </si>
  <si>
    <t>All-in effective tax rate (%)</t>
  </si>
  <si>
    <t>IBT margin (%)</t>
  </si>
  <si>
    <t>Income tax expense</t>
  </si>
  <si>
    <t>Income attributable to minority interests</t>
  </si>
  <si>
    <t>Net income from continuing ops</t>
  </si>
  <si>
    <t>Non-recurring events</t>
  </si>
  <si>
    <t>Discontinued operations</t>
  </si>
  <si>
    <t>Extraordinary items</t>
  </si>
  <si>
    <t>Effect of accounting changes</t>
  </si>
  <si>
    <t>Other items</t>
  </si>
  <si>
    <t>Net income</t>
  </si>
  <si>
    <t>Earnings per share (EPS)</t>
  </si>
  <si>
    <t xml:space="preserve">Average common shares outstanding </t>
  </si>
  <si>
    <t>Dividends paid on common stock (per share)</t>
  </si>
  <si>
    <t>Gross profit</t>
  </si>
  <si>
    <t>Total revenue</t>
  </si>
  <si>
    <t>Cash flow before debt paydown</t>
  </si>
  <si>
    <t>Current assets:</t>
  </si>
  <si>
    <t>Total assets</t>
  </si>
  <si>
    <t>Current liabilities:</t>
  </si>
  <si>
    <t>Total liabilities</t>
  </si>
  <si>
    <t xml:space="preserve">Stockholders' equity </t>
  </si>
  <si>
    <t>Retained earnings</t>
  </si>
  <si>
    <t>Total stockholder equity</t>
  </si>
  <si>
    <t>Total liabilities &amp; stockholders' equity</t>
  </si>
  <si>
    <t>Straight line depreciation</t>
  </si>
  <si>
    <t>Total book depreciation</t>
  </si>
  <si>
    <t>Accelerated depreciation (%)</t>
  </si>
  <si>
    <t>Accelerated depreciation</t>
  </si>
  <si>
    <t>Total tax depreciation</t>
  </si>
  <si>
    <t>Difference in depreciation</t>
  </si>
  <si>
    <t>Tax rate (%)</t>
  </si>
  <si>
    <t>Deferred taxes</t>
  </si>
  <si>
    <t>Current assets</t>
  </si>
  <si>
    <t>Accounts receivable</t>
  </si>
  <si>
    <t>Days receivable</t>
  </si>
  <si>
    <t>Inventory turnover days</t>
  </si>
  <si>
    <t>Current liabilities</t>
  </si>
  <si>
    <t>Days payable</t>
  </si>
  <si>
    <t>Cash at beginning of year</t>
  </si>
  <si>
    <t>Total cash available to pay down debt</t>
  </si>
  <si>
    <t>Long term debt</t>
  </si>
  <si>
    <t>Short term debt (beginning of year)</t>
  </si>
  <si>
    <t>Short term debt (end of year)</t>
  </si>
  <si>
    <t>Short term interest expense</t>
  </si>
  <si>
    <t>Long term debt (end of year)</t>
  </si>
  <si>
    <t>Long term interest expense</t>
  </si>
  <si>
    <t>Net interest expense</t>
  </si>
  <si>
    <t>Interest</t>
  </si>
  <si>
    <t>Percent minority interests</t>
  </si>
  <si>
    <t>Total non-recurring events</t>
  </si>
  <si>
    <t>Dividends paid on common stock</t>
  </si>
  <si>
    <t>Net changes in working capital</t>
  </si>
  <si>
    <t>Changes in operating operating working capital</t>
  </si>
  <si>
    <t>Days prepaid</t>
  </si>
  <si>
    <t>Total operating working capital</t>
  </si>
  <si>
    <t>Change in total operating working capital</t>
  </si>
  <si>
    <t>Cash available to pay down debt</t>
  </si>
  <si>
    <t>Cash at the end of the year</t>
  </si>
  <si>
    <t>Total interest expense</t>
  </si>
  <si>
    <t xml:space="preserve">Mandatory issuances / (retirements) </t>
  </si>
  <si>
    <t>Non-mandatory issuances / (retirements)</t>
  </si>
  <si>
    <t>Total issuances / (retirements)</t>
  </si>
  <si>
    <t>Short term interest rate</t>
  </si>
  <si>
    <t>Long term interest rate</t>
  </si>
  <si>
    <t>Interest rate</t>
  </si>
  <si>
    <t>R&amp;D as a % of revenue</t>
  </si>
  <si>
    <t>SG&amp;A as a % of revenue</t>
  </si>
  <si>
    <t>Net income after dividends and minority interests</t>
  </si>
  <si>
    <t>Total change in cash and cash equivalents</t>
  </si>
  <si>
    <t>Minority shareholder's interest</t>
  </si>
  <si>
    <t>Capital expenditures as of Jan 1 of each year</t>
  </si>
  <si>
    <t>Total cash provided by (used for) operating activities</t>
  </si>
  <si>
    <t>Total cash provided by (used for) investing activities</t>
  </si>
  <si>
    <t>Total cash provided by (used for) financing activities</t>
  </si>
  <si>
    <t>CAPEX [Purchase of property, leasehold improvements &amp; equipment]</t>
  </si>
  <si>
    <t>Minimum cash cushion</t>
  </si>
  <si>
    <t>Short term debt / revolver</t>
  </si>
  <si>
    <t>Common stock par value + additional paid-in-capital</t>
  </si>
</sst>
</file>

<file path=xl/styles.xml><?xml version="1.0" encoding="utf-8"?>
<styleSheet xmlns="http://schemas.openxmlformats.org/spreadsheetml/2006/main">
  <numFmts count="11">
    <numFmt numFmtId="164" formatCode="#,##0.0_);[Red]\(#,##0.0\)"/>
    <numFmt numFmtId="165" formatCode="#,##0.0_);\(#,##0.0\)"/>
    <numFmt numFmtId="166" formatCode="#,##0.0000_);[Red]\(#,##0.0000\)"/>
    <numFmt numFmtId="167" formatCode="#,##0.0"/>
    <numFmt numFmtId="168" formatCode="#,##0.0;[Red]#,##0.0"/>
    <numFmt numFmtId="169" formatCode="0.0"/>
    <numFmt numFmtId="170" formatCode="&quot;$&quot;#,##0.00"/>
    <numFmt numFmtId="171" formatCode="[$-409]d\-mmm\-yy;@"/>
    <numFmt numFmtId="172" formatCode="General\A"/>
    <numFmt numFmtId="173" formatCode="General\E"/>
    <numFmt numFmtId="174" formatCode="&quot;$&quot;#,##0.0_);[Red]\(&quot;$&quot;#,##0.0\)"/>
  </numFmts>
  <fonts count="11"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9"/>
      <color indexed="10"/>
      <name val="Arial"/>
      <family val="2"/>
    </font>
    <font>
      <i/>
      <sz val="9"/>
      <color indexed="12"/>
      <name val="Arial"/>
      <family val="2"/>
    </font>
    <font>
      <b/>
      <sz val="9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3" fillId="0" borderId="0" xfId="0" quotePrefix="1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164" fontId="3" fillId="0" borderId="0" xfId="0" applyNumberFormat="1" applyFont="1" applyAlignment="1"/>
    <xf numFmtId="164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9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2" borderId="0" xfId="0" applyFont="1" applyFill="1" applyAlignment="1"/>
    <xf numFmtId="0" fontId="3" fillId="2" borderId="0" xfId="0" quotePrefix="1" applyFont="1" applyFill="1" applyAlignment="1"/>
    <xf numFmtId="164" fontId="3" fillId="2" borderId="0" xfId="0" applyNumberFormat="1" applyFont="1" applyFill="1" applyAlignment="1"/>
    <xf numFmtId="0" fontId="2" fillId="0" borderId="1" xfId="0" applyFont="1" applyBorder="1" applyAlignment="1"/>
    <xf numFmtId="9" fontId="7" fillId="0" borderId="0" xfId="0" applyNumberFormat="1" applyFont="1" applyAlignment="1">
      <alignment wrapText="1"/>
    </xf>
    <xf numFmtId="0" fontId="3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6" fontId="3" fillId="0" borderId="0" xfId="0" applyNumberFormat="1" applyFont="1" applyAlignment="1"/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Border="1" applyAlignment="1"/>
    <xf numFmtId="4" fontId="2" fillId="0" borderId="0" xfId="0" applyNumberFormat="1" applyFont="1" applyBorder="1" applyAlignment="1"/>
    <xf numFmtId="4" fontId="2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5" fillId="0" borderId="0" xfId="0" applyNumberFormat="1" applyFont="1" applyBorder="1" applyAlignment="1"/>
    <xf numFmtId="167" fontId="5" fillId="0" borderId="0" xfId="0" applyNumberFormat="1" applyFont="1" applyBorder="1" applyAlignment="1"/>
    <xf numFmtId="167" fontId="3" fillId="0" borderId="0" xfId="0" applyNumberFormat="1" applyFont="1" applyAlignment="1"/>
    <xf numFmtId="167" fontId="6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9" fontId="5" fillId="0" borderId="0" xfId="0" applyNumberFormat="1" applyFont="1" applyBorder="1" applyAlignment="1"/>
    <xf numFmtId="0" fontId="2" fillId="0" borderId="0" xfId="0" applyFont="1" applyFill="1" applyAlignment="1"/>
    <xf numFmtId="9" fontId="4" fillId="0" borderId="0" xfId="0" applyNumberFormat="1" applyFont="1" applyFill="1" applyAlignment="1">
      <alignment horizontal="right"/>
    </xf>
    <xf numFmtId="0" fontId="4" fillId="0" borderId="0" xfId="0" applyFont="1" applyFill="1" applyAlignment="1"/>
    <xf numFmtId="165" fontId="3" fillId="0" borderId="0" xfId="0" applyNumberFormat="1" applyFont="1" applyAlignment="1"/>
    <xf numFmtId="0" fontId="3" fillId="0" borderId="0" xfId="0" applyFont="1" applyBorder="1" applyAlignment="1">
      <alignment horizontal="center"/>
    </xf>
    <xf numFmtId="168" fontId="3" fillId="0" borderId="0" xfId="0" applyNumberFormat="1" applyFont="1" applyBorder="1" applyAlignment="1"/>
    <xf numFmtId="167" fontId="3" fillId="0" borderId="0" xfId="0" applyNumberFormat="1" applyFont="1" applyBorder="1" applyAlignment="1"/>
    <xf numFmtId="165" fontId="2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169" fontId="6" fillId="0" borderId="0" xfId="0" applyNumberFormat="1" applyFont="1" applyBorder="1" applyAlignment="1"/>
    <xf numFmtId="0" fontId="3" fillId="0" borderId="2" xfId="0" applyFont="1" applyBorder="1" applyAlignment="1"/>
    <xf numFmtId="0" fontId="3" fillId="0" borderId="0" xfId="0" applyFont="1" applyBorder="1" applyAlignment="1"/>
    <xf numFmtId="164" fontId="3" fillId="0" borderId="0" xfId="0" applyNumberFormat="1" applyFont="1" applyBorder="1" applyAlignment="1"/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0" fontId="2" fillId="0" borderId="2" xfId="0" applyFont="1" applyBorder="1" applyAlignment="1"/>
    <xf numFmtId="0" fontId="2" fillId="0" borderId="0" xfId="0" applyFont="1" applyBorder="1" applyAlignment="1">
      <alignment wrapText="1"/>
    </xf>
    <xf numFmtId="169" fontId="4" fillId="0" borderId="0" xfId="0" applyNumberFormat="1" applyFont="1" applyBorder="1" applyAlignment="1"/>
    <xf numFmtId="169" fontId="7" fillId="0" borderId="0" xfId="0" applyNumberFormat="1" applyFont="1" applyBorder="1" applyAlignment="1"/>
    <xf numFmtId="167" fontId="8" fillId="0" borderId="0" xfId="0" applyNumberFormat="1" applyFont="1" applyBorder="1" applyAlignment="1"/>
    <xf numFmtId="0" fontId="3" fillId="0" borderId="2" xfId="0" applyFont="1" applyFill="1" applyBorder="1" applyAlignment="1"/>
    <xf numFmtId="0" fontId="2" fillId="0" borderId="2" xfId="0" applyFont="1" applyFill="1" applyBorder="1" applyAlignment="1"/>
    <xf numFmtId="165" fontId="2" fillId="0" borderId="2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7" fontId="5" fillId="0" borderId="0" xfId="0" applyNumberFormat="1" applyFont="1" applyFill="1" applyBorder="1" applyAlignment="1"/>
    <xf numFmtId="165" fontId="2" fillId="0" borderId="0" xfId="0" applyNumberFormat="1" applyFont="1" applyBorder="1" applyAlignment="1">
      <alignment horizontal="right"/>
    </xf>
    <xf numFmtId="0" fontId="3" fillId="3" borderId="0" xfId="0" applyFont="1" applyFill="1" applyAlignment="1"/>
    <xf numFmtId="164" fontId="3" fillId="3" borderId="0" xfId="0" applyNumberFormat="1" applyFont="1" applyFill="1" applyAlignment="1"/>
    <xf numFmtId="164" fontId="3" fillId="0" borderId="2" xfId="0" applyNumberFormat="1" applyFont="1" applyBorder="1" applyAlignment="1">
      <alignment horizontal="right" wrapText="1"/>
    </xf>
    <xf numFmtId="0" fontId="2" fillId="2" borderId="1" xfId="0" applyFont="1" applyFill="1" applyBorder="1"/>
    <xf numFmtId="0" fontId="2" fillId="2" borderId="0" xfId="0" applyFont="1" applyFill="1" applyAlignment="1">
      <alignment horizontal="centerContinuous"/>
    </xf>
    <xf numFmtId="164" fontId="2" fillId="2" borderId="0" xfId="0" applyNumberFormat="1" applyFont="1" applyFill="1" applyBorder="1" applyAlignment="1">
      <alignment horizontal="centerContinuous"/>
    </xf>
    <xf numFmtId="0" fontId="2" fillId="2" borderId="2" xfId="0" applyFont="1" applyFill="1" applyBorder="1" applyAlignment="1"/>
    <xf numFmtId="0" fontId="2" fillId="2" borderId="2" xfId="0" applyFont="1" applyFill="1" applyBorder="1" applyAlignment="1">
      <alignment wrapText="1"/>
    </xf>
    <xf numFmtId="171" fontId="2" fillId="2" borderId="2" xfId="0" applyNumberFormat="1" applyFont="1" applyFill="1" applyBorder="1" applyAlignment="1">
      <alignment horizontal="right" wrapText="1"/>
    </xf>
    <xf numFmtId="165" fontId="3" fillId="0" borderId="2" xfId="0" applyNumberFormat="1" applyFont="1" applyBorder="1" applyAlignment="1">
      <alignment horizontal="right"/>
    </xf>
    <xf numFmtId="165" fontId="3" fillId="0" borderId="2" xfId="0" applyNumberFormat="1" applyFont="1" applyFill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65" fontId="2" fillId="0" borderId="4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/>
    <xf numFmtId="164" fontId="2" fillId="2" borderId="2" xfId="0" applyNumberFormat="1" applyFont="1" applyFill="1" applyBorder="1" applyAlignment="1">
      <alignment horizontal="centerContinuous"/>
    </xf>
    <xf numFmtId="164" fontId="2" fillId="2" borderId="1" xfId="0" applyNumberFormat="1" applyFont="1" applyFill="1" applyBorder="1" applyAlignment="1">
      <alignment horizontal="centerContinuous"/>
    </xf>
    <xf numFmtId="164" fontId="2" fillId="2" borderId="5" xfId="0" applyNumberFormat="1" applyFont="1" applyFill="1" applyBorder="1" applyAlignment="1">
      <alignment horizontal="centerContinuous"/>
    </xf>
    <xf numFmtId="164" fontId="2" fillId="2" borderId="6" xfId="0" applyNumberFormat="1" applyFont="1" applyFill="1" applyBorder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172" fontId="2" fillId="2" borderId="2" xfId="0" applyNumberFormat="1" applyFont="1" applyFill="1" applyBorder="1" applyAlignment="1">
      <alignment horizontal="right" wrapText="1"/>
    </xf>
    <xf numFmtId="173" fontId="2" fillId="2" borderId="2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164" fontId="3" fillId="0" borderId="0" xfId="0" applyNumberFormat="1" applyFont="1" applyFill="1" applyAlignment="1"/>
    <xf numFmtId="172" fontId="2" fillId="0" borderId="0" xfId="0" applyNumberFormat="1" applyFont="1" applyFill="1" applyBorder="1" applyAlignment="1">
      <alignment horizontal="right" wrapText="1"/>
    </xf>
    <xf numFmtId="173" fontId="2" fillId="0" borderId="0" xfId="0" applyNumberFormat="1" applyFont="1" applyFill="1" applyBorder="1" applyAlignment="1">
      <alignment horizontal="right" wrapText="1"/>
    </xf>
    <xf numFmtId="164" fontId="3" fillId="0" borderId="0" xfId="0" applyNumberFormat="1" applyFont="1" applyBorder="1" applyAlignment="1">
      <alignment horizontal="right" wrapText="1"/>
    </xf>
    <xf numFmtId="165" fontId="3" fillId="0" borderId="0" xfId="0" applyNumberFormat="1" applyFont="1" applyBorder="1" applyAlignment="1">
      <alignment horizontal="right"/>
    </xf>
    <xf numFmtId="167" fontId="6" fillId="0" borderId="2" xfId="0" applyNumberFormat="1" applyFont="1" applyBorder="1" applyAlignment="1">
      <alignment horizontal="right"/>
    </xf>
    <xf numFmtId="167" fontId="3" fillId="0" borderId="2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165" fontId="6" fillId="0" borderId="2" xfId="0" applyNumberFormat="1" applyFont="1" applyBorder="1" applyAlignment="1"/>
    <xf numFmtId="0" fontId="3" fillId="0" borderId="0" xfId="0" applyFont="1" applyBorder="1" applyAlignment="1">
      <alignment horizontal="right"/>
    </xf>
    <xf numFmtId="164" fontId="2" fillId="0" borderId="0" xfId="0" applyNumberFormat="1" applyFont="1" applyBorder="1" applyAlignment="1"/>
    <xf numFmtId="167" fontId="6" fillId="0" borderId="0" xfId="0" applyNumberFormat="1" applyFont="1" applyBorder="1" applyAlignment="1">
      <alignment horizontal="right"/>
    </xf>
    <xf numFmtId="165" fontId="3" fillId="0" borderId="4" xfId="0" applyNumberFormat="1" applyFont="1" applyBorder="1" applyAlignment="1"/>
    <xf numFmtId="0" fontId="3" fillId="0" borderId="0" xfId="0" applyFont="1"/>
    <xf numFmtId="0" fontId="2" fillId="0" borderId="0" xfId="0" applyFont="1"/>
    <xf numFmtId="0" fontId="3" fillId="0" borderId="0" xfId="0" applyFont="1" applyBorder="1"/>
    <xf numFmtId="0" fontId="2" fillId="0" borderId="0" xfId="0" applyFont="1" applyAlignment="1">
      <alignment horizontal="left"/>
    </xf>
    <xf numFmtId="9" fontId="5" fillId="0" borderId="0" xfId="0" applyNumberFormat="1" applyFont="1" applyBorder="1" applyAlignment="1">
      <alignment horizontal="right"/>
    </xf>
    <xf numFmtId="9" fontId="4" fillId="0" borderId="0" xfId="0" applyNumberFormat="1" applyFont="1" applyBorder="1" applyAlignment="1">
      <alignment horizontal="left"/>
    </xf>
    <xf numFmtId="165" fontId="2" fillId="0" borderId="0" xfId="0" applyNumberFormat="1" applyFont="1" applyBorder="1" applyAlignment="1"/>
    <xf numFmtId="9" fontId="4" fillId="0" borderId="0" xfId="0" applyNumberFormat="1" applyFont="1" applyBorder="1" applyAlignment="1"/>
    <xf numFmtId="9" fontId="9" fillId="0" borderId="0" xfId="0" applyNumberFormat="1" applyFont="1" applyAlignment="1">
      <alignment horizontal="right"/>
    </xf>
    <xf numFmtId="9" fontId="9" fillId="0" borderId="0" xfId="0" applyNumberFormat="1" applyFont="1" applyBorder="1" applyAlignment="1">
      <alignment horizontal="right"/>
    </xf>
    <xf numFmtId="9" fontId="9" fillId="0" borderId="0" xfId="0" applyNumberFormat="1" applyFont="1" applyAlignment="1"/>
    <xf numFmtId="0" fontId="3" fillId="0" borderId="2" xfId="0" applyFont="1" applyBorder="1"/>
    <xf numFmtId="0" fontId="3" fillId="3" borderId="0" xfId="0" applyFont="1" applyFill="1"/>
    <xf numFmtId="0" fontId="3" fillId="0" borderId="0" xfId="0" applyFont="1" applyFill="1"/>
    <xf numFmtId="9" fontId="4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164" fontId="6" fillId="0" borderId="0" xfId="0" applyNumberFormat="1" applyFont="1" applyFill="1" applyAlignment="1">
      <alignment horizontal="right" wrapText="1"/>
    </xf>
    <xf numFmtId="9" fontId="4" fillId="0" borderId="0" xfId="0" applyNumberFormat="1" applyFont="1" applyFill="1" applyAlignment="1">
      <alignment wrapText="1"/>
    </xf>
    <xf numFmtId="164" fontId="6" fillId="0" borderId="0" xfId="0" applyNumberFormat="1" applyFont="1" applyFill="1" applyBorder="1" applyAlignment="1">
      <alignment horizontal="right" wrapText="1"/>
    </xf>
    <xf numFmtId="9" fontId="4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horizontal="right" wrapText="1"/>
    </xf>
    <xf numFmtId="164" fontId="3" fillId="0" borderId="0" xfId="0" applyNumberFormat="1" applyFont="1" applyFill="1" applyAlignment="1">
      <alignment wrapText="1"/>
    </xf>
    <xf numFmtId="164" fontId="6" fillId="0" borderId="2" xfId="0" applyNumberFormat="1" applyFont="1" applyFill="1" applyBorder="1" applyAlignment="1">
      <alignment horizontal="right" wrapText="1"/>
    </xf>
    <xf numFmtId="164" fontId="3" fillId="0" borderId="0" xfId="0" applyNumberFormat="1" applyFont="1" applyFill="1" applyAlignment="1">
      <alignment horizontal="right" wrapText="1"/>
    </xf>
    <xf numFmtId="164" fontId="3" fillId="0" borderId="2" xfId="0" applyNumberFormat="1" applyFont="1" applyFill="1" applyBorder="1" applyAlignment="1">
      <alignment horizontal="right" wrapText="1"/>
    </xf>
    <xf numFmtId="165" fontId="6" fillId="0" borderId="2" xfId="0" applyNumberFormat="1" applyFont="1" applyFill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170" fontId="7" fillId="0" borderId="2" xfId="0" applyNumberFormat="1" applyFont="1" applyFill="1" applyBorder="1" applyAlignment="1">
      <alignment horizontal="right" wrapText="1"/>
    </xf>
    <xf numFmtId="164" fontId="2" fillId="0" borderId="3" xfId="0" applyNumberFormat="1" applyFont="1" applyFill="1" applyBorder="1" applyAlignment="1">
      <alignment horizontal="right" wrapText="1"/>
    </xf>
    <xf numFmtId="40" fontId="3" fillId="0" borderId="0" xfId="0" applyNumberFormat="1" applyFont="1" applyFill="1" applyAlignment="1">
      <alignment horizontal="right" wrapText="1"/>
    </xf>
    <xf numFmtId="40" fontId="3" fillId="0" borderId="0" xfId="0" applyNumberFormat="1" applyFont="1" applyFill="1" applyBorder="1" applyAlignment="1">
      <alignment horizontal="right" wrapText="1"/>
    </xf>
    <xf numFmtId="38" fontId="6" fillId="0" borderId="0" xfId="0" applyNumberFormat="1" applyFont="1" applyFill="1" applyAlignment="1">
      <alignment horizontal="right" wrapText="1"/>
    </xf>
    <xf numFmtId="174" fontId="6" fillId="0" borderId="0" xfId="0" applyNumberFormat="1" applyFont="1" applyFill="1" applyAlignment="1">
      <alignment horizontal="right" wrapText="1"/>
    </xf>
    <xf numFmtId="9" fontId="4" fillId="0" borderId="0" xfId="0" applyNumberFormat="1" applyFont="1" applyFill="1" applyBorder="1" applyAlignment="1">
      <alignment wrapText="1"/>
    </xf>
    <xf numFmtId="165" fontId="2" fillId="0" borderId="4" xfId="0" applyNumberFormat="1" applyFont="1" applyFill="1" applyBorder="1" applyAlignment="1">
      <alignment horizontal="right" wrapText="1"/>
    </xf>
    <xf numFmtId="172" fontId="2" fillId="0" borderId="2" xfId="0" applyNumberFormat="1" applyFont="1" applyFill="1" applyBorder="1" applyAlignment="1">
      <alignment horizontal="right" wrapText="1"/>
    </xf>
    <xf numFmtId="164" fontId="2" fillId="0" borderId="4" xfId="0" applyNumberFormat="1" applyFont="1" applyFill="1" applyBorder="1" applyAlignment="1">
      <alignment horizontal="right" wrapText="1"/>
    </xf>
    <xf numFmtId="164" fontId="3" fillId="0" borderId="0" xfId="0" applyNumberFormat="1" applyFont="1" applyFill="1" applyBorder="1" applyAlignment="1">
      <alignment horizontal="right" wrapText="1"/>
    </xf>
    <xf numFmtId="165" fontId="2" fillId="0" borderId="0" xfId="0" applyNumberFormat="1" applyFont="1" applyFill="1" applyAlignment="1"/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165" fontId="6" fillId="0" borderId="2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4" fontId="3" fillId="0" borderId="2" xfId="0" applyNumberFormat="1" applyFont="1" applyFill="1" applyBorder="1" applyAlignment="1"/>
    <xf numFmtId="165" fontId="2" fillId="0" borderId="4" xfId="0" applyNumberFormat="1" applyFont="1" applyFill="1" applyBorder="1" applyAlignment="1">
      <alignment horizontal="right"/>
    </xf>
    <xf numFmtId="165" fontId="3" fillId="0" borderId="0" xfId="0" applyNumberFormat="1" applyFont="1" applyFill="1" applyAlignment="1"/>
    <xf numFmtId="174" fontId="3" fillId="0" borderId="0" xfId="0" applyNumberFormat="1" applyFont="1" applyFill="1" applyAlignment="1">
      <alignment horizontal="right" wrapText="1"/>
    </xf>
    <xf numFmtId="9" fontId="7" fillId="0" borderId="2" xfId="0" applyNumberFormat="1" applyFont="1" applyFill="1" applyBorder="1" applyAlignment="1">
      <alignment wrapText="1"/>
    </xf>
    <xf numFmtId="167" fontId="2" fillId="0" borderId="0" xfId="0" applyNumberFormat="1" applyFont="1" applyBorder="1" applyAlignment="1">
      <alignment horizontal="right"/>
    </xf>
    <xf numFmtId="167" fontId="6" fillId="0" borderId="0" xfId="0" applyNumberFormat="1" applyFont="1" applyBorder="1" applyAlignment="1"/>
    <xf numFmtId="167" fontId="2" fillId="0" borderId="4" xfId="0" applyNumberFormat="1" applyFont="1" applyBorder="1" applyAlignment="1">
      <alignment horizontal="right"/>
    </xf>
    <xf numFmtId="164" fontId="2" fillId="0" borderId="0" xfId="0" applyNumberFormat="1" applyFont="1" applyAlignment="1"/>
    <xf numFmtId="165" fontId="3" fillId="0" borderId="2" xfId="0" applyNumberFormat="1" applyFont="1" applyFill="1" applyBorder="1" applyAlignment="1">
      <alignment horizontal="right" wrapText="1"/>
    </xf>
    <xf numFmtId="165" fontId="6" fillId="0" borderId="2" xfId="0" applyNumberFormat="1" applyFont="1" applyBorder="1" applyAlignment="1">
      <alignment horizontal="right"/>
    </xf>
    <xf numFmtId="38" fontId="6" fillId="0" borderId="2" xfId="0" applyNumberFormat="1" applyFont="1" applyFill="1" applyBorder="1" applyAlignment="1">
      <alignment horizontal="right" wrapText="1"/>
    </xf>
    <xf numFmtId="165" fontId="3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7" fontId="3" fillId="0" borderId="0" xfId="0" applyNumberFormat="1" applyFont="1" applyBorder="1" applyAlignment="1">
      <alignment horizontal="right"/>
    </xf>
    <xf numFmtId="9" fontId="3" fillId="0" borderId="0" xfId="0" applyNumberFormat="1" applyFont="1" applyAlignment="1"/>
    <xf numFmtId="9" fontId="4" fillId="0" borderId="0" xfId="0" applyNumberFormat="1" applyFont="1" applyFill="1" applyAlignment="1">
      <alignment horizontal="right" wrapText="1"/>
    </xf>
    <xf numFmtId="9" fontId="7" fillId="0" borderId="0" xfId="0" applyNumberFormat="1" applyFont="1" applyFill="1" applyAlignment="1">
      <alignment horizontal="right" wrapText="1"/>
    </xf>
    <xf numFmtId="9" fontId="4" fillId="0" borderId="2" xfId="0" applyNumberFormat="1" applyFont="1" applyFill="1" applyBorder="1" applyAlignment="1">
      <alignment horizontal="right" wrapText="1"/>
    </xf>
    <xf numFmtId="9" fontId="7" fillId="0" borderId="2" xfId="0" applyNumberFormat="1" applyFont="1" applyFill="1" applyBorder="1" applyAlignment="1">
      <alignment horizontal="right" wrapText="1"/>
    </xf>
    <xf numFmtId="9" fontId="7" fillId="0" borderId="0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/>
    <xf numFmtId="164" fontId="3" fillId="2" borderId="2" xfId="0" applyNumberFormat="1" applyFont="1" applyFill="1" applyBorder="1" applyAlignment="1"/>
    <xf numFmtId="167" fontId="2" fillId="0" borderId="0" xfId="0" applyNumberFormat="1" applyFont="1" applyBorder="1" applyAlignment="1"/>
    <xf numFmtId="164" fontId="10" fillId="0" borderId="0" xfId="0" applyNumberFormat="1" applyFont="1" applyFill="1" applyAlignment="1">
      <alignment horizontal="right" wrapText="1"/>
    </xf>
    <xf numFmtId="165" fontId="2" fillId="4" borderId="0" xfId="0" applyNumberFormat="1" applyFont="1" applyFill="1" applyBorder="1" applyAlignment="1">
      <alignment horizontal="right"/>
    </xf>
    <xf numFmtId="164" fontId="2" fillId="4" borderId="0" xfId="0" applyNumberFormat="1" applyFont="1" applyFill="1" applyBorder="1" applyAlignment="1"/>
    <xf numFmtId="165" fontId="2" fillId="0" borderId="0" xfId="0" applyNumberFormat="1" applyFont="1" applyFill="1" applyBorder="1" applyAlignment="1">
      <alignment horizontal="right" wrapText="1"/>
    </xf>
    <xf numFmtId="38" fontId="3" fillId="0" borderId="0" xfId="0" applyNumberFormat="1" applyFont="1" applyFill="1" applyAlignment="1">
      <alignment horizontal="right" wrapText="1"/>
    </xf>
    <xf numFmtId="38" fontId="3" fillId="0" borderId="2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3500004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3500004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3500004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3500004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3500004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3500004</xdr:colOff>
      <xdr:row>0</xdr:row>
      <xdr:rowOff>742684</xdr:rowOff>
    </xdr:to>
    <xdr:pic>
      <xdr:nvPicPr>
        <xdr:cNvPr id="4" name="Picture 3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zoomScaleNormal="10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6" sqref="D6"/>
    </sheetView>
  </sheetViews>
  <sheetFormatPr defaultColWidth="9.140625" defaultRowHeight="20.100000000000001" customHeight="1"/>
  <cols>
    <col min="1" max="1" width="2.7109375" style="104" customWidth="1"/>
    <col min="2" max="2" width="2.7109375" style="2" customWidth="1"/>
    <col min="3" max="3" width="54.7109375" style="2" customWidth="1"/>
    <col min="4" max="5" width="9.7109375" style="8" customWidth="1"/>
    <col min="6" max="6" width="9.7109375" style="104" customWidth="1"/>
    <col min="7" max="7" width="9.7109375" style="2" customWidth="1"/>
    <col min="8" max="13" width="9.7109375" style="104" customWidth="1"/>
    <col min="14" max="16384" width="9.140625" style="104"/>
  </cols>
  <sheetData>
    <row r="1" spans="1:15" ht="59.25" customHeight="1">
      <c r="B1" s="67"/>
      <c r="C1" s="67"/>
      <c r="D1" s="68"/>
      <c r="E1" s="68"/>
      <c r="F1" s="116"/>
      <c r="G1" s="67"/>
      <c r="H1" s="116"/>
      <c r="I1" s="116"/>
      <c r="J1" s="116"/>
      <c r="K1" s="116"/>
      <c r="L1" s="116"/>
      <c r="M1" s="116"/>
    </row>
    <row r="2" spans="1:15" ht="12.75" customHeight="1">
      <c r="A2" s="53" t="s">
        <v>17</v>
      </c>
      <c r="B2" s="80"/>
      <c r="C2" s="53"/>
      <c r="D2" s="54"/>
      <c r="E2" s="54"/>
      <c r="F2" s="70"/>
      <c r="G2" s="53"/>
      <c r="H2" s="70"/>
      <c r="I2" s="70"/>
      <c r="J2" s="70"/>
      <c r="K2" s="70"/>
      <c r="L2" s="70"/>
      <c r="M2" s="70"/>
    </row>
    <row r="3" spans="1:15" ht="12.75" customHeight="1">
      <c r="A3" s="13" t="s">
        <v>23</v>
      </c>
      <c r="B3" s="15"/>
      <c r="C3" s="14"/>
      <c r="D3" s="81" t="s">
        <v>63</v>
      </c>
      <c r="E3" s="81"/>
      <c r="F3" s="83"/>
      <c r="G3" s="84" t="s">
        <v>64</v>
      </c>
      <c r="H3" s="85"/>
      <c r="I3" s="86"/>
      <c r="J3" s="85"/>
      <c r="K3" s="85"/>
      <c r="L3" s="85"/>
      <c r="M3" s="85"/>
      <c r="N3"/>
      <c r="O3"/>
    </row>
    <row r="4" spans="1:15" ht="12.75" customHeight="1">
      <c r="A4" s="13"/>
      <c r="B4" s="15"/>
      <c r="C4" s="14"/>
      <c r="D4" s="72"/>
      <c r="E4" s="72"/>
      <c r="F4" s="71"/>
      <c r="G4" s="71"/>
      <c r="H4" s="71"/>
      <c r="I4" s="71"/>
      <c r="J4" s="71"/>
      <c r="K4" s="71"/>
      <c r="L4" s="71"/>
      <c r="M4" s="71"/>
    </row>
    <row r="5" spans="1:15" ht="12.75" customHeight="1">
      <c r="A5" s="73" t="s">
        <v>20</v>
      </c>
      <c r="B5" s="171"/>
      <c r="C5" s="74"/>
      <c r="D5" s="87">
        <v>2009</v>
      </c>
      <c r="E5" s="87">
        <f t="shared" ref="E5:K5" si="0">D5+1</f>
        <v>2010</v>
      </c>
      <c r="F5" s="87">
        <f t="shared" si="0"/>
        <v>2011</v>
      </c>
      <c r="G5" s="88">
        <f t="shared" si="0"/>
        <v>2012</v>
      </c>
      <c r="H5" s="88">
        <f t="shared" si="0"/>
        <v>2013</v>
      </c>
      <c r="I5" s="88">
        <f t="shared" si="0"/>
        <v>2014</v>
      </c>
      <c r="J5" s="88">
        <f t="shared" si="0"/>
        <v>2015</v>
      </c>
      <c r="K5" s="88">
        <f t="shared" si="0"/>
        <v>2016</v>
      </c>
      <c r="L5" s="88">
        <f>K5+1</f>
        <v>2017</v>
      </c>
      <c r="M5" s="88">
        <f>L5+1</f>
        <v>2018</v>
      </c>
    </row>
    <row r="6" spans="1:15" s="117" customFormat="1" ht="21" customHeight="1">
      <c r="A6" s="89" t="s">
        <v>73</v>
      </c>
      <c r="B6" s="91"/>
      <c r="C6" s="90"/>
      <c r="D6" s="176"/>
      <c r="E6" s="176"/>
      <c r="F6" s="176"/>
      <c r="G6" s="176"/>
      <c r="H6" s="176"/>
      <c r="I6" s="176"/>
      <c r="J6" s="176"/>
      <c r="K6" s="176"/>
      <c r="L6" s="176"/>
      <c r="M6" s="176"/>
    </row>
    <row r="7" spans="1:15" s="117" customFormat="1" ht="12.75" customHeight="1">
      <c r="A7" s="89"/>
      <c r="B7" s="91" t="s">
        <v>74</v>
      </c>
      <c r="C7" s="90"/>
      <c r="D7" s="136">
        <v>20</v>
      </c>
      <c r="E7" s="136">
        <v>20</v>
      </c>
      <c r="F7" s="136">
        <v>20</v>
      </c>
      <c r="G7" s="150">
        <f>F7*(1+G8)</f>
        <v>20</v>
      </c>
      <c r="H7" s="150">
        <f t="shared" ref="H7:M7" si="1">G7*(1+H8)</f>
        <v>20</v>
      </c>
      <c r="I7" s="150">
        <f t="shared" si="1"/>
        <v>20</v>
      </c>
      <c r="J7" s="150">
        <f t="shared" si="1"/>
        <v>20</v>
      </c>
      <c r="K7" s="150">
        <f t="shared" si="1"/>
        <v>20</v>
      </c>
      <c r="L7" s="150">
        <f t="shared" si="1"/>
        <v>20</v>
      </c>
      <c r="M7" s="150">
        <f t="shared" si="1"/>
        <v>20</v>
      </c>
    </row>
    <row r="8" spans="1:15" s="117" customFormat="1" ht="12.75" customHeight="1">
      <c r="A8" s="89"/>
      <c r="B8" s="91"/>
      <c r="C8" s="7" t="s">
        <v>77</v>
      </c>
      <c r="D8" s="120"/>
      <c r="E8" s="165">
        <f>E7/D7-1</f>
        <v>0</v>
      </c>
      <c r="F8" s="165">
        <f>F7/E7-1</f>
        <v>0</v>
      </c>
      <c r="G8" s="166">
        <v>0</v>
      </c>
      <c r="H8" s="166">
        <v>0</v>
      </c>
      <c r="I8" s="166">
        <v>0</v>
      </c>
      <c r="J8" s="166">
        <v>0</v>
      </c>
      <c r="K8" s="166">
        <v>0</v>
      </c>
      <c r="L8" s="166">
        <v>0</v>
      </c>
      <c r="M8" s="166">
        <v>0</v>
      </c>
    </row>
    <row r="9" spans="1:15" s="117" customFormat="1" ht="12.75" customHeight="1">
      <c r="A9" s="89"/>
      <c r="B9" s="91" t="s">
        <v>75</v>
      </c>
      <c r="C9" s="90"/>
      <c r="D9" s="120">
        <v>500</v>
      </c>
      <c r="E9" s="120">
        <v>550</v>
      </c>
      <c r="F9" s="120">
        <v>605</v>
      </c>
      <c r="G9" s="127">
        <f>F9*(1+G10)</f>
        <v>665.5</v>
      </c>
      <c r="H9" s="127">
        <f t="shared" ref="H9:M9" si="2">G9*(1+H10)</f>
        <v>732.05000000000007</v>
      </c>
      <c r="I9" s="127">
        <f t="shared" si="2"/>
        <v>805.25500000000011</v>
      </c>
      <c r="J9" s="127">
        <f t="shared" si="2"/>
        <v>885.78050000000019</v>
      </c>
      <c r="K9" s="127">
        <f t="shared" si="2"/>
        <v>974.35855000000026</v>
      </c>
      <c r="L9" s="127">
        <f t="shared" si="2"/>
        <v>1071.7944050000003</v>
      </c>
      <c r="M9" s="127">
        <f t="shared" si="2"/>
        <v>1178.9738455000004</v>
      </c>
    </row>
    <row r="10" spans="1:15" s="117" customFormat="1" ht="12.75" customHeight="1">
      <c r="A10" s="89"/>
      <c r="B10" s="91"/>
      <c r="C10" s="7" t="s">
        <v>76</v>
      </c>
      <c r="D10" s="139"/>
      <c r="E10" s="167">
        <f>E9/D9-1</f>
        <v>0.10000000000000009</v>
      </c>
      <c r="F10" s="167">
        <f>F9/E9-1</f>
        <v>0.10000000000000009</v>
      </c>
      <c r="G10" s="168">
        <v>0.1</v>
      </c>
      <c r="H10" s="168">
        <v>0.1</v>
      </c>
      <c r="I10" s="168">
        <v>0.1</v>
      </c>
      <c r="J10" s="168">
        <v>0.1</v>
      </c>
      <c r="K10" s="168">
        <v>0.1</v>
      </c>
      <c r="L10" s="168">
        <v>0.1</v>
      </c>
      <c r="M10" s="168">
        <v>0.1</v>
      </c>
    </row>
    <row r="11" spans="1:15" ht="12.75" customHeight="1">
      <c r="B11" s="1" t="s">
        <v>108</v>
      </c>
      <c r="C11" s="4"/>
      <c r="D11" s="124">
        <f>D7*D9</f>
        <v>10000</v>
      </c>
      <c r="E11" s="124">
        <f t="shared" ref="E11:M11" si="3">E7*E9</f>
        <v>11000</v>
      </c>
      <c r="F11" s="124">
        <f t="shared" si="3"/>
        <v>12100</v>
      </c>
      <c r="G11" s="124">
        <f t="shared" si="3"/>
        <v>13310</v>
      </c>
      <c r="H11" s="124">
        <f t="shared" si="3"/>
        <v>14641.000000000002</v>
      </c>
      <c r="I11" s="124">
        <f t="shared" si="3"/>
        <v>16105.100000000002</v>
      </c>
      <c r="J11" s="124">
        <f t="shared" si="3"/>
        <v>17715.610000000004</v>
      </c>
      <c r="K11" s="124">
        <f t="shared" si="3"/>
        <v>19487.171000000006</v>
      </c>
      <c r="L11" s="124">
        <f t="shared" si="3"/>
        <v>21435.888100000007</v>
      </c>
      <c r="M11" s="124">
        <f t="shared" si="3"/>
        <v>23579.476910000009</v>
      </c>
    </row>
    <row r="12" spans="1:15" ht="12.75" customHeight="1">
      <c r="C12" s="7" t="s">
        <v>78</v>
      </c>
      <c r="D12" s="121"/>
      <c r="E12" s="121">
        <f>E11/D11-1</f>
        <v>0.10000000000000009</v>
      </c>
      <c r="F12" s="121">
        <f t="shared" ref="F12:M12" si="4">F11/E11-1</f>
        <v>0.10000000000000009</v>
      </c>
      <c r="G12" s="121">
        <f t="shared" si="4"/>
        <v>0.10000000000000009</v>
      </c>
      <c r="H12" s="121">
        <f t="shared" si="4"/>
        <v>0.10000000000000009</v>
      </c>
      <c r="I12" s="121">
        <f t="shared" si="4"/>
        <v>0.10000000000000009</v>
      </c>
      <c r="J12" s="121">
        <f t="shared" si="4"/>
        <v>0.10000000000000009</v>
      </c>
      <c r="K12" s="121">
        <f t="shared" si="4"/>
        <v>0.10000000000000009</v>
      </c>
      <c r="L12" s="121">
        <f t="shared" si="4"/>
        <v>0.10000000000000009</v>
      </c>
      <c r="M12" s="121">
        <f t="shared" si="4"/>
        <v>0.10000000000000009</v>
      </c>
    </row>
    <row r="13" spans="1:15" ht="21" customHeight="1">
      <c r="A13" s="105" t="s">
        <v>79</v>
      </c>
      <c r="C13" s="7"/>
      <c r="D13" s="121"/>
      <c r="E13" s="121"/>
      <c r="F13" s="121"/>
      <c r="G13" s="17"/>
      <c r="H13" s="17"/>
      <c r="I13" s="17"/>
      <c r="J13" s="17"/>
      <c r="K13" s="17"/>
      <c r="L13" s="17"/>
      <c r="M13" s="17"/>
    </row>
    <row r="14" spans="1:15" ht="12.75" customHeight="1">
      <c r="B14" s="1" t="s">
        <v>79</v>
      </c>
      <c r="C14" s="5"/>
      <c r="D14" s="173">
        <v>2500</v>
      </c>
      <c r="E14" s="173">
        <v>2750</v>
      </c>
      <c r="F14" s="173">
        <v>3025</v>
      </c>
      <c r="G14" s="124">
        <f>G11*G15</f>
        <v>3327.5</v>
      </c>
      <c r="H14" s="124">
        <f t="shared" ref="H14:M14" si="5">H11*H15</f>
        <v>3660.2500000000005</v>
      </c>
      <c r="I14" s="124">
        <f t="shared" si="5"/>
        <v>4026.2750000000005</v>
      </c>
      <c r="J14" s="124">
        <f t="shared" si="5"/>
        <v>4428.9025000000011</v>
      </c>
      <c r="K14" s="124">
        <f t="shared" si="5"/>
        <v>4871.7927500000014</v>
      </c>
      <c r="L14" s="124">
        <f t="shared" si="5"/>
        <v>5358.9720250000018</v>
      </c>
      <c r="M14" s="124">
        <f t="shared" si="5"/>
        <v>5894.8692275000021</v>
      </c>
    </row>
    <row r="15" spans="1:15" ht="12.75" customHeight="1">
      <c r="C15" s="7" t="s">
        <v>80</v>
      </c>
      <c r="D15" s="123">
        <f>D14/D11</f>
        <v>0.25</v>
      </c>
      <c r="E15" s="123">
        <f>E14/E11</f>
        <v>0.25</v>
      </c>
      <c r="F15" s="123">
        <f>F14/F11</f>
        <v>0.25</v>
      </c>
      <c r="G15" s="151">
        <f>F15</f>
        <v>0.25</v>
      </c>
      <c r="H15" s="151">
        <f t="shared" ref="H15:M15" si="6">G15</f>
        <v>0.25</v>
      </c>
      <c r="I15" s="151">
        <f t="shared" si="6"/>
        <v>0.25</v>
      </c>
      <c r="J15" s="151">
        <f t="shared" si="6"/>
        <v>0.25</v>
      </c>
      <c r="K15" s="151">
        <f t="shared" si="6"/>
        <v>0.25</v>
      </c>
      <c r="L15" s="151">
        <f t="shared" si="6"/>
        <v>0.25</v>
      </c>
      <c r="M15" s="151">
        <f t="shared" si="6"/>
        <v>0.25</v>
      </c>
    </row>
    <row r="16" spans="1:15" ht="21" customHeight="1">
      <c r="B16" s="1" t="s">
        <v>107</v>
      </c>
      <c r="C16" s="4"/>
      <c r="D16" s="124">
        <f>D11-D14</f>
        <v>7500</v>
      </c>
      <c r="E16" s="124">
        <f t="shared" ref="E16:M16" si="7">E11-E14</f>
        <v>8250</v>
      </c>
      <c r="F16" s="124">
        <f t="shared" si="7"/>
        <v>9075</v>
      </c>
      <c r="G16" s="124">
        <f t="shared" si="7"/>
        <v>9982.5</v>
      </c>
      <c r="H16" s="124">
        <f t="shared" si="7"/>
        <v>10980.750000000002</v>
      </c>
      <c r="I16" s="124">
        <f t="shared" si="7"/>
        <v>12078.825000000001</v>
      </c>
      <c r="J16" s="124">
        <f t="shared" si="7"/>
        <v>13286.707500000004</v>
      </c>
      <c r="K16" s="124">
        <f t="shared" si="7"/>
        <v>14615.378250000005</v>
      </c>
      <c r="L16" s="124">
        <f t="shared" si="7"/>
        <v>16076.916075000005</v>
      </c>
      <c r="M16" s="124">
        <f t="shared" si="7"/>
        <v>17684.607682500005</v>
      </c>
    </row>
    <row r="17" spans="1:13" ht="12.75" customHeight="1">
      <c r="B17" s="6"/>
      <c r="C17" s="7" t="s">
        <v>81</v>
      </c>
      <c r="D17" s="121">
        <f>D16/D11</f>
        <v>0.75</v>
      </c>
      <c r="E17" s="121">
        <f t="shared" ref="E17:M17" si="8">E16/E11</f>
        <v>0.75</v>
      </c>
      <c r="F17" s="121">
        <f t="shared" si="8"/>
        <v>0.75</v>
      </c>
      <c r="G17" s="121">
        <f t="shared" si="8"/>
        <v>0.75</v>
      </c>
      <c r="H17" s="121">
        <f t="shared" si="8"/>
        <v>0.75</v>
      </c>
      <c r="I17" s="121">
        <f t="shared" si="8"/>
        <v>0.74999999999999989</v>
      </c>
      <c r="J17" s="121">
        <f t="shared" si="8"/>
        <v>0.75</v>
      </c>
      <c r="K17" s="121">
        <f t="shared" si="8"/>
        <v>0.75</v>
      </c>
      <c r="L17" s="121">
        <f t="shared" si="8"/>
        <v>0.75</v>
      </c>
      <c r="M17" s="121">
        <f t="shared" si="8"/>
        <v>0.75</v>
      </c>
    </row>
    <row r="18" spans="1:13" ht="21" customHeight="1">
      <c r="A18" s="1" t="s">
        <v>89</v>
      </c>
      <c r="D18" s="125"/>
      <c r="E18" s="125"/>
      <c r="F18" s="125"/>
      <c r="G18" s="12"/>
      <c r="H18" s="12"/>
      <c r="I18" s="12"/>
      <c r="J18" s="12"/>
      <c r="K18" s="12"/>
      <c r="L18" s="12"/>
      <c r="M18" s="12"/>
    </row>
    <row r="19" spans="1:13" ht="12.75" customHeight="1">
      <c r="B19" s="2" t="s">
        <v>83</v>
      </c>
      <c r="D19" s="120">
        <v>900</v>
      </c>
      <c r="E19" s="120">
        <v>1000</v>
      </c>
      <c r="F19" s="120">
        <v>1050</v>
      </c>
      <c r="G19" s="127">
        <f>G20*G11</f>
        <v>1155</v>
      </c>
      <c r="H19" s="127">
        <f t="shared" ref="H19:M19" si="9">H20*H11</f>
        <v>1270.5000000000002</v>
      </c>
      <c r="I19" s="127">
        <f t="shared" si="9"/>
        <v>1397.5500000000002</v>
      </c>
      <c r="J19" s="127">
        <f t="shared" si="9"/>
        <v>1537.3050000000005</v>
      </c>
      <c r="K19" s="127">
        <f t="shared" si="9"/>
        <v>1691.0355000000006</v>
      </c>
      <c r="L19" s="127">
        <f t="shared" si="9"/>
        <v>1860.1390500000007</v>
      </c>
      <c r="M19" s="127">
        <f t="shared" si="9"/>
        <v>2046.1529550000007</v>
      </c>
    </row>
    <row r="20" spans="1:13" ht="12.75" customHeight="1">
      <c r="C20" s="7" t="s">
        <v>159</v>
      </c>
      <c r="D20" s="137">
        <f>D19/D11</f>
        <v>0.09</v>
      </c>
      <c r="E20" s="137">
        <f>E19/E11</f>
        <v>9.0909090909090912E-2</v>
      </c>
      <c r="F20" s="137">
        <f>F19/F11</f>
        <v>8.6776859504132234E-2</v>
      </c>
      <c r="G20" s="169">
        <f>F20</f>
        <v>8.6776859504132234E-2</v>
      </c>
      <c r="H20" s="169">
        <f t="shared" ref="H20:M20" si="10">G20</f>
        <v>8.6776859504132234E-2</v>
      </c>
      <c r="I20" s="169">
        <f t="shared" si="10"/>
        <v>8.6776859504132234E-2</v>
      </c>
      <c r="J20" s="169">
        <f t="shared" si="10"/>
        <v>8.6776859504132234E-2</v>
      </c>
      <c r="K20" s="169">
        <f t="shared" si="10"/>
        <v>8.6776859504132234E-2</v>
      </c>
      <c r="L20" s="169">
        <f t="shared" si="10"/>
        <v>8.6776859504132234E-2</v>
      </c>
      <c r="M20" s="169">
        <f t="shared" si="10"/>
        <v>8.6776859504132234E-2</v>
      </c>
    </row>
    <row r="21" spans="1:13" ht="12.75" customHeight="1">
      <c r="B21" s="2" t="s">
        <v>82</v>
      </c>
      <c r="D21" s="120">
        <v>1250</v>
      </c>
      <c r="E21" s="120">
        <v>1400</v>
      </c>
      <c r="F21" s="120">
        <v>1550</v>
      </c>
      <c r="G21" s="127">
        <f>G22*G11</f>
        <v>1704.9999999999998</v>
      </c>
      <c r="H21" s="127">
        <f t="shared" ref="H21:M21" si="11">H22*H11</f>
        <v>1875.5</v>
      </c>
      <c r="I21" s="127">
        <f t="shared" si="11"/>
        <v>2063.0500000000002</v>
      </c>
      <c r="J21" s="127">
        <f t="shared" si="11"/>
        <v>2269.3550000000005</v>
      </c>
      <c r="K21" s="127">
        <f t="shared" si="11"/>
        <v>2496.2905000000005</v>
      </c>
      <c r="L21" s="127">
        <f t="shared" si="11"/>
        <v>2745.9195500000005</v>
      </c>
      <c r="M21" s="127">
        <f t="shared" si="11"/>
        <v>3020.5115050000009</v>
      </c>
    </row>
    <row r="22" spans="1:13" ht="12.75" customHeight="1">
      <c r="C22" s="7" t="s">
        <v>160</v>
      </c>
      <c r="D22" s="137">
        <f>D21/D11</f>
        <v>0.125</v>
      </c>
      <c r="E22" s="137">
        <f>E21/E11</f>
        <v>0.12727272727272726</v>
      </c>
      <c r="F22" s="137">
        <f>F21/F11</f>
        <v>0.128099173553719</v>
      </c>
      <c r="G22" s="169">
        <f>F22</f>
        <v>0.128099173553719</v>
      </c>
      <c r="H22" s="169">
        <f t="shared" ref="H22:M22" si="12">G22</f>
        <v>0.128099173553719</v>
      </c>
      <c r="I22" s="169">
        <f t="shared" si="12"/>
        <v>0.128099173553719</v>
      </c>
      <c r="J22" s="169">
        <f t="shared" si="12"/>
        <v>0.128099173553719</v>
      </c>
      <c r="K22" s="169">
        <f t="shared" si="12"/>
        <v>0.128099173553719</v>
      </c>
      <c r="L22" s="169">
        <f t="shared" si="12"/>
        <v>0.128099173553719</v>
      </c>
      <c r="M22" s="169">
        <f t="shared" si="12"/>
        <v>0.128099173553719</v>
      </c>
    </row>
    <row r="23" spans="1:13" ht="12.75" customHeight="1">
      <c r="B23" s="2" t="s">
        <v>0</v>
      </c>
      <c r="D23" s="126">
        <v>0</v>
      </c>
      <c r="E23" s="126">
        <v>0</v>
      </c>
      <c r="F23" s="126">
        <v>0</v>
      </c>
      <c r="G23" s="69">
        <f>F23</f>
        <v>0</v>
      </c>
      <c r="H23" s="69">
        <f t="shared" ref="H23:M23" si="13">G23</f>
        <v>0</v>
      </c>
      <c r="I23" s="69">
        <f t="shared" si="13"/>
        <v>0</v>
      </c>
      <c r="J23" s="69">
        <f t="shared" si="13"/>
        <v>0</v>
      </c>
      <c r="K23" s="69">
        <f t="shared" si="13"/>
        <v>0</v>
      </c>
      <c r="L23" s="69">
        <f t="shared" si="13"/>
        <v>0</v>
      </c>
      <c r="M23" s="69">
        <f t="shared" si="13"/>
        <v>0</v>
      </c>
    </row>
    <row r="24" spans="1:13" ht="12.75" customHeight="1">
      <c r="B24" s="1" t="s">
        <v>90</v>
      </c>
      <c r="D24" s="124">
        <f>D23+D21+D19</f>
        <v>2150</v>
      </c>
      <c r="E24" s="124">
        <f t="shared" ref="E24:M24" si="14">E23+E21+E19</f>
        <v>2400</v>
      </c>
      <c r="F24" s="124">
        <f t="shared" si="14"/>
        <v>2600</v>
      </c>
      <c r="G24" s="124">
        <f t="shared" si="14"/>
        <v>2860</v>
      </c>
      <c r="H24" s="124">
        <f t="shared" si="14"/>
        <v>3146</v>
      </c>
      <c r="I24" s="124">
        <f t="shared" si="14"/>
        <v>3460.6000000000004</v>
      </c>
      <c r="J24" s="124">
        <f t="shared" si="14"/>
        <v>3806.6600000000008</v>
      </c>
      <c r="K24" s="124">
        <f t="shared" si="14"/>
        <v>4187.3260000000009</v>
      </c>
      <c r="L24" s="124">
        <f t="shared" si="14"/>
        <v>4606.0586000000012</v>
      </c>
      <c r="M24" s="124">
        <f t="shared" si="14"/>
        <v>5066.6644600000018</v>
      </c>
    </row>
    <row r="25" spans="1:13" ht="21" customHeight="1">
      <c r="A25" s="1" t="s">
        <v>91</v>
      </c>
      <c r="C25" s="5"/>
      <c r="D25" s="127"/>
      <c r="E25" s="127"/>
      <c r="F25" s="127"/>
      <c r="G25" s="10"/>
      <c r="H25" s="10"/>
      <c r="I25" s="10"/>
      <c r="J25" s="10"/>
      <c r="K25" s="10"/>
      <c r="L25" s="10"/>
      <c r="M25" s="10"/>
    </row>
    <row r="26" spans="1:13" ht="12.75" customHeight="1">
      <c r="B26" s="2" t="s">
        <v>15</v>
      </c>
      <c r="D26" s="126">
        <v>0</v>
      </c>
      <c r="E26" s="126">
        <v>0</v>
      </c>
      <c r="F26" s="126">
        <v>0</v>
      </c>
      <c r="G26" s="126">
        <v>0</v>
      </c>
      <c r="H26" s="126">
        <v>0</v>
      </c>
      <c r="I26" s="126">
        <v>0</v>
      </c>
      <c r="J26" s="126">
        <v>0</v>
      </c>
      <c r="K26" s="126">
        <v>0</v>
      </c>
      <c r="L26" s="126">
        <v>0</v>
      </c>
      <c r="M26" s="126">
        <v>0</v>
      </c>
    </row>
    <row r="27" spans="1:13" ht="21" customHeight="1">
      <c r="B27" s="1" t="s">
        <v>2</v>
      </c>
      <c r="C27" s="4"/>
      <c r="D27" s="124">
        <f>D16-D24+D26</f>
        <v>5350</v>
      </c>
      <c r="E27" s="124">
        <f t="shared" ref="E27:M27" si="15">E16-E24+E26</f>
        <v>5850</v>
      </c>
      <c r="F27" s="124">
        <f t="shared" si="15"/>
        <v>6475</v>
      </c>
      <c r="G27" s="124">
        <f t="shared" si="15"/>
        <v>7122.5</v>
      </c>
      <c r="H27" s="124">
        <f t="shared" si="15"/>
        <v>7834.7500000000018</v>
      </c>
      <c r="I27" s="124">
        <f t="shared" si="15"/>
        <v>8618.2250000000004</v>
      </c>
      <c r="J27" s="124">
        <f t="shared" si="15"/>
        <v>9480.0475000000042</v>
      </c>
      <c r="K27" s="124">
        <f t="shared" si="15"/>
        <v>10428.052250000004</v>
      </c>
      <c r="L27" s="124">
        <f t="shared" si="15"/>
        <v>11470.857475000004</v>
      </c>
      <c r="M27" s="124">
        <f t="shared" si="15"/>
        <v>12617.943222500004</v>
      </c>
    </row>
    <row r="28" spans="1:13" ht="12.75" customHeight="1">
      <c r="B28" s="6"/>
      <c r="C28" s="7" t="s">
        <v>84</v>
      </c>
      <c r="D28" s="121">
        <f>D27/D11</f>
        <v>0.53500000000000003</v>
      </c>
      <c r="E28" s="121">
        <f t="shared" ref="E28:M28" si="16">E27/E11</f>
        <v>0.53181818181818186</v>
      </c>
      <c r="F28" s="121">
        <f t="shared" si="16"/>
        <v>0.53512396694214881</v>
      </c>
      <c r="G28" s="121">
        <f t="shared" si="16"/>
        <v>0.53512396694214881</v>
      </c>
      <c r="H28" s="121">
        <f t="shared" si="16"/>
        <v>0.53512396694214881</v>
      </c>
      <c r="I28" s="121">
        <f t="shared" si="16"/>
        <v>0.5351239669421487</v>
      </c>
      <c r="J28" s="121">
        <f t="shared" si="16"/>
        <v>0.53512396694214892</v>
      </c>
      <c r="K28" s="121">
        <f t="shared" si="16"/>
        <v>0.53512396694214881</v>
      </c>
      <c r="L28" s="121">
        <f t="shared" si="16"/>
        <v>0.53512396694214881</v>
      </c>
      <c r="M28" s="121">
        <f t="shared" si="16"/>
        <v>0.5351239669421487</v>
      </c>
    </row>
    <row r="29" spans="1:13" ht="21" customHeight="1">
      <c r="B29" s="2" t="s">
        <v>85</v>
      </c>
      <c r="D29" s="126">
        <v>600</v>
      </c>
      <c r="E29" s="126">
        <v>650</v>
      </c>
      <c r="F29" s="126">
        <v>725</v>
      </c>
      <c r="G29" s="128">
        <f>Depreciation!G18</f>
        <v>627.5</v>
      </c>
      <c r="H29" s="128">
        <f>Depreciation!H18</f>
        <v>677.5</v>
      </c>
      <c r="I29" s="128">
        <f>Depreciation!I18</f>
        <v>752.5</v>
      </c>
      <c r="J29" s="128">
        <f>Depreciation!J18</f>
        <v>852.5</v>
      </c>
      <c r="K29" s="128">
        <f>Depreciation!K18</f>
        <v>902.5</v>
      </c>
      <c r="L29" s="128">
        <f>Depreciation!L18</f>
        <v>977.5</v>
      </c>
      <c r="M29" s="128">
        <f>Depreciation!M18</f>
        <v>1077.5</v>
      </c>
    </row>
    <row r="30" spans="1:13" ht="21" customHeight="1">
      <c r="B30" s="1" t="s">
        <v>1</v>
      </c>
      <c r="C30" s="4"/>
      <c r="D30" s="124">
        <f>D27-D29</f>
        <v>4750</v>
      </c>
      <c r="E30" s="124">
        <f t="shared" ref="E30:M30" si="17">E27-E29</f>
        <v>5200</v>
      </c>
      <c r="F30" s="124">
        <f t="shared" si="17"/>
        <v>5750</v>
      </c>
      <c r="G30" s="124">
        <f t="shared" si="17"/>
        <v>6495</v>
      </c>
      <c r="H30" s="124">
        <f t="shared" si="17"/>
        <v>7157.2500000000018</v>
      </c>
      <c r="I30" s="124">
        <f t="shared" si="17"/>
        <v>7865.7250000000004</v>
      </c>
      <c r="J30" s="124">
        <f t="shared" si="17"/>
        <v>8627.5475000000042</v>
      </c>
      <c r="K30" s="124">
        <f t="shared" si="17"/>
        <v>9525.5522500000043</v>
      </c>
      <c r="L30" s="124">
        <f t="shared" si="17"/>
        <v>10493.357475000004</v>
      </c>
      <c r="M30" s="124">
        <f t="shared" si="17"/>
        <v>11540.443222500004</v>
      </c>
    </row>
    <row r="31" spans="1:13" ht="12.75" customHeight="1">
      <c r="C31" s="6" t="s">
        <v>86</v>
      </c>
      <c r="D31" s="121">
        <f>D30/D11</f>
        <v>0.47499999999999998</v>
      </c>
      <c r="E31" s="121">
        <f t="shared" ref="E31:M31" si="18">E30/E11</f>
        <v>0.47272727272727272</v>
      </c>
      <c r="F31" s="121">
        <f t="shared" si="18"/>
        <v>0.47520661157024796</v>
      </c>
      <c r="G31" s="121">
        <f t="shared" si="18"/>
        <v>0.48797896318557477</v>
      </c>
      <c r="H31" s="121">
        <f t="shared" si="18"/>
        <v>0.48884980534116529</v>
      </c>
      <c r="I31" s="121">
        <f t="shared" si="18"/>
        <v>0.4883996373819473</v>
      </c>
      <c r="J31" s="121">
        <f t="shared" si="18"/>
        <v>0.48700256440506434</v>
      </c>
      <c r="K31" s="121">
        <f t="shared" si="18"/>
        <v>0.48881144677182753</v>
      </c>
      <c r="L31" s="121">
        <f t="shared" si="18"/>
        <v>0.48952287052664734</v>
      </c>
      <c r="M31" s="121">
        <f t="shared" si="18"/>
        <v>0.48942744856251347</v>
      </c>
    </row>
    <row r="32" spans="1:13" ht="21" customHeight="1">
      <c r="A32" s="105" t="s">
        <v>141</v>
      </c>
      <c r="C32" s="6"/>
      <c r="D32" s="121"/>
      <c r="E32" s="121"/>
      <c r="F32" s="121"/>
      <c r="G32" s="11"/>
      <c r="H32" s="11"/>
      <c r="I32" s="11"/>
      <c r="J32" s="11"/>
      <c r="K32" s="11"/>
      <c r="L32" s="11"/>
      <c r="M32" s="11"/>
    </row>
    <row r="33" spans="1:13" ht="12.75" customHeight="1">
      <c r="B33" s="2" t="s">
        <v>87</v>
      </c>
      <c r="D33" s="120">
        <v>70</v>
      </c>
      <c r="E33" s="120">
        <v>71</v>
      </c>
      <c r="F33" s="120">
        <v>71</v>
      </c>
      <c r="G33" s="127">
        <f ca="1">'Debt Schedule'!G26</f>
        <v>35.5</v>
      </c>
      <c r="H33" s="127">
        <f ca="1">'Debt Schedule'!H26</f>
        <v>0</v>
      </c>
      <c r="I33" s="127">
        <f ca="1">'Debt Schedule'!I26</f>
        <v>0</v>
      </c>
      <c r="J33" s="127">
        <f ca="1">'Debt Schedule'!J26</f>
        <v>0</v>
      </c>
      <c r="K33" s="127">
        <f ca="1">'Debt Schedule'!K26</f>
        <v>0</v>
      </c>
      <c r="L33" s="127">
        <f ca="1">'Debt Schedule'!L26</f>
        <v>0</v>
      </c>
      <c r="M33" s="127">
        <f ca="1">'Debt Schedule'!M26</f>
        <v>0</v>
      </c>
    </row>
    <row r="34" spans="1:13" ht="12.75" customHeight="1">
      <c r="B34" s="2" t="s">
        <v>88</v>
      </c>
      <c r="D34" s="129">
        <v>-15</v>
      </c>
      <c r="E34" s="129">
        <v>-22.7</v>
      </c>
      <c r="F34" s="129">
        <v>-57.1</v>
      </c>
      <c r="G34" s="156">
        <f ca="1">-'Debt Schedule'!G28</f>
        <v>-84.552973933311279</v>
      </c>
      <c r="H34" s="156">
        <f ca="1">-'Debt Schedule'!H28</f>
        <v>-119.97506878717999</v>
      </c>
      <c r="I34" s="156">
        <f ca="1">-'Debt Schedule'!I28</f>
        <v>-169.0155101311835</v>
      </c>
      <c r="J34" s="156">
        <f ca="1">-'Debt Schedule'!J28</f>
        <v>-221.01312282450621</v>
      </c>
      <c r="K34" s="156">
        <f ca="1">-'Debt Schedule'!K28</f>
        <v>-280.55496783051109</v>
      </c>
      <c r="L34" s="156">
        <f ca="1">-'Debt Schedule'!L28</f>
        <v>-347.60325421508128</v>
      </c>
      <c r="M34" s="156">
        <f ca="1">-'Debt Schedule'!M28</f>
        <v>-419.31336016947216</v>
      </c>
    </row>
    <row r="35" spans="1:13" ht="12.75" customHeight="1">
      <c r="B35" s="1" t="s">
        <v>140</v>
      </c>
      <c r="D35" s="138">
        <f>SUM(D33:D34)</f>
        <v>55</v>
      </c>
      <c r="E35" s="138">
        <f t="shared" ref="E35:M35" si="19">SUM(E33:E34)</f>
        <v>48.3</v>
      </c>
      <c r="F35" s="138">
        <f t="shared" si="19"/>
        <v>13.899999999999999</v>
      </c>
      <c r="G35" s="138">
        <f t="shared" ca="1" si="19"/>
        <v>-49.052973933311279</v>
      </c>
      <c r="H35" s="138">
        <f t="shared" ca="1" si="19"/>
        <v>-119.97506878717999</v>
      </c>
      <c r="I35" s="138">
        <f t="shared" ca="1" si="19"/>
        <v>-169.0155101311835</v>
      </c>
      <c r="J35" s="138">
        <f t="shared" ca="1" si="19"/>
        <v>-221.01312282450621</v>
      </c>
      <c r="K35" s="138">
        <f t="shared" ca="1" si="19"/>
        <v>-280.55496783051109</v>
      </c>
      <c r="L35" s="138">
        <f t="shared" ca="1" si="19"/>
        <v>-347.60325421508128</v>
      </c>
      <c r="M35" s="138">
        <f t="shared" ca="1" si="19"/>
        <v>-419.31336016947216</v>
      </c>
    </row>
    <row r="36" spans="1:13" ht="21" customHeight="1">
      <c r="B36" s="1" t="s">
        <v>92</v>
      </c>
      <c r="D36" s="124">
        <f>D30-D35</f>
        <v>4695</v>
      </c>
      <c r="E36" s="124">
        <f t="shared" ref="E36:M36" si="20">E30-E35</f>
        <v>5151.7</v>
      </c>
      <c r="F36" s="124">
        <f t="shared" si="20"/>
        <v>5736.1</v>
      </c>
      <c r="G36" s="124">
        <f t="shared" ca="1" si="20"/>
        <v>6544.0529739333115</v>
      </c>
      <c r="H36" s="124">
        <f t="shared" ca="1" si="20"/>
        <v>7277.225068787182</v>
      </c>
      <c r="I36" s="124">
        <f t="shared" ca="1" si="20"/>
        <v>8034.7405101311842</v>
      </c>
      <c r="J36" s="124">
        <f t="shared" ca="1" si="20"/>
        <v>8848.5606228245106</v>
      </c>
      <c r="K36" s="124">
        <f t="shared" ca="1" si="20"/>
        <v>9806.1072178305149</v>
      </c>
      <c r="L36" s="124">
        <f t="shared" ca="1" si="20"/>
        <v>10840.960729215085</v>
      </c>
      <c r="M36" s="124">
        <f t="shared" ca="1" si="20"/>
        <v>11959.756582669475</v>
      </c>
    </row>
    <row r="37" spans="1:13" ht="12.75" customHeight="1">
      <c r="B37" s="6"/>
      <c r="C37" s="7" t="s">
        <v>94</v>
      </c>
      <c r="D37" s="121">
        <f>D36/D11</f>
        <v>0.46949999999999997</v>
      </c>
      <c r="E37" s="121">
        <f t="shared" ref="E37:M37" si="21">E36/E11</f>
        <v>0.46833636363636361</v>
      </c>
      <c r="F37" s="121">
        <f t="shared" si="21"/>
        <v>0.47405785123966943</v>
      </c>
      <c r="G37" s="121">
        <f t="shared" ca="1" si="21"/>
        <v>0.49166438572000837</v>
      </c>
      <c r="H37" s="121">
        <f t="shared" ca="1" si="21"/>
        <v>0.49704426397016466</v>
      </c>
      <c r="I37" s="121">
        <f t="shared" ca="1" si="21"/>
        <v>0.49889417079876458</v>
      </c>
      <c r="J37" s="121">
        <f t="shared" ca="1" si="21"/>
        <v>0.49947817900848507</v>
      </c>
      <c r="K37" s="121">
        <f t="shared" ca="1" si="21"/>
        <v>0.50320835270704567</v>
      </c>
      <c r="L37" s="121">
        <f t="shared" ca="1" si="21"/>
        <v>0.50573881887427286</v>
      </c>
      <c r="M37" s="121">
        <f t="shared" ca="1" si="21"/>
        <v>0.5072104283024772</v>
      </c>
    </row>
    <row r="38" spans="1:13" ht="21" customHeight="1">
      <c r="B38" s="2" t="s">
        <v>95</v>
      </c>
      <c r="D38" s="120">
        <v>1650</v>
      </c>
      <c r="E38" s="120">
        <v>1800</v>
      </c>
      <c r="F38" s="120">
        <v>2000</v>
      </c>
      <c r="G38" s="10">
        <f ca="1">G39*G36</f>
        <v>2281.7081201280698</v>
      </c>
      <c r="H38" s="10">
        <f t="shared" ref="H38:M38" ca="1" si="22">H39*H36</f>
        <v>2537.342469199345</v>
      </c>
      <c r="I38" s="10">
        <f t="shared" ca="1" si="22"/>
        <v>2801.4645874831972</v>
      </c>
      <c r="J38" s="10">
        <f t="shared" ca="1" si="22"/>
        <v>3085.2183967589513</v>
      </c>
      <c r="K38" s="10">
        <f t="shared" ca="1" si="22"/>
        <v>3419.0851686095129</v>
      </c>
      <c r="L38" s="10">
        <f t="shared" ca="1" si="22"/>
        <v>3779.9064623054287</v>
      </c>
      <c r="M38" s="10">
        <f t="shared" ca="1" si="22"/>
        <v>4169.9958447968047</v>
      </c>
    </row>
    <row r="39" spans="1:13" ht="12.75" customHeight="1">
      <c r="B39" s="6"/>
      <c r="C39" s="7" t="s">
        <v>93</v>
      </c>
      <c r="D39" s="123">
        <f>D38/D36</f>
        <v>0.3514376996805112</v>
      </c>
      <c r="E39" s="123">
        <f>E38/E36</f>
        <v>0.34939922743948598</v>
      </c>
      <c r="F39" s="123">
        <f>F38/F36</f>
        <v>0.34866895625947941</v>
      </c>
      <c r="G39" s="151">
        <f>F39</f>
        <v>0.34866895625947941</v>
      </c>
      <c r="H39" s="151">
        <f t="shared" ref="H39:M39" si="23">G39</f>
        <v>0.34866895625947941</v>
      </c>
      <c r="I39" s="151">
        <f t="shared" si="23"/>
        <v>0.34866895625947941</v>
      </c>
      <c r="J39" s="151">
        <f t="shared" si="23"/>
        <v>0.34866895625947941</v>
      </c>
      <c r="K39" s="151">
        <f t="shared" si="23"/>
        <v>0.34866895625947941</v>
      </c>
      <c r="L39" s="151">
        <f t="shared" si="23"/>
        <v>0.34866895625947941</v>
      </c>
      <c r="M39" s="151">
        <f t="shared" si="23"/>
        <v>0.34866895625947941</v>
      </c>
    </row>
    <row r="40" spans="1:13" ht="21" customHeight="1">
      <c r="B40" s="1" t="s">
        <v>97</v>
      </c>
      <c r="D40" s="124">
        <f>D36-D38</f>
        <v>3045</v>
      </c>
      <c r="E40" s="124">
        <f t="shared" ref="E40:M40" si="24">E36-E38</f>
        <v>3351.7</v>
      </c>
      <c r="F40" s="124">
        <f t="shared" si="24"/>
        <v>3736.1000000000004</v>
      </c>
      <c r="G40" s="124">
        <f t="shared" ca="1" si="24"/>
        <v>4262.3448538052417</v>
      </c>
      <c r="H40" s="124">
        <f t="shared" ca="1" si="24"/>
        <v>4739.8825995878369</v>
      </c>
      <c r="I40" s="124">
        <f t="shared" ca="1" si="24"/>
        <v>5233.2759226479866</v>
      </c>
      <c r="J40" s="124">
        <f t="shared" ca="1" si="24"/>
        <v>5763.3422260655589</v>
      </c>
      <c r="K40" s="124">
        <f t="shared" ca="1" si="24"/>
        <v>6387.0220492210019</v>
      </c>
      <c r="L40" s="124">
        <f t="shared" ca="1" si="24"/>
        <v>7061.0542669096558</v>
      </c>
      <c r="M40" s="124">
        <f t="shared" ca="1" si="24"/>
        <v>7789.7607378726707</v>
      </c>
    </row>
    <row r="41" spans="1:13" ht="21.75" customHeight="1">
      <c r="A41" s="1" t="s">
        <v>98</v>
      </c>
      <c r="D41" s="125"/>
      <c r="E41" s="125"/>
      <c r="F41" s="125"/>
      <c r="G41" s="12"/>
      <c r="H41" s="12"/>
      <c r="I41" s="12"/>
      <c r="J41" s="12"/>
      <c r="K41" s="12"/>
      <c r="L41" s="12"/>
      <c r="M41" s="12"/>
    </row>
    <row r="42" spans="1:13" ht="12.75" customHeight="1">
      <c r="B42" s="2" t="s">
        <v>99</v>
      </c>
      <c r="D42" s="120">
        <v>0</v>
      </c>
      <c r="E42" s="120">
        <v>0</v>
      </c>
      <c r="F42" s="120">
        <v>0</v>
      </c>
      <c r="G42" s="120">
        <v>0</v>
      </c>
      <c r="H42" s="120">
        <v>0</v>
      </c>
      <c r="I42" s="120">
        <v>0</v>
      </c>
      <c r="J42" s="120">
        <v>0</v>
      </c>
      <c r="K42" s="120">
        <v>0</v>
      </c>
      <c r="L42" s="120">
        <v>0</v>
      </c>
      <c r="M42" s="120">
        <v>0</v>
      </c>
    </row>
    <row r="43" spans="1:13" ht="12.75" customHeight="1">
      <c r="B43" s="2" t="s">
        <v>100</v>
      </c>
      <c r="D43" s="120">
        <v>0</v>
      </c>
      <c r="E43" s="120">
        <v>0</v>
      </c>
      <c r="F43" s="120">
        <v>0</v>
      </c>
      <c r="G43" s="120">
        <v>0</v>
      </c>
      <c r="H43" s="120">
        <v>0</v>
      </c>
      <c r="I43" s="120">
        <v>0</v>
      </c>
      <c r="J43" s="120">
        <v>0</v>
      </c>
      <c r="K43" s="120">
        <v>0</v>
      </c>
      <c r="L43" s="120">
        <v>0</v>
      </c>
      <c r="M43" s="120">
        <v>0</v>
      </c>
    </row>
    <row r="44" spans="1:13" ht="12.75" customHeight="1">
      <c r="B44" s="2" t="s">
        <v>101</v>
      </c>
      <c r="D44" s="120">
        <v>0</v>
      </c>
      <c r="E44" s="120">
        <v>0</v>
      </c>
      <c r="F44" s="120">
        <v>0</v>
      </c>
      <c r="G44" s="120">
        <v>0</v>
      </c>
      <c r="H44" s="120">
        <v>0</v>
      </c>
      <c r="I44" s="120">
        <v>0</v>
      </c>
      <c r="J44" s="120">
        <v>0</v>
      </c>
      <c r="K44" s="120">
        <v>0</v>
      </c>
      <c r="L44" s="120">
        <v>0</v>
      </c>
      <c r="M44" s="120">
        <v>0</v>
      </c>
    </row>
    <row r="45" spans="1:13" ht="12.75" customHeight="1">
      <c r="B45" s="2" t="s">
        <v>102</v>
      </c>
      <c r="D45" s="126">
        <v>0</v>
      </c>
      <c r="E45" s="126">
        <v>0</v>
      </c>
      <c r="F45" s="126">
        <v>0</v>
      </c>
      <c r="G45" s="126">
        <v>0</v>
      </c>
      <c r="H45" s="126">
        <v>0</v>
      </c>
      <c r="I45" s="126">
        <v>0</v>
      </c>
      <c r="J45" s="126">
        <v>0</v>
      </c>
      <c r="K45" s="126">
        <v>0</v>
      </c>
      <c r="L45" s="126">
        <v>0</v>
      </c>
      <c r="M45" s="126">
        <v>0</v>
      </c>
    </row>
    <row r="46" spans="1:13" ht="12.75" customHeight="1">
      <c r="B46" s="1" t="s">
        <v>143</v>
      </c>
      <c r="D46" s="140">
        <f>SUM(D42:D45)</f>
        <v>0</v>
      </c>
      <c r="E46" s="140">
        <f t="shared" ref="E46:M46" si="25">SUM(E42:E45)</f>
        <v>0</v>
      </c>
      <c r="F46" s="140">
        <f t="shared" si="25"/>
        <v>0</v>
      </c>
      <c r="G46" s="140">
        <f t="shared" si="25"/>
        <v>0</v>
      </c>
      <c r="H46" s="140">
        <f t="shared" si="25"/>
        <v>0</v>
      </c>
      <c r="I46" s="140">
        <f t="shared" si="25"/>
        <v>0</v>
      </c>
      <c r="J46" s="140">
        <f t="shared" si="25"/>
        <v>0</v>
      </c>
      <c r="K46" s="140">
        <f t="shared" si="25"/>
        <v>0</v>
      </c>
      <c r="L46" s="140">
        <f t="shared" si="25"/>
        <v>0</v>
      </c>
      <c r="M46" s="140">
        <f t="shared" si="25"/>
        <v>0</v>
      </c>
    </row>
    <row r="47" spans="1:13" ht="21" customHeight="1">
      <c r="B47" s="28" t="s">
        <v>103</v>
      </c>
      <c r="C47" s="56"/>
      <c r="D47" s="130">
        <f>D40-D46</f>
        <v>3045</v>
      </c>
      <c r="E47" s="130">
        <f t="shared" ref="E47:M47" si="26">E40-E46</f>
        <v>3351.7</v>
      </c>
      <c r="F47" s="130">
        <f t="shared" si="26"/>
        <v>3736.1000000000004</v>
      </c>
      <c r="G47" s="130">
        <f t="shared" ca="1" si="26"/>
        <v>4262.3448538052417</v>
      </c>
      <c r="H47" s="130">
        <f t="shared" ca="1" si="26"/>
        <v>4739.8825995878369</v>
      </c>
      <c r="I47" s="130">
        <f t="shared" ca="1" si="26"/>
        <v>5233.2759226479866</v>
      </c>
      <c r="J47" s="130">
        <f t="shared" ca="1" si="26"/>
        <v>5763.3422260655589</v>
      </c>
      <c r="K47" s="130">
        <f t="shared" ca="1" si="26"/>
        <v>6387.0220492210019</v>
      </c>
      <c r="L47" s="130">
        <f t="shared" ca="1" si="26"/>
        <v>7061.0542669096558</v>
      </c>
      <c r="M47" s="130">
        <f t="shared" ca="1" si="26"/>
        <v>7789.7607378726707</v>
      </c>
    </row>
    <row r="48" spans="1:13" ht="12.75" customHeight="1">
      <c r="B48" s="2" t="s">
        <v>96</v>
      </c>
      <c r="D48" s="122">
        <v>0</v>
      </c>
      <c r="E48" s="122">
        <v>0</v>
      </c>
      <c r="F48" s="122">
        <v>0</v>
      </c>
      <c r="G48" s="94">
        <f ca="1">G47*G49</f>
        <v>0</v>
      </c>
      <c r="H48" s="94">
        <f t="shared" ref="H48:M48" ca="1" si="27">H47*H49</f>
        <v>0</v>
      </c>
      <c r="I48" s="94">
        <f t="shared" ca="1" si="27"/>
        <v>0</v>
      </c>
      <c r="J48" s="94">
        <f t="shared" ca="1" si="27"/>
        <v>0</v>
      </c>
      <c r="K48" s="94">
        <f t="shared" ca="1" si="27"/>
        <v>0</v>
      </c>
      <c r="L48" s="94">
        <f t="shared" ca="1" si="27"/>
        <v>0</v>
      </c>
      <c r="M48" s="94">
        <f t="shared" ca="1" si="27"/>
        <v>0</v>
      </c>
    </row>
    <row r="49" spans="1:13" ht="12.75" customHeight="1">
      <c r="C49" s="6" t="s">
        <v>142</v>
      </c>
      <c r="D49" s="123">
        <f>D48/D47</f>
        <v>0</v>
      </c>
      <c r="E49" s="123">
        <f>E48/E47</f>
        <v>0</v>
      </c>
      <c r="F49" s="123">
        <f>F48/F47</f>
        <v>0</v>
      </c>
      <c r="G49" s="151">
        <f>F49</f>
        <v>0</v>
      </c>
      <c r="H49" s="151">
        <f t="shared" ref="H49:M49" si="28">G49</f>
        <v>0</v>
      </c>
      <c r="I49" s="151">
        <f t="shared" si="28"/>
        <v>0</v>
      </c>
      <c r="J49" s="151">
        <f t="shared" si="28"/>
        <v>0</v>
      </c>
      <c r="K49" s="151">
        <f t="shared" si="28"/>
        <v>0</v>
      </c>
      <c r="L49" s="151">
        <f t="shared" si="28"/>
        <v>0</v>
      </c>
      <c r="M49" s="151">
        <f t="shared" si="28"/>
        <v>0</v>
      </c>
    </row>
    <row r="50" spans="1:13" ht="12.75" customHeight="1">
      <c r="B50" s="2" t="s">
        <v>144</v>
      </c>
      <c r="C50" s="6"/>
      <c r="D50" s="141">
        <f t="shared" ref="D50:M50" si="29">D51*D57/1000</f>
        <v>80</v>
      </c>
      <c r="E50" s="141">
        <f t="shared" si="29"/>
        <v>80</v>
      </c>
      <c r="F50" s="141">
        <f t="shared" si="29"/>
        <v>80</v>
      </c>
      <c r="G50" s="141">
        <f t="shared" si="29"/>
        <v>80</v>
      </c>
      <c r="H50" s="141">
        <f t="shared" si="29"/>
        <v>80</v>
      </c>
      <c r="I50" s="141">
        <f t="shared" si="29"/>
        <v>80</v>
      </c>
      <c r="J50" s="141">
        <f t="shared" si="29"/>
        <v>80</v>
      </c>
      <c r="K50" s="141">
        <f t="shared" si="29"/>
        <v>80</v>
      </c>
      <c r="L50" s="141">
        <f t="shared" si="29"/>
        <v>80</v>
      </c>
      <c r="M50" s="141">
        <f t="shared" si="29"/>
        <v>80</v>
      </c>
    </row>
    <row r="51" spans="1:13" ht="12.75" customHeight="1">
      <c r="C51" s="41" t="s">
        <v>106</v>
      </c>
      <c r="D51" s="131">
        <v>0.08</v>
      </c>
      <c r="E51" s="131">
        <v>0.08</v>
      </c>
      <c r="F51" s="131">
        <v>0.08</v>
      </c>
      <c r="G51" s="131">
        <v>0.08</v>
      </c>
      <c r="H51" s="131">
        <v>0.08</v>
      </c>
      <c r="I51" s="131">
        <v>0.08</v>
      </c>
      <c r="J51" s="131">
        <v>0.08</v>
      </c>
      <c r="K51" s="131">
        <v>0.08</v>
      </c>
      <c r="L51" s="131">
        <v>0.08</v>
      </c>
      <c r="M51" s="131">
        <v>0.08</v>
      </c>
    </row>
    <row r="52" spans="1:13" ht="21" customHeight="1" thickBot="1">
      <c r="B52" s="1" t="s">
        <v>161</v>
      </c>
      <c r="C52" s="4"/>
      <c r="D52" s="132">
        <f>D47-D48-D50</f>
        <v>2965</v>
      </c>
      <c r="E52" s="132">
        <f t="shared" ref="E52:M52" si="30">E47-E48-E50</f>
        <v>3271.7</v>
      </c>
      <c r="F52" s="132">
        <f t="shared" si="30"/>
        <v>3656.1000000000004</v>
      </c>
      <c r="G52" s="132">
        <f t="shared" ca="1" si="30"/>
        <v>4182.3448538052417</v>
      </c>
      <c r="H52" s="132">
        <f t="shared" ca="1" si="30"/>
        <v>4659.8825995878369</v>
      </c>
      <c r="I52" s="132">
        <f t="shared" ca="1" si="30"/>
        <v>5153.2759226479866</v>
      </c>
      <c r="J52" s="132">
        <f t="shared" ca="1" si="30"/>
        <v>5683.3422260655589</v>
      </c>
      <c r="K52" s="132">
        <f t="shared" ca="1" si="30"/>
        <v>6307.0220492210019</v>
      </c>
      <c r="L52" s="132">
        <f t="shared" ca="1" si="30"/>
        <v>6981.0542669096558</v>
      </c>
      <c r="M52" s="132">
        <f t="shared" ca="1" si="30"/>
        <v>7709.7607378726707</v>
      </c>
    </row>
    <row r="53" spans="1:13" ht="21" customHeight="1" thickTop="1">
      <c r="A53" s="1" t="s">
        <v>104</v>
      </c>
      <c r="D53" s="91"/>
      <c r="E53" s="91"/>
      <c r="F53" s="91"/>
      <c r="G53" s="8"/>
      <c r="H53" s="8"/>
      <c r="I53" s="8"/>
      <c r="J53" s="8"/>
      <c r="K53" s="8"/>
      <c r="L53" s="8"/>
      <c r="M53" s="8"/>
    </row>
    <row r="54" spans="1:13" ht="12.75" customHeight="1">
      <c r="B54" s="2" t="s">
        <v>4</v>
      </c>
      <c r="D54" s="133">
        <f>D47/D57*1000</f>
        <v>3.0449999999999999</v>
      </c>
      <c r="E54" s="133">
        <f t="shared" ref="E54:M54" si="31">E47/E57*1000</f>
        <v>3.3517000000000001</v>
      </c>
      <c r="F54" s="133">
        <f t="shared" si="31"/>
        <v>3.7361000000000004</v>
      </c>
      <c r="G54" s="133">
        <f t="shared" ca="1" si="31"/>
        <v>4.2623448538052413</v>
      </c>
      <c r="H54" s="133">
        <f t="shared" ca="1" si="31"/>
        <v>4.7398825995878369</v>
      </c>
      <c r="I54" s="133">
        <f t="shared" ca="1" si="31"/>
        <v>5.2332759226479864</v>
      </c>
      <c r="J54" s="133">
        <f t="shared" ca="1" si="31"/>
        <v>5.7633422260655589</v>
      </c>
      <c r="K54" s="133">
        <f t="shared" ca="1" si="31"/>
        <v>6.3870220492210024</v>
      </c>
      <c r="L54" s="133">
        <f t="shared" ca="1" si="31"/>
        <v>7.0610542669096557</v>
      </c>
      <c r="M54" s="133">
        <f t="shared" ca="1" si="31"/>
        <v>7.7897607378726708</v>
      </c>
    </row>
    <row r="55" spans="1:13" ht="12.75" customHeight="1">
      <c r="B55" s="51" t="s">
        <v>5</v>
      </c>
      <c r="D55" s="134">
        <f>D47/D58*1000</f>
        <v>2.0300000000000002</v>
      </c>
      <c r="E55" s="134">
        <f t="shared" ref="E55:M55" si="32">E47/E58*1000</f>
        <v>2.2344666666666662</v>
      </c>
      <c r="F55" s="134">
        <f t="shared" si="32"/>
        <v>2.4907333333333339</v>
      </c>
      <c r="G55" s="134">
        <f t="shared" ca="1" si="32"/>
        <v>2.841563235870161</v>
      </c>
      <c r="H55" s="134">
        <f t="shared" ca="1" si="32"/>
        <v>3.1599217330585581</v>
      </c>
      <c r="I55" s="134">
        <f t="shared" ca="1" si="32"/>
        <v>3.4888506150986576</v>
      </c>
      <c r="J55" s="134">
        <f t="shared" ca="1" si="32"/>
        <v>3.8422281507103726</v>
      </c>
      <c r="K55" s="134">
        <f t="shared" ca="1" si="32"/>
        <v>4.2580146994806682</v>
      </c>
      <c r="L55" s="134">
        <f t="shared" ca="1" si="32"/>
        <v>4.7073695112731038</v>
      </c>
      <c r="M55" s="134">
        <f t="shared" ca="1" si="32"/>
        <v>5.1931738252484472</v>
      </c>
    </row>
    <row r="56" spans="1:13" ht="21" customHeight="1">
      <c r="A56" s="1" t="s">
        <v>105</v>
      </c>
      <c r="C56" s="4"/>
      <c r="D56" s="124"/>
      <c r="E56" s="124"/>
      <c r="F56" s="124"/>
      <c r="G56" s="9"/>
      <c r="H56" s="9"/>
      <c r="I56" s="9"/>
      <c r="J56" s="9"/>
      <c r="K56" s="9"/>
      <c r="L56" s="9"/>
      <c r="M56" s="9"/>
    </row>
    <row r="57" spans="1:13" ht="12.75" customHeight="1">
      <c r="B57" s="2" t="s">
        <v>4</v>
      </c>
      <c r="D57" s="135">
        <v>1000000</v>
      </c>
      <c r="E57" s="135">
        <v>1000000</v>
      </c>
      <c r="F57" s="135">
        <v>1000000</v>
      </c>
      <c r="G57" s="177">
        <f>F57</f>
        <v>1000000</v>
      </c>
      <c r="H57" s="177">
        <f t="shared" ref="H57:M57" si="33">G57</f>
        <v>1000000</v>
      </c>
      <c r="I57" s="177">
        <f t="shared" si="33"/>
        <v>1000000</v>
      </c>
      <c r="J57" s="177">
        <f t="shared" si="33"/>
        <v>1000000</v>
      </c>
      <c r="K57" s="177">
        <f t="shared" si="33"/>
        <v>1000000</v>
      </c>
      <c r="L57" s="177">
        <f t="shared" si="33"/>
        <v>1000000</v>
      </c>
      <c r="M57" s="177">
        <f t="shared" si="33"/>
        <v>1000000</v>
      </c>
    </row>
    <row r="58" spans="1:13" ht="12.75" customHeight="1">
      <c r="A58" s="115"/>
      <c r="B58" s="50" t="s">
        <v>5</v>
      </c>
      <c r="C58" s="50"/>
      <c r="D58" s="158">
        <v>1500000</v>
      </c>
      <c r="E58" s="158">
        <v>1500000</v>
      </c>
      <c r="F58" s="158">
        <v>1500000</v>
      </c>
      <c r="G58" s="178">
        <f>F58</f>
        <v>1500000</v>
      </c>
      <c r="H58" s="178">
        <f t="shared" ref="H58:M58" si="34">G58</f>
        <v>1500000</v>
      </c>
      <c r="I58" s="178">
        <f t="shared" si="34"/>
        <v>1500000</v>
      </c>
      <c r="J58" s="178">
        <f t="shared" si="34"/>
        <v>1500000</v>
      </c>
      <c r="K58" s="178">
        <f t="shared" si="34"/>
        <v>1500000</v>
      </c>
      <c r="L58" s="178">
        <f t="shared" si="34"/>
        <v>1500000</v>
      </c>
      <c r="M58" s="178">
        <f t="shared" si="34"/>
        <v>1500000</v>
      </c>
    </row>
    <row r="59" spans="1:13" ht="12.75" customHeight="1"/>
    <row r="60" spans="1:13" ht="12.75" customHeight="1"/>
    <row r="61" spans="1:13" ht="12.75" customHeight="1"/>
  </sheetData>
  <phoneticPr fontId="1" type="noConversion"/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rowBreaks count="1" manualBreakCount="1">
    <brk id="40" min="1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9"/>
  <sheetViews>
    <sheetView zoomScaleNormal="100"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1" width="2.7109375" style="104" customWidth="1"/>
    <col min="2" max="2" width="2.7109375" style="2" customWidth="1"/>
    <col min="3" max="3" width="54.7109375" style="2" customWidth="1"/>
    <col min="4" max="5" width="9.7109375" style="8" customWidth="1"/>
    <col min="6" max="6" width="9.7109375" style="104" customWidth="1"/>
    <col min="7" max="7" width="9.7109375" style="2" customWidth="1"/>
    <col min="8" max="13" width="9.7109375" style="104" customWidth="1"/>
    <col min="14" max="16384" width="9.140625" style="104"/>
  </cols>
  <sheetData>
    <row r="1" spans="1:15" ht="59.25" customHeight="1">
      <c r="E1" s="68"/>
      <c r="F1" s="116"/>
      <c r="G1" s="67"/>
      <c r="H1" s="116"/>
      <c r="I1" s="116"/>
      <c r="J1" s="116"/>
      <c r="K1" s="116"/>
      <c r="L1" s="116"/>
      <c r="M1" s="116"/>
    </row>
    <row r="2" spans="1:15" ht="12.75" customHeight="1">
      <c r="A2" s="53" t="s">
        <v>16</v>
      </c>
      <c r="B2" s="53"/>
      <c r="C2" s="82"/>
      <c r="D2" s="54"/>
      <c r="E2" s="54"/>
      <c r="F2" s="70"/>
      <c r="G2" s="53"/>
      <c r="H2" s="70"/>
      <c r="I2" s="70"/>
      <c r="J2" s="70"/>
      <c r="K2" s="70"/>
      <c r="L2" s="70"/>
      <c r="M2" s="70"/>
    </row>
    <row r="3" spans="1:15" ht="12.75" customHeight="1">
      <c r="A3" s="13" t="s">
        <v>22</v>
      </c>
      <c r="B3" s="14"/>
      <c r="C3" s="72"/>
      <c r="D3" s="81" t="s">
        <v>63</v>
      </c>
      <c r="E3" s="81"/>
      <c r="F3" s="83"/>
      <c r="G3" s="84" t="s">
        <v>64</v>
      </c>
      <c r="H3" s="85"/>
      <c r="I3" s="86"/>
      <c r="J3" s="85"/>
      <c r="K3" s="85"/>
      <c r="L3" s="85"/>
      <c r="M3" s="85"/>
      <c r="N3"/>
      <c r="O3"/>
    </row>
    <row r="4" spans="1:15" ht="12.75" customHeight="1">
      <c r="A4" s="13"/>
      <c r="B4" s="14"/>
      <c r="C4" s="72"/>
      <c r="D4" s="72"/>
      <c r="E4" s="72"/>
      <c r="F4" s="71"/>
      <c r="G4" s="71"/>
      <c r="H4" s="71"/>
      <c r="I4" s="71"/>
      <c r="J4" s="71"/>
      <c r="K4" s="71"/>
      <c r="L4" s="71"/>
      <c r="M4" s="71"/>
    </row>
    <row r="5" spans="1:15" ht="12.75" customHeight="1">
      <c r="A5" s="73" t="s">
        <v>20</v>
      </c>
      <c r="B5" s="74"/>
      <c r="C5" s="81"/>
      <c r="D5" s="87">
        <f>'Income Statement'!D5</f>
        <v>2009</v>
      </c>
      <c r="E5" s="87">
        <f>'Income Statement'!E5</f>
        <v>2010</v>
      </c>
      <c r="F5" s="87">
        <f>'Income Statement'!F5</f>
        <v>2011</v>
      </c>
      <c r="G5" s="88">
        <f>'Income Statement'!G5</f>
        <v>2012</v>
      </c>
      <c r="H5" s="88">
        <f>'Income Statement'!H5</f>
        <v>2013</v>
      </c>
      <c r="I5" s="88">
        <f>'Income Statement'!I5</f>
        <v>2014</v>
      </c>
      <c r="J5" s="88">
        <f>'Income Statement'!J5</f>
        <v>2015</v>
      </c>
      <c r="K5" s="88">
        <f>'Income Statement'!K5</f>
        <v>2016</v>
      </c>
      <c r="L5" s="88">
        <f>'Income Statement'!L5</f>
        <v>2017</v>
      </c>
      <c r="M5" s="88">
        <f>'Income Statement'!M5</f>
        <v>2018</v>
      </c>
    </row>
    <row r="6" spans="1:15" ht="21" customHeight="1">
      <c r="A6" s="28" t="s">
        <v>27</v>
      </c>
      <c r="B6" s="28"/>
      <c r="C6" s="28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5" ht="12.75" customHeight="1">
      <c r="B7" s="51" t="s">
        <v>103</v>
      </c>
      <c r="D7" s="149">
        <f>'Income Statement'!D47</f>
        <v>3045</v>
      </c>
      <c r="E7" s="149">
        <f>'Income Statement'!E47</f>
        <v>3351.7</v>
      </c>
      <c r="F7" s="149">
        <f>'Income Statement'!F47</f>
        <v>3736.1000000000004</v>
      </c>
      <c r="G7" s="149">
        <f ca="1">'Income Statement'!G47</f>
        <v>4262.3448538052417</v>
      </c>
      <c r="H7" s="149">
        <f ca="1">'Income Statement'!H47</f>
        <v>4739.8825995878369</v>
      </c>
      <c r="I7" s="149">
        <f ca="1">'Income Statement'!I47</f>
        <v>5233.2759226479866</v>
      </c>
      <c r="J7" s="149">
        <f ca="1">'Income Statement'!J47</f>
        <v>5763.3422260655589</v>
      </c>
      <c r="K7" s="149">
        <f ca="1">'Income Statement'!K47</f>
        <v>6387.0220492210019</v>
      </c>
      <c r="L7" s="149">
        <f ca="1">'Income Statement'!L47</f>
        <v>7061.0542669096558</v>
      </c>
      <c r="M7" s="149">
        <f ca="1">'Income Statement'!M47</f>
        <v>7789.7607378726707</v>
      </c>
    </row>
    <row r="8" spans="1:15" ht="12.75" customHeight="1">
      <c r="B8" s="2" t="s">
        <v>85</v>
      </c>
      <c r="D8" s="143">
        <v>600</v>
      </c>
      <c r="E8" s="143">
        <v>650</v>
      </c>
      <c r="F8" s="143">
        <v>725</v>
      </c>
      <c r="G8" s="26">
        <f>'Income Statement'!G29</f>
        <v>627.5</v>
      </c>
      <c r="H8" s="26">
        <f>'Income Statement'!H29</f>
        <v>677.5</v>
      </c>
      <c r="I8" s="26">
        <f>'Income Statement'!I29</f>
        <v>752.5</v>
      </c>
      <c r="J8" s="26">
        <f>'Income Statement'!J29</f>
        <v>852.5</v>
      </c>
      <c r="K8" s="26">
        <f>'Income Statement'!K29</f>
        <v>902.5</v>
      </c>
      <c r="L8" s="26">
        <f>'Income Statement'!L29</f>
        <v>977.5</v>
      </c>
      <c r="M8" s="26">
        <f>'Income Statement'!M29</f>
        <v>1077.5</v>
      </c>
    </row>
    <row r="9" spans="1:15" ht="12.75" customHeight="1">
      <c r="B9" s="2" t="s">
        <v>25</v>
      </c>
      <c r="D9" s="143">
        <v>0</v>
      </c>
      <c r="E9" s="143">
        <v>0</v>
      </c>
      <c r="F9" s="143">
        <v>0</v>
      </c>
      <c r="G9" s="143">
        <f>F9</f>
        <v>0</v>
      </c>
      <c r="H9" s="143">
        <f t="shared" ref="H9:M9" si="0">G9</f>
        <v>0</v>
      </c>
      <c r="I9" s="143">
        <f t="shared" si="0"/>
        <v>0</v>
      </c>
      <c r="J9" s="143">
        <f t="shared" si="0"/>
        <v>0</v>
      </c>
      <c r="K9" s="143">
        <f t="shared" si="0"/>
        <v>0</v>
      </c>
      <c r="L9" s="143">
        <f t="shared" si="0"/>
        <v>0</v>
      </c>
      <c r="M9" s="143">
        <f t="shared" si="0"/>
        <v>0</v>
      </c>
    </row>
    <row r="10" spans="1:15" ht="12.75" customHeight="1">
      <c r="B10" s="2" t="s">
        <v>26</v>
      </c>
      <c r="D10" s="143">
        <v>316.3</v>
      </c>
      <c r="E10" s="143">
        <v>131</v>
      </c>
      <c r="F10" s="143">
        <v>48</v>
      </c>
      <c r="G10" s="26">
        <f>Depreciation!G40</f>
        <v>328.18465507923497</v>
      </c>
      <c r="H10" s="26">
        <f>Depreciation!H40</f>
        <v>135.54505674587261</v>
      </c>
      <c r="I10" s="26">
        <f>Depreciation!I40</f>
        <v>47.941981485678419</v>
      </c>
      <c r="J10" s="26">
        <f>Depreciation!J40</f>
        <v>65.375429298652392</v>
      </c>
      <c r="K10" s="26">
        <f>Depreciation!K40</f>
        <v>43.583619532434923</v>
      </c>
      <c r="L10" s="26">
        <f>Depreciation!L40</f>
        <v>-61.452903540733246</v>
      </c>
      <c r="M10" s="26">
        <f>Depreciation!M40</f>
        <v>-52.736179634246263</v>
      </c>
    </row>
    <row r="11" spans="1:15" ht="12.75" customHeight="1">
      <c r="B11" s="1" t="s">
        <v>146</v>
      </c>
      <c r="D11" s="26"/>
      <c r="E11" s="21"/>
      <c r="F11" s="21"/>
      <c r="G11" s="21"/>
      <c r="H11" s="21"/>
      <c r="I11" s="21"/>
      <c r="J11" s="21"/>
      <c r="K11" s="21"/>
      <c r="L11" s="21"/>
      <c r="M11" s="21"/>
    </row>
    <row r="12" spans="1:15" ht="12.75" customHeight="1">
      <c r="C12" s="2" t="s">
        <v>31</v>
      </c>
      <c r="D12" s="143">
        <v>-125</v>
      </c>
      <c r="E12" s="143">
        <v>-150</v>
      </c>
      <c r="F12" s="143">
        <v>-150</v>
      </c>
      <c r="G12" s="26">
        <f>'Operating Working Capital'!F7-'Operating Working Capital'!G7</f>
        <v>-163.75</v>
      </c>
      <c r="H12" s="26">
        <f>'Operating Working Capital'!G7-'Operating Working Capital'!H7</f>
        <v>-166.37500000000023</v>
      </c>
      <c r="I12" s="26">
        <f>'Operating Working Capital'!H7-'Operating Working Capital'!I7</f>
        <v>-183.01250000000005</v>
      </c>
      <c r="J12" s="26">
        <f>'Operating Working Capital'!I7-'Operating Working Capital'!J7</f>
        <v>-201.31375000000025</v>
      </c>
      <c r="K12" s="26">
        <f>'Operating Working Capital'!J7-'Operating Working Capital'!K7</f>
        <v>-221.44512500000019</v>
      </c>
      <c r="L12" s="26">
        <f>'Operating Working Capital'!K7-'Operating Working Capital'!L7</f>
        <v>-243.58963750000021</v>
      </c>
      <c r="M12" s="26">
        <f>'Operating Working Capital'!L7-'Operating Working Capital'!M7</f>
        <v>-267.94860125000014</v>
      </c>
    </row>
    <row r="13" spans="1:15" ht="12.75" customHeight="1">
      <c r="C13" s="2" t="s">
        <v>32</v>
      </c>
      <c r="D13" s="143">
        <v>-32</v>
      </c>
      <c r="E13" s="143">
        <v>-5</v>
      </c>
      <c r="F13" s="143">
        <v>-19</v>
      </c>
      <c r="G13" s="26">
        <f>'Operating Working Capital'!F9-'Operating Working Capital'!G9</f>
        <v>-30.506944444444457</v>
      </c>
      <c r="H13" s="26">
        <f>'Operating Working Capital'!G9-'Operating Working Capital'!H9</f>
        <v>-32.350694444444457</v>
      </c>
      <c r="I13" s="26">
        <f>'Operating Working Capital'!H9-'Operating Working Capital'!I9</f>
        <v>-35.585763888888948</v>
      </c>
      <c r="J13" s="26">
        <f>'Operating Working Capital'!I9-'Operating Working Capital'!J9</f>
        <v>-39.144340277777815</v>
      </c>
      <c r="K13" s="26">
        <f>'Operating Working Capital'!J9-'Operating Working Capital'!K9</f>
        <v>-43.058774305555573</v>
      </c>
      <c r="L13" s="26">
        <f>'Operating Working Capital'!K9-'Operating Working Capital'!L9</f>
        <v>-47.364651736111114</v>
      </c>
      <c r="M13" s="26">
        <f>'Operating Working Capital'!L9-'Operating Working Capital'!M9</f>
        <v>-52.10111690972235</v>
      </c>
    </row>
    <row r="14" spans="1:15" ht="12.75" customHeight="1">
      <c r="C14" s="2" t="s">
        <v>66</v>
      </c>
      <c r="D14" s="143">
        <v>-9</v>
      </c>
      <c r="E14" s="143">
        <v>-9</v>
      </c>
      <c r="F14" s="143">
        <v>0</v>
      </c>
      <c r="G14" s="26">
        <f>'Operating Working Capital'!F11-'Operating Working Capital'!G11</f>
        <v>-13.083333333333314</v>
      </c>
      <c r="H14" s="26">
        <f>'Operating Working Capital'!G11-'Operating Working Capital'!H11</f>
        <v>-14.208333333333343</v>
      </c>
      <c r="I14" s="26">
        <f>'Operating Working Capital'!H11-'Operating Working Capital'!I11</f>
        <v>-15.629166666666691</v>
      </c>
      <c r="J14" s="26">
        <f>'Operating Working Capital'!I11-'Operating Working Capital'!J11</f>
        <v>-17.192083333333358</v>
      </c>
      <c r="K14" s="26">
        <f>'Operating Working Capital'!J11-'Operating Working Capital'!K11</f>
        <v>-18.911291666666671</v>
      </c>
      <c r="L14" s="26">
        <f>'Operating Working Capital'!K11-'Operating Working Capital'!L11</f>
        <v>-20.802420833333315</v>
      </c>
      <c r="M14" s="26">
        <f>'Operating Working Capital'!L11-'Operating Working Capital'!M11</f>
        <v>-22.882662916666703</v>
      </c>
    </row>
    <row r="15" spans="1:15" ht="12.75" customHeight="1">
      <c r="C15" s="2" t="s">
        <v>39</v>
      </c>
      <c r="D15" s="144">
        <v>0</v>
      </c>
      <c r="E15" s="144">
        <v>0</v>
      </c>
      <c r="F15" s="144">
        <v>0</v>
      </c>
      <c r="G15" s="159">
        <f>'Operating Working Capital'!F13-'Operating Working Capital'!G13</f>
        <v>0</v>
      </c>
      <c r="H15" s="159">
        <f>'Operating Working Capital'!G13-'Operating Working Capital'!H13</f>
        <v>0</v>
      </c>
      <c r="I15" s="159">
        <f>'Operating Working Capital'!H13-'Operating Working Capital'!I13</f>
        <v>0</v>
      </c>
      <c r="J15" s="159">
        <f>'Operating Working Capital'!I13-'Operating Working Capital'!J13</f>
        <v>0</v>
      </c>
      <c r="K15" s="159">
        <f>'Operating Working Capital'!J13-'Operating Working Capital'!K13</f>
        <v>0</v>
      </c>
      <c r="L15" s="159">
        <f>'Operating Working Capital'!K13-'Operating Working Capital'!L13</f>
        <v>0</v>
      </c>
      <c r="M15" s="159">
        <f>'Operating Working Capital'!L13-'Operating Working Capital'!M13</f>
        <v>0</v>
      </c>
    </row>
    <row r="16" spans="1:15" ht="12.75" customHeight="1">
      <c r="C16" s="2" t="s">
        <v>33</v>
      </c>
      <c r="D16" s="143">
        <v>1</v>
      </c>
      <c r="E16" s="143">
        <v>1</v>
      </c>
      <c r="F16" s="143">
        <v>2</v>
      </c>
      <c r="G16" s="26">
        <f>'Operating Working Capital'!G16-'Operating Working Capital'!F16</f>
        <v>41.861111111111114</v>
      </c>
      <c r="H16" s="26">
        <f>'Operating Working Capital'!H16-'Operating Working Capital'!G16</f>
        <v>18.486111111111114</v>
      </c>
      <c r="I16" s="26">
        <f>'Operating Working Capital'!I16-'Operating Working Capital'!H16</f>
        <v>20.33472222222224</v>
      </c>
      <c r="J16" s="26">
        <f>'Operating Working Capital'!J16-'Operating Working Capital'!I16</f>
        <v>22.36819444444447</v>
      </c>
      <c r="K16" s="26">
        <f>'Operating Working Capital'!K16-'Operating Working Capital'!J16</f>
        <v>24.605013888888919</v>
      </c>
      <c r="L16" s="26">
        <f>'Operating Working Capital'!L16-'Operating Working Capital'!K16</f>
        <v>27.065515277777763</v>
      </c>
      <c r="M16" s="26">
        <f>'Operating Working Capital'!M16-'Operating Working Capital'!L16</f>
        <v>29.772066805555596</v>
      </c>
    </row>
    <row r="17" spans="1:13" ht="12.75" customHeight="1">
      <c r="C17" s="2" t="s">
        <v>69</v>
      </c>
      <c r="D17" s="143">
        <v>5</v>
      </c>
      <c r="E17" s="143">
        <v>3</v>
      </c>
      <c r="F17" s="143">
        <v>7</v>
      </c>
      <c r="G17" s="26">
        <f>'Operating Working Capital'!G18-'Operating Working Capital'!F18</f>
        <v>14.4444444444444</v>
      </c>
      <c r="H17" s="26">
        <f>'Operating Working Capital'!H18-'Operating Working Capital'!G18</f>
        <v>18.944444444444485</v>
      </c>
      <c r="I17" s="26">
        <f>'Operating Working Capital'!I18-'Operating Working Capital'!H18</f>
        <v>20.838888888888903</v>
      </c>
      <c r="J17" s="26">
        <f>'Operating Working Capital'!J18-'Operating Working Capital'!I18</f>
        <v>22.92277777777781</v>
      </c>
      <c r="K17" s="26">
        <f>'Operating Working Capital'!K18-'Operating Working Capital'!J18</f>
        <v>25.215055555555551</v>
      </c>
      <c r="L17" s="26">
        <f>'Operating Working Capital'!L18-'Operating Working Capital'!K18</f>
        <v>27.736561111111087</v>
      </c>
      <c r="M17" s="26">
        <f>'Operating Working Capital'!M18-'Operating Working Capital'!L18</f>
        <v>30.510217222222309</v>
      </c>
    </row>
    <row r="18" spans="1:13" ht="12.75" customHeight="1">
      <c r="C18" s="2" t="s">
        <v>34</v>
      </c>
      <c r="D18" s="145">
        <v>0</v>
      </c>
      <c r="E18" s="145">
        <v>0</v>
      </c>
      <c r="F18" s="145">
        <v>0</v>
      </c>
      <c r="G18" s="77">
        <f>'Operating Working Capital'!G20-'Operating Working Capital'!F20</f>
        <v>0</v>
      </c>
      <c r="H18" s="77">
        <f>'Operating Working Capital'!H20-'Operating Working Capital'!G20</f>
        <v>0</v>
      </c>
      <c r="I18" s="77">
        <f>'Operating Working Capital'!I20-'Operating Working Capital'!H20</f>
        <v>0</v>
      </c>
      <c r="J18" s="77">
        <f>'Operating Working Capital'!J20-'Operating Working Capital'!I20</f>
        <v>0</v>
      </c>
      <c r="K18" s="77">
        <f>'Operating Working Capital'!K20-'Operating Working Capital'!J20</f>
        <v>0</v>
      </c>
      <c r="L18" s="77">
        <f>'Operating Working Capital'!L20-'Operating Working Capital'!K20</f>
        <v>0</v>
      </c>
      <c r="M18" s="77">
        <f>'Operating Working Capital'!M20-'Operating Working Capital'!L20</f>
        <v>0</v>
      </c>
    </row>
    <row r="19" spans="1:13" ht="12.75" customHeight="1">
      <c r="C19" s="1" t="s">
        <v>145</v>
      </c>
      <c r="D19" s="148">
        <f t="shared" ref="D19:M19" si="1">SUM(D12:D18)</f>
        <v>-160</v>
      </c>
      <c r="E19" s="148">
        <f t="shared" si="1"/>
        <v>-160</v>
      </c>
      <c r="F19" s="148">
        <f t="shared" si="1"/>
        <v>-160</v>
      </c>
      <c r="G19" s="148">
        <f t="shared" si="1"/>
        <v>-151.03472222222226</v>
      </c>
      <c r="H19" s="148">
        <f t="shared" si="1"/>
        <v>-175.50347222222243</v>
      </c>
      <c r="I19" s="148">
        <f t="shared" si="1"/>
        <v>-193.05381944444454</v>
      </c>
      <c r="J19" s="148">
        <f t="shared" si="1"/>
        <v>-212.35920138888915</v>
      </c>
      <c r="K19" s="148">
        <f t="shared" si="1"/>
        <v>-233.59512152777799</v>
      </c>
      <c r="L19" s="148">
        <f t="shared" si="1"/>
        <v>-256.95463368055579</v>
      </c>
      <c r="M19" s="148">
        <f t="shared" si="1"/>
        <v>-282.65009704861131</v>
      </c>
    </row>
    <row r="20" spans="1:13" ht="12.75" customHeight="1">
      <c r="B20" s="1" t="s">
        <v>165</v>
      </c>
      <c r="D20" s="146">
        <f>D7+D8+D9+D10+D19</f>
        <v>3801.3</v>
      </c>
      <c r="E20" s="146">
        <f t="shared" ref="E20:M20" si="2">E7+E8+E9+E10+E19</f>
        <v>3972.7</v>
      </c>
      <c r="F20" s="146">
        <f t="shared" si="2"/>
        <v>4349.1000000000004</v>
      </c>
      <c r="G20" s="146">
        <f t="shared" ca="1" si="2"/>
        <v>5066.9947866622542</v>
      </c>
      <c r="H20" s="146">
        <f t="shared" ca="1" si="2"/>
        <v>5377.4241841114872</v>
      </c>
      <c r="I20" s="146">
        <f t="shared" ca="1" si="2"/>
        <v>5840.6640846892205</v>
      </c>
      <c r="J20" s="146">
        <f t="shared" ca="1" si="2"/>
        <v>6468.8584539753219</v>
      </c>
      <c r="K20" s="146">
        <f t="shared" ca="1" si="2"/>
        <v>7099.5105472256582</v>
      </c>
      <c r="L20" s="146">
        <f t="shared" ca="1" si="2"/>
        <v>7720.1467296883666</v>
      </c>
      <c r="M20" s="146">
        <f t="shared" ca="1" si="2"/>
        <v>8531.8744611898146</v>
      </c>
    </row>
    <row r="21" spans="1:13" ht="21" customHeight="1">
      <c r="A21" s="28" t="s">
        <v>28</v>
      </c>
      <c r="B21" s="1"/>
      <c r="C21" s="1"/>
      <c r="D21" s="142"/>
      <c r="E21" s="20"/>
      <c r="F21" s="20"/>
      <c r="G21" s="20"/>
      <c r="H21" s="20"/>
      <c r="I21" s="20"/>
      <c r="J21" s="20"/>
      <c r="K21" s="20"/>
      <c r="L21" s="20"/>
      <c r="M21" s="20"/>
    </row>
    <row r="22" spans="1:13" ht="12.75" customHeight="1">
      <c r="A22" s="28"/>
      <c r="B22" s="2" t="s">
        <v>168</v>
      </c>
      <c r="D22" s="160">
        <v>-1000</v>
      </c>
      <c r="E22" s="160">
        <v>-500</v>
      </c>
      <c r="F22" s="160">
        <v>-750</v>
      </c>
      <c r="G22" s="149">
        <f>-Depreciation!G7</f>
        <v>-1000</v>
      </c>
      <c r="H22" s="149">
        <f>-Depreciation!H7</f>
        <v>-500</v>
      </c>
      <c r="I22" s="149">
        <f>-Depreciation!I7</f>
        <v>-750</v>
      </c>
      <c r="J22" s="149">
        <f>-Depreciation!J7</f>
        <v>-1000</v>
      </c>
      <c r="K22" s="149">
        <f>-Depreciation!K7</f>
        <v>-500</v>
      </c>
      <c r="L22" s="149">
        <f>-Depreciation!L7</f>
        <v>-750</v>
      </c>
      <c r="M22" s="149">
        <f>-Depreciation!M7</f>
        <v>-1000</v>
      </c>
    </row>
    <row r="23" spans="1:13" ht="12.75" customHeight="1">
      <c r="A23" s="28"/>
      <c r="B23" s="2" t="s">
        <v>30</v>
      </c>
      <c r="D23" s="143">
        <v>0</v>
      </c>
      <c r="E23" s="143">
        <v>0</v>
      </c>
      <c r="F23" s="143">
        <v>0</v>
      </c>
      <c r="G23" s="143">
        <f>F23</f>
        <v>0</v>
      </c>
      <c r="H23" s="143">
        <f t="shared" ref="H23:M23" si="3">G23</f>
        <v>0</v>
      </c>
      <c r="I23" s="143">
        <f t="shared" si="3"/>
        <v>0</v>
      </c>
      <c r="J23" s="143">
        <f t="shared" si="3"/>
        <v>0</v>
      </c>
      <c r="K23" s="143">
        <f t="shared" si="3"/>
        <v>0</v>
      </c>
      <c r="L23" s="143">
        <f t="shared" si="3"/>
        <v>0</v>
      </c>
      <c r="M23" s="143">
        <f t="shared" si="3"/>
        <v>0</v>
      </c>
    </row>
    <row r="24" spans="1:13" ht="12.75" customHeight="1">
      <c r="A24" s="28"/>
      <c r="B24" s="2" t="s">
        <v>47</v>
      </c>
      <c r="D24" s="143">
        <v>0</v>
      </c>
      <c r="E24" s="143">
        <v>0</v>
      </c>
      <c r="F24" s="143">
        <v>0</v>
      </c>
      <c r="G24" s="143">
        <f t="shared" ref="G24:M27" si="4">F24</f>
        <v>0</v>
      </c>
      <c r="H24" s="143">
        <f t="shared" si="4"/>
        <v>0</v>
      </c>
      <c r="I24" s="143">
        <f t="shared" si="4"/>
        <v>0</v>
      </c>
      <c r="J24" s="143">
        <f t="shared" si="4"/>
        <v>0</v>
      </c>
      <c r="K24" s="143">
        <f t="shared" si="4"/>
        <v>0</v>
      </c>
      <c r="L24" s="143">
        <f t="shared" si="4"/>
        <v>0</v>
      </c>
      <c r="M24" s="143">
        <f t="shared" si="4"/>
        <v>0</v>
      </c>
    </row>
    <row r="25" spans="1:13" ht="12.75" customHeight="1">
      <c r="A25" s="28"/>
      <c r="B25" s="2" t="s">
        <v>48</v>
      </c>
      <c r="D25" s="143">
        <v>0</v>
      </c>
      <c r="E25" s="143">
        <v>0</v>
      </c>
      <c r="F25" s="143">
        <v>0</v>
      </c>
      <c r="G25" s="143">
        <f t="shared" si="4"/>
        <v>0</v>
      </c>
      <c r="H25" s="143">
        <f t="shared" si="4"/>
        <v>0</v>
      </c>
      <c r="I25" s="143">
        <f t="shared" si="4"/>
        <v>0</v>
      </c>
      <c r="J25" s="143">
        <f t="shared" si="4"/>
        <v>0</v>
      </c>
      <c r="K25" s="143">
        <f t="shared" si="4"/>
        <v>0</v>
      </c>
      <c r="L25" s="143">
        <f t="shared" si="4"/>
        <v>0</v>
      </c>
      <c r="M25" s="143">
        <f t="shared" si="4"/>
        <v>0</v>
      </c>
    </row>
    <row r="26" spans="1:13" ht="12.75" customHeight="1">
      <c r="A26" s="28"/>
      <c r="B26" s="2" t="s">
        <v>65</v>
      </c>
      <c r="D26" s="143">
        <v>0</v>
      </c>
      <c r="E26" s="143">
        <v>0</v>
      </c>
      <c r="F26" s="143">
        <v>0</v>
      </c>
      <c r="G26" s="143">
        <f t="shared" si="4"/>
        <v>0</v>
      </c>
      <c r="H26" s="143">
        <f t="shared" si="4"/>
        <v>0</v>
      </c>
      <c r="I26" s="143">
        <f t="shared" si="4"/>
        <v>0</v>
      </c>
      <c r="J26" s="143">
        <f t="shared" si="4"/>
        <v>0</v>
      </c>
      <c r="K26" s="143">
        <f t="shared" si="4"/>
        <v>0</v>
      </c>
      <c r="L26" s="143">
        <f t="shared" si="4"/>
        <v>0</v>
      </c>
      <c r="M26" s="143">
        <f t="shared" si="4"/>
        <v>0</v>
      </c>
    </row>
    <row r="27" spans="1:13" ht="12.75" customHeight="1">
      <c r="A27" s="28"/>
      <c r="B27" s="2" t="s">
        <v>0</v>
      </c>
      <c r="D27" s="145">
        <v>0</v>
      </c>
      <c r="E27" s="145">
        <v>0</v>
      </c>
      <c r="F27" s="145">
        <v>0</v>
      </c>
      <c r="G27" s="145">
        <f t="shared" si="4"/>
        <v>0</v>
      </c>
      <c r="H27" s="145">
        <f t="shared" si="4"/>
        <v>0</v>
      </c>
      <c r="I27" s="145">
        <f t="shared" si="4"/>
        <v>0</v>
      </c>
      <c r="J27" s="145">
        <f t="shared" si="4"/>
        <v>0</v>
      </c>
      <c r="K27" s="145">
        <f t="shared" si="4"/>
        <v>0</v>
      </c>
      <c r="L27" s="145">
        <f t="shared" si="4"/>
        <v>0</v>
      </c>
      <c r="M27" s="145">
        <f t="shared" si="4"/>
        <v>0</v>
      </c>
    </row>
    <row r="28" spans="1:13" ht="12.75" customHeight="1">
      <c r="B28" s="1" t="s">
        <v>166</v>
      </c>
      <c r="D28" s="146">
        <f>SUM(D22:D27)</f>
        <v>-1000</v>
      </c>
      <c r="E28" s="146">
        <f t="shared" ref="E28:M28" si="5">SUM(E22:E27)</f>
        <v>-500</v>
      </c>
      <c r="F28" s="146">
        <f t="shared" si="5"/>
        <v>-750</v>
      </c>
      <c r="G28" s="146">
        <f t="shared" si="5"/>
        <v>-1000</v>
      </c>
      <c r="H28" s="146">
        <f t="shared" si="5"/>
        <v>-500</v>
      </c>
      <c r="I28" s="146">
        <f t="shared" si="5"/>
        <v>-750</v>
      </c>
      <c r="J28" s="146">
        <f t="shared" si="5"/>
        <v>-1000</v>
      </c>
      <c r="K28" s="146">
        <f t="shared" si="5"/>
        <v>-500</v>
      </c>
      <c r="L28" s="146">
        <f t="shared" si="5"/>
        <v>-750</v>
      </c>
      <c r="M28" s="146">
        <f t="shared" si="5"/>
        <v>-1000</v>
      </c>
    </row>
    <row r="29" spans="1:13" ht="21" customHeight="1">
      <c r="A29" s="28" t="s">
        <v>29</v>
      </c>
      <c r="B29" s="1"/>
      <c r="C29" s="1"/>
      <c r="D29" s="142"/>
      <c r="E29" s="20"/>
      <c r="F29" s="20"/>
      <c r="G29" s="20"/>
      <c r="H29" s="20"/>
      <c r="I29" s="20"/>
      <c r="J29" s="20"/>
      <c r="K29" s="20"/>
      <c r="L29" s="20"/>
      <c r="M29" s="20"/>
    </row>
    <row r="30" spans="1:13" ht="12.75" customHeight="1">
      <c r="B30" s="2" t="s">
        <v>70</v>
      </c>
      <c r="D30" s="143">
        <v>0</v>
      </c>
      <c r="E30" s="143">
        <v>0</v>
      </c>
      <c r="F30" s="143">
        <v>0</v>
      </c>
      <c r="G30" s="26">
        <f ca="1">'Debt Schedule'!G13+'Debt Schedule'!G14</f>
        <v>-700</v>
      </c>
      <c r="H30" s="26">
        <f ca="1">'Debt Schedule'!H13+'Debt Schedule'!H14</f>
        <v>0</v>
      </c>
      <c r="I30" s="26">
        <f ca="1">'Debt Schedule'!I13+'Debt Schedule'!I14</f>
        <v>0</v>
      </c>
      <c r="J30" s="26">
        <f ca="1">'Debt Schedule'!J13+'Debt Schedule'!J14</f>
        <v>0</v>
      </c>
      <c r="K30" s="26">
        <f ca="1">'Debt Schedule'!K13+'Debt Schedule'!K14</f>
        <v>0</v>
      </c>
      <c r="L30" s="26">
        <f ca="1">'Debt Schedule'!L13+'Debt Schedule'!L14</f>
        <v>0</v>
      </c>
      <c r="M30" s="26">
        <f ca="1">'Debt Schedule'!M13+'Debt Schedule'!M14</f>
        <v>0</v>
      </c>
    </row>
    <row r="31" spans="1:13" ht="12.75" customHeight="1">
      <c r="B31" s="2" t="s">
        <v>71</v>
      </c>
      <c r="D31" s="143">
        <v>500</v>
      </c>
      <c r="E31" s="143">
        <v>0</v>
      </c>
      <c r="F31" s="143">
        <v>0</v>
      </c>
      <c r="G31" s="26">
        <f ca="1">'Debt Schedule'!G20+'Debt Schedule'!G21</f>
        <v>-1000</v>
      </c>
      <c r="H31" s="26">
        <f ca="1">'Debt Schedule'!H20+'Debt Schedule'!H21</f>
        <v>0</v>
      </c>
      <c r="I31" s="26">
        <f ca="1">'Debt Schedule'!I20+'Debt Schedule'!I21</f>
        <v>0</v>
      </c>
      <c r="J31" s="26">
        <f ca="1">'Debt Schedule'!J20+'Debt Schedule'!J21</f>
        <v>0</v>
      </c>
      <c r="K31" s="26">
        <f ca="1">'Debt Schedule'!K20+'Debt Schedule'!K21</f>
        <v>0</v>
      </c>
      <c r="L31" s="26">
        <f ca="1">'Debt Schedule'!L20+'Debt Schedule'!L21</f>
        <v>0</v>
      </c>
      <c r="M31" s="26">
        <f ca="1">'Debt Schedule'!M20+'Debt Schedule'!M21</f>
        <v>0</v>
      </c>
    </row>
    <row r="32" spans="1:13" ht="12.75" customHeight="1">
      <c r="B32" s="2" t="s">
        <v>38</v>
      </c>
      <c r="D32" s="143">
        <v>0</v>
      </c>
      <c r="E32" s="143">
        <v>0</v>
      </c>
      <c r="F32" s="143">
        <v>0</v>
      </c>
      <c r="G32" s="143">
        <v>0</v>
      </c>
      <c r="H32" s="143">
        <v>0</v>
      </c>
      <c r="I32" s="143">
        <v>0</v>
      </c>
      <c r="J32" s="143">
        <v>0</v>
      </c>
      <c r="K32" s="143">
        <v>0</v>
      </c>
      <c r="L32" s="143">
        <v>0</v>
      </c>
      <c r="M32" s="143">
        <v>0</v>
      </c>
    </row>
    <row r="33" spans="1:13" ht="12.75" customHeight="1">
      <c r="B33" s="2" t="s">
        <v>35</v>
      </c>
      <c r="D33" s="143">
        <v>0</v>
      </c>
      <c r="E33" s="143">
        <v>0</v>
      </c>
      <c r="F33" s="143">
        <v>0</v>
      </c>
      <c r="G33" s="143">
        <v>0</v>
      </c>
      <c r="H33" s="143">
        <v>0</v>
      </c>
      <c r="I33" s="143">
        <v>0</v>
      </c>
      <c r="J33" s="143">
        <v>0</v>
      </c>
      <c r="K33" s="143">
        <v>0</v>
      </c>
      <c r="L33" s="143">
        <v>0</v>
      </c>
      <c r="M33" s="143">
        <v>0</v>
      </c>
    </row>
    <row r="34" spans="1:13" ht="12.75" customHeight="1">
      <c r="B34" s="2" t="s">
        <v>36</v>
      </c>
      <c r="D34" s="143">
        <v>0</v>
      </c>
      <c r="E34" s="143">
        <v>0</v>
      </c>
      <c r="F34" s="143">
        <v>0</v>
      </c>
      <c r="G34" s="143">
        <v>0</v>
      </c>
      <c r="H34" s="143">
        <v>0</v>
      </c>
      <c r="I34" s="143">
        <v>0</v>
      </c>
      <c r="J34" s="143">
        <v>0</v>
      </c>
      <c r="K34" s="143">
        <v>0</v>
      </c>
      <c r="L34" s="143">
        <v>0</v>
      </c>
      <c r="M34" s="143">
        <v>0</v>
      </c>
    </row>
    <row r="35" spans="1:13" ht="12.75" customHeight="1">
      <c r="B35" s="2" t="s">
        <v>37</v>
      </c>
      <c r="D35" s="143">
        <v>-80</v>
      </c>
      <c r="E35" s="143">
        <v>-80</v>
      </c>
      <c r="F35" s="143">
        <v>-80</v>
      </c>
      <c r="G35" s="26">
        <f>-'Income Statement'!G50</f>
        <v>-80</v>
      </c>
      <c r="H35" s="26">
        <f>-'Income Statement'!H50</f>
        <v>-80</v>
      </c>
      <c r="I35" s="26">
        <f>-'Income Statement'!I50</f>
        <v>-80</v>
      </c>
      <c r="J35" s="26">
        <f>-'Income Statement'!J50</f>
        <v>-80</v>
      </c>
      <c r="K35" s="26">
        <f>-'Income Statement'!K50</f>
        <v>-80</v>
      </c>
      <c r="L35" s="26">
        <f>-'Income Statement'!L50</f>
        <v>-80</v>
      </c>
      <c r="M35" s="26">
        <f>-'Income Statement'!M50</f>
        <v>-80</v>
      </c>
    </row>
    <row r="36" spans="1:13" ht="12.75" customHeight="1">
      <c r="B36" s="2" t="s">
        <v>163</v>
      </c>
      <c r="D36" s="143">
        <v>0</v>
      </c>
      <c r="E36" s="143">
        <v>0</v>
      </c>
      <c r="F36" s="143">
        <v>0</v>
      </c>
      <c r="G36" s="26">
        <f ca="1">-'Income Statement'!G48</f>
        <v>0</v>
      </c>
      <c r="H36" s="26">
        <f ca="1">-'Income Statement'!H48</f>
        <v>0</v>
      </c>
      <c r="I36" s="26">
        <f ca="1">-'Income Statement'!I48</f>
        <v>0</v>
      </c>
      <c r="J36" s="26">
        <f ca="1">-'Income Statement'!J48</f>
        <v>0</v>
      </c>
      <c r="K36" s="26">
        <f ca="1">-'Income Statement'!K48</f>
        <v>0</v>
      </c>
      <c r="L36" s="26">
        <f ca="1">-'Income Statement'!L48</f>
        <v>0</v>
      </c>
      <c r="M36" s="26">
        <f ca="1">-'Income Statement'!M48</f>
        <v>0</v>
      </c>
    </row>
    <row r="37" spans="1:13" ht="12.75" customHeight="1">
      <c r="B37" s="2" t="s">
        <v>0</v>
      </c>
      <c r="D37" s="145">
        <v>0</v>
      </c>
      <c r="E37" s="145">
        <v>0</v>
      </c>
      <c r="F37" s="145">
        <v>0</v>
      </c>
      <c r="G37" s="145">
        <f>F37</f>
        <v>0</v>
      </c>
      <c r="H37" s="145">
        <f t="shared" ref="H37:M37" si="6">G37</f>
        <v>0</v>
      </c>
      <c r="I37" s="145">
        <f t="shared" si="6"/>
        <v>0</v>
      </c>
      <c r="J37" s="145">
        <f t="shared" si="6"/>
        <v>0</v>
      </c>
      <c r="K37" s="145">
        <f t="shared" si="6"/>
        <v>0</v>
      </c>
      <c r="L37" s="145">
        <f t="shared" si="6"/>
        <v>0</v>
      </c>
      <c r="M37" s="145">
        <f t="shared" si="6"/>
        <v>0</v>
      </c>
    </row>
    <row r="38" spans="1:13" ht="12.75" customHeight="1">
      <c r="B38" s="1" t="s">
        <v>167</v>
      </c>
      <c r="D38" s="148">
        <f>SUM(D30:D37)</f>
        <v>420</v>
      </c>
      <c r="E38" s="148">
        <f t="shared" ref="E38:M38" si="7">SUM(E30:E37)</f>
        <v>-80</v>
      </c>
      <c r="F38" s="148">
        <f t="shared" si="7"/>
        <v>-80</v>
      </c>
      <c r="G38" s="148">
        <f t="shared" ca="1" si="7"/>
        <v>-1780</v>
      </c>
      <c r="H38" s="148">
        <f t="shared" ca="1" si="7"/>
        <v>-80</v>
      </c>
      <c r="I38" s="148">
        <f t="shared" ca="1" si="7"/>
        <v>-80</v>
      </c>
      <c r="J38" s="148">
        <f t="shared" ca="1" si="7"/>
        <v>-80</v>
      </c>
      <c r="K38" s="148">
        <f t="shared" ca="1" si="7"/>
        <v>-80</v>
      </c>
      <c r="L38" s="148">
        <f t="shared" ca="1" si="7"/>
        <v>-80</v>
      </c>
      <c r="M38" s="148">
        <f t="shared" ca="1" si="7"/>
        <v>-80</v>
      </c>
    </row>
    <row r="39" spans="1:13" ht="21" customHeight="1">
      <c r="A39" s="105" t="s">
        <v>162</v>
      </c>
      <c r="B39" s="1"/>
      <c r="D39" s="146">
        <f>D38+D28+D20</f>
        <v>3221.3</v>
      </c>
      <c r="E39" s="146">
        <f t="shared" ref="E39:M39" si="8">E38+E28+E20</f>
        <v>3392.7</v>
      </c>
      <c r="F39" s="146">
        <f t="shared" si="8"/>
        <v>3519.1000000000004</v>
      </c>
      <c r="G39" s="146">
        <f t="shared" ca="1" si="8"/>
        <v>2286.9947866622542</v>
      </c>
      <c r="H39" s="146">
        <f t="shared" ca="1" si="8"/>
        <v>4797.4241841114872</v>
      </c>
      <c r="I39" s="146">
        <f t="shared" ca="1" si="8"/>
        <v>5010.6640846892205</v>
      </c>
      <c r="J39" s="146">
        <f t="shared" ca="1" si="8"/>
        <v>5388.8584539753219</v>
      </c>
      <c r="K39" s="146">
        <f t="shared" ca="1" si="8"/>
        <v>6519.5105472256582</v>
      </c>
      <c r="L39" s="146">
        <f t="shared" ca="1" si="8"/>
        <v>6890.1467296883666</v>
      </c>
      <c r="M39" s="146">
        <f t="shared" ca="1" si="8"/>
        <v>7451.8744611898146</v>
      </c>
    </row>
    <row r="40" spans="1:13" ht="21" customHeight="1">
      <c r="A40" s="1" t="s">
        <v>24</v>
      </c>
      <c r="C40" s="1"/>
      <c r="D40" s="46"/>
      <c r="E40" s="19"/>
      <c r="F40" s="19"/>
      <c r="G40" s="19"/>
      <c r="H40" s="19"/>
      <c r="I40" s="19"/>
      <c r="J40" s="19"/>
      <c r="K40" s="19"/>
      <c r="L40" s="19"/>
      <c r="M40" s="19"/>
    </row>
    <row r="41" spans="1:13" ht="12.75" customHeight="1">
      <c r="A41" s="115"/>
      <c r="B41" s="50" t="s">
        <v>109</v>
      </c>
      <c r="C41" s="50"/>
      <c r="D41" s="147"/>
      <c r="E41" s="147"/>
      <c r="F41" s="147"/>
      <c r="G41" s="147">
        <f ca="1">G20+G28+SUM(G32:G37)</f>
        <v>3986.9947866622542</v>
      </c>
      <c r="H41" s="147">
        <f t="shared" ref="H41:M41" ca="1" si="9">H20+H28+SUM(H32:H37)</f>
        <v>4797.4241841114872</v>
      </c>
      <c r="I41" s="147">
        <f t="shared" ca="1" si="9"/>
        <v>5010.6640846892205</v>
      </c>
      <c r="J41" s="147">
        <f t="shared" ca="1" si="9"/>
        <v>5388.8584539753219</v>
      </c>
      <c r="K41" s="147">
        <f t="shared" ca="1" si="9"/>
        <v>6519.5105472256582</v>
      </c>
      <c r="L41" s="147">
        <f t="shared" ca="1" si="9"/>
        <v>6890.1467296883666</v>
      </c>
      <c r="M41" s="147">
        <f t="shared" ca="1" si="9"/>
        <v>7451.8744611898146</v>
      </c>
    </row>
    <row r="42" spans="1:13" ht="12.75" customHeight="1"/>
    <row r="43" spans="1:13" ht="12.75" customHeight="1"/>
    <row r="44" spans="1:13" ht="12.75" customHeight="1"/>
    <row r="45" spans="1:13" ht="12.75" customHeight="1"/>
    <row r="46" spans="1:13" ht="12.75" customHeight="1"/>
    <row r="47" spans="1:13" ht="12.75" customHeight="1"/>
    <row r="48" spans="1:13" ht="12.75" customHeight="1"/>
    <row r="49" ht="12.75" customHeight="1"/>
  </sheetData>
  <phoneticPr fontId="1" type="noConversion"/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ignoredErrors>
    <ignoredError sqref="G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6"/>
  <sheetViews>
    <sheetView zoomScaleNormal="100"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1" width="2.7109375" style="104" customWidth="1"/>
    <col min="2" max="2" width="2.7109375" style="2" customWidth="1"/>
    <col min="3" max="3" width="54.7109375" style="2" customWidth="1"/>
    <col min="4" max="5" width="9.7109375" style="8" customWidth="1"/>
    <col min="6" max="6" width="9.7109375" style="104" customWidth="1"/>
    <col min="7" max="7" width="9.7109375" style="2" customWidth="1"/>
    <col min="8" max="13" width="9.7109375" style="104" customWidth="1"/>
    <col min="14" max="14" width="9.140625" style="104"/>
    <col min="15" max="15" width="11.85546875" style="104" customWidth="1"/>
    <col min="16" max="16384" width="9.140625" style="104"/>
  </cols>
  <sheetData>
    <row r="1" spans="1:15" ht="58.5" customHeight="1">
      <c r="B1" s="50"/>
      <c r="E1" s="116"/>
      <c r="F1" s="116"/>
      <c r="G1" s="67"/>
      <c r="H1" s="116"/>
      <c r="I1" s="116"/>
      <c r="J1" s="116"/>
      <c r="K1" s="116"/>
      <c r="L1" s="116"/>
      <c r="M1" s="116"/>
    </row>
    <row r="2" spans="1:15" ht="12.75" customHeight="1">
      <c r="A2" s="53" t="s">
        <v>18</v>
      </c>
      <c r="B2" s="170"/>
      <c r="C2" s="53"/>
      <c r="D2" s="54"/>
      <c r="E2" s="54"/>
      <c r="F2" s="70"/>
      <c r="G2" s="53"/>
      <c r="H2" s="70"/>
      <c r="I2" s="70"/>
      <c r="J2" s="70"/>
      <c r="K2" s="70"/>
      <c r="L2" s="70"/>
      <c r="M2" s="70"/>
    </row>
    <row r="3" spans="1:15" ht="12.75" customHeight="1">
      <c r="A3" s="13" t="s">
        <v>22</v>
      </c>
      <c r="B3" s="13"/>
      <c r="C3" s="14"/>
      <c r="D3" s="81" t="s">
        <v>63</v>
      </c>
      <c r="E3" s="81"/>
      <c r="F3" s="83"/>
      <c r="G3" s="84" t="s">
        <v>64</v>
      </c>
      <c r="H3" s="85"/>
      <c r="I3" s="86"/>
      <c r="J3" s="85"/>
      <c r="K3" s="85"/>
      <c r="L3" s="85"/>
      <c r="M3" s="85"/>
      <c r="N3"/>
      <c r="O3"/>
    </row>
    <row r="4" spans="1:15" ht="12.75" customHeight="1">
      <c r="A4" s="13"/>
      <c r="B4" s="13"/>
      <c r="C4" s="14"/>
      <c r="D4" s="72"/>
      <c r="E4" s="72"/>
      <c r="F4" s="71"/>
      <c r="G4" s="71"/>
      <c r="H4" s="71"/>
      <c r="I4" s="71"/>
      <c r="J4" s="71"/>
      <c r="K4" s="71"/>
      <c r="L4" s="71"/>
      <c r="M4" s="71"/>
    </row>
    <row r="5" spans="1:15" ht="12.75" customHeight="1">
      <c r="A5" s="73" t="s">
        <v>21</v>
      </c>
      <c r="B5" s="13"/>
      <c r="C5" s="74"/>
      <c r="D5" s="87">
        <f>'Income Statement'!D5</f>
        <v>2009</v>
      </c>
      <c r="E5" s="87">
        <f>'Income Statement'!E5</f>
        <v>2010</v>
      </c>
      <c r="F5" s="87">
        <f>'Income Statement'!F5</f>
        <v>2011</v>
      </c>
      <c r="G5" s="88">
        <f>'Income Statement'!G5</f>
        <v>2012</v>
      </c>
      <c r="H5" s="88">
        <f>'Income Statement'!H5</f>
        <v>2013</v>
      </c>
      <c r="I5" s="88">
        <f>'Income Statement'!I5</f>
        <v>2014</v>
      </c>
      <c r="J5" s="88">
        <f>'Income Statement'!J5</f>
        <v>2015</v>
      </c>
      <c r="K5" s="88">
        <f>'Income Statement'!K5</f>
        <v>2016</v>
      </c>
      <c r="L5" s="88">
        <f>'Income Statement'!L5</f>
        <v>2017</v>
      </c>
      <c r="M5" s="88">
        <f>'Income Statement'!M5</f>
        <v>2018</v>
      </c>
    </row>
    <row r="6" spans="1:15" s="2" customFormat="1" ht="21" customHeight="1">
      <c r="A6" s="16" t="s">
        <v>6</v>
      </c>
      <c r="B6" s="16"/>
      <c r="C6" s="16"/>
      <c r="D6" s="16"/>
      <c r="E6" s="16"/>
      <c r="F6" s="16"/>
      <c r="G6" s="19"/>
      <c r="H6" s="19"/>
      <c r="I6" s="19"/>
      <c r="J6" s="19"/>
      <c r="K6" s="19"/>
      <c r="L6" s="19"/>
      <c r="M6" s="19"/>
    </row>
    <row r="7" spans="1:15" s="2" customFormat="1" ht="12.75" customHeight="1">
      <c r="B7" s="1" t="s">
        <v>110</v>
      </c>
      <c r="G7" s="21"/>
      <c r="H7" s="21"/>
      <c r="I7" s="21"/>
      <c r="J7" s="21"/>
      <c r="K7" s="21"/>
      <c r="L7" s="21"/>
      <c r="M7" s="21"/>
    </row>
    <row r="8" spans="1:15" s="2" customFormat="1" ht="12.75" customHeight="1">
      <c r="C8" s="2" t="s">
        <v>41</v>
      </c>
      <c r="D8" s="143">
        <v>400</v>
      </c>
      <c r="E8" s="22">
        <v>3792.8</v>
      </c>
      <c r="F8" s="22">
        <v>7311.8</v>
      </c>
      <c r="G8" s="21">
        <f ca="1">F8+'Cash Flow Statement'!G39</f>
        <v>9598.7947866622544</v>
      </c>
      <c r="H8" s="21">
        <f ca="1">G8+'Cash Flow Statement'!H39</f>
        <v>14396.218970773742</v>
      </c>
      <c r="I8" s="21">
        <f ca="1">H8+'Cash Flow Statement'!I39</f>
        <v>19406.88305546296</v>
      </c>
      <c r="J8" s="21">
        <f ca="1">I8+'Cash Flow Statement'!J39</f>
        <v>24795.741509438281</v>
      </c>
      <c r="K8" s="21">
        <f ca="1">J8+'Cash Flow Statement'!K39</f>
        <v>31315.25205666394</v>
      </c>
      <c r="L8" s="21">
        <f ca="1">K8+'Cash Flow Statement'!L39</f>
        <v>38205.398786352307</v>
      </c>
      <c r="M8" s="21">
        <f ca="1">L8+'Cash Flow Statement'!M39</f>
        <v>45657.273247542122</v>
      </c>
    </row>
    <row r="9" spans="1:15" s="2" customFormat="1" ht="12.75" customHeight="1">
      <c r="C9" s="2" t="s">
        <v>50</v>
      </c>
      <c r="D9" s="143">
        <v>1200</v>
      </c>
      <c r="E9" s="22">
        <v>1350</v>
      </c>
      <c r="F9" s="22">
        <v>1500</v>
      </c>
      <c r="G9" s="21">
        <f>F9-'Cash Flow Statement'!G12</f>
        <v>1663.75</v>
      </c>
      <c r="H9" s="21">
        <f>G9-'Cash Flow Statement'!H12</f>
        <v>1830.1250000000002</v>
      </c>
      <c r="I9" s="21">
        <f>H9-'Cash Flow Statement'!I12</f>
        <v>2013.1375000000003</v>
      </c>
      <c r="J9" s="21">
        <f>I9-'Cash Flow Statement'!J12</f>
        <v>2214.4512500000005</v>
      </c>
      <c r="K9" s="21">
        <f>J9-'Cash Flow Statement'!K12</f>
        <v>2435.8963750000007</v>
      </c>
      <c r="L9" s="21">
        <f>K9-'Cash Flow Statement'!L12</f>
        <v>2679.4860125000009</v>
      </c>
      <c r="M9" s="21">
        <f>L9-'Cash Flow Statement'!M12</f>
        <v>2947.4346137500011</v>
      </c>
    </row>
    <row r="10" spans="1:15" s="2" customFormat="1" ht="12.75" customHeight="1">
      <c r="C10" s="2" t="s">
        <v>53</v>
      </c>
      <c r="D10" s="143">
        <v>269</v>
      </c>
      <c r="E10" s="22">
        <v>274</v>
      </c>
      <c r="F10" s="22">
        <v>293</v>
      </c>
      <c r="G10" s="21">
        <f>F10-'Cash Flow Statement'!G13</f>
        <v>323.50694444444446</v>
      </c>
      <c r="H10" s="21">
        <f>G10-'Cash Flow Statement'!H13</f>
        <v>355.85763888888891</v>
      </c>
      <c r="I10" s="21">
        <f>H10-'Cash Flow Statement'!I13</f>
        <v>391.44340277777786</v>
      </c>
      <c r="J10" s="21">
        <f>I10-'Cash Flow Statement'!J13</f>
        <v>430.58774305555568</v>
      </c>
      <c r="K10" s="21">
        <f>J10-'Cash Flow Statement'!K13</f>
        <v>473.64651736111125</v>
      </c>
      <c r="L10" s="21">
        <f>K10-'Cash Flow Statement'!L13</f>
        <v>521.01116909722236</v>
      </c>
      <c r="M10" s="21">
        <f>L10-'Cash Flow Statement'!M13</f>
        <v>573.11228600694471</v>
      </c>
    </row>
    <row r="11" spans="1:15" s="2" customFormat="1" ht="12.75" customHeight="1">
      <c r="C11" s="2" t="s">
        <v>52</v>
      </c>
      <c r="D11" s="143">
        <v>120</v>
      </c>
      <c r="E11" s="22">
        <v>129</v>
      </c>
      <c r="F11" s="22">
        <v>129</v>
      </c>
      <c r="G11" s="21">
        <f>F11-'Cash Flow Statement'!G14</f>
        <v>142.08333333333331</v>
      </c>
      <c r="H11" s="21">
        <f>G11-'Cash Flow Statement'!H14</f>
        <v>156.29166666666666</v>
      </c>
      <c r="I11" s="21">
        <f>H11-'Cash Flow Statement'!I14</f>
        <v>171.92083333333335</v>
      </c>
      <c r="J11" s="21">
        <f>I11-'Cash Flow Statement'!J14</f>
        <v>189.11291666666671</v>
      </c>
      <c r="K11" s="21">
        <f>J11-'Cash Flow Statement'!K14</f>
        <v>208.02420833333338</v>
      </c>
      <c r="L11" s="21">
        <f>K11-'Cash Flow Statement'!L14</f>
        <v>228.82662916666669</v>
      </c>
      <c r="M11" s="21">
        <f>L11-'Cash Flow Statement'!M14</f>
        <v>251.70929208333339</v>
      </c>
    </row>
    <row r="12" spans="1:15" s="2" customFormat="1" ht="12.75" customHeight="1">
      <c r="C12" s="2" t="s">
        <v>42</v>
      </c>
      <c r="D12" s="145">
        <v>0</v>
      </c>
      <c r="E12" s="157">
        <v>0</v>
      </c>
      <c r="F12" s="157">
        <v>0</v>
      </c>
      <c r="G12" s="76">
        <f>F12-'Cash Flow Statement'!G15</f>
        <v>0</v>
      </c>
      <c r="H12" s="76">
        <f>G12-'Cash Flow Statement'!H15</f>
        <v>0</v>
      </c>
      <c r="I12" s="76">
        <f>H12-'Cash Flow Statement'!I15</f>
        <v>0</v>
      </c>
      <c r="J12" s="76">
        <f>I12-'Cash Flow Statement'!J15</f>
        <v>0</v>
      </c>
      <c r="K12" s="76">
        <f>J12-'Cash Flow Statement'!K15</f>
        <v>0</v>
      </c>
      <c r="L12" s="76">
        <f>K12-'Cash Flow Statement'!L15</f>
        <v>0</v>
      </c>
      <c r="M12" s="76">
        <f>L12-'Cash Flow Statement'!M15</f>
        <v>0</v>
      </c>
    </row>
    <row r="13" spans="1:15" s="2" customFormat="1" ht="12.75" customHeight="1">
      <c r="C13" s="1" t="s">
        <v>49</v>
      </c>
      <c r="D13" s="46">
        <f t="shared" ref="D13:M13" si="0">SUM(D8:D12)</f>
        <v>1989</v>
      </c>
      <c r="E13" s="46">
        <f t="shared" si="0"/>
        <v>5545.8</v>
      </c>
      <c r="F13" s="46">
        <f t="shared" si="0"/>
        <v>9233.7999999999993</v>
      </c>
      <c r="G13" s="46">
        <f t="shared" ca="1" si="0"/>
        <v>11728.135064440034</v>
      </c>
      <c r="H13" s="46">
        <f t="shared" ca="1" si="0"/>
        <v>16738.4932763293</v>
      </c>
      <c r="I13" s="46">
        <f t="shared" ca="1" si="0"/>
        <v>21983.384791574073</v>
      </c>
      <c r="J13" s="46">
        <f t="shared" ca="1" si="0"/>
        <v>27629.893419160504</v>
      </c>
      <c r="K13" s="46">
        <f t="shared" ca="1" si="0"/>
        <v>34432.81915735839</v>
      </c>
      <c r="L13" s="46">
        <f t="shared" ca="1" si="0"/>
        <v>41634.72259711619</v>
      </c>
      <c r="M13" s="46">
        <f t="shared" ca="1" si="0"/>
        <v>49429.529439382401</v>
      </c>
    </row>
    <row r="14" spans="1:15" s="2" customFormat="1" ht="12.75" customHeight="1">
      <c r="B14" s="2" t="s">
        <v>56</v>
      </c>
      <c r="D14" s="143">
        <v>5400</v>
      </c>
      <c r="E14" s="22">
        <v>5250</v>
      </c>
      <c r="F14" s="22">
        <v>5275</v>
      </c>
      <c r="G14" s="21">
        <f>F14-'Cash Flow Statement'!G22-'Cash Flow Statement'!G8</f>
        <v>5647.5</v>
      </c>
      <c r="H14" s="21">
        <f>G14-'Cash Flow Statement'!H22-'Cash Flow Statement'!H8</f>
        <v>5470</v>
      </c>
      <c r="I14" s="21">
        <f>H14-'Cash Flow Statement'!I22-'Cash Flow Statement'!I8</f>
        <v>5467.5</v>
      </c>
      <c r="J14" s="21">
        <f>I14-'Cash Flow Statement'!J22-'Cash Flow Statement'!J8</f>
        <v>5615</v>
      </c>
      <c r="K14" s="21">
        <f>J14-'Cash Flow Statement'!K22-'Cash Flow Statement'!K8</f>
        <v>5212.5</v>
      </c>
      <c r="L14" s="21">
        <f>K14-'Cash Flow Statement'!L22-'Cash Flow Statement'!L8</f>
        <v>4985</v>
      </c>
      <c r="M14" s="21">
        <f>L14-'Cash Flow Statement'!M22-'Cash Flow Statement'!M8</f>
        <v>4907.5</v>
      </c>
    </row>
    <row r="15" spans="1:15" s="2" customFormat="1" ht="12.75" customHeight="1">
      <c r="B15" s="2" t="s">
        <v>8</v>
      </c>
      <c r="D15" s="143">
        <v>0</v>
      </c>
      <c r="E15" s="22">
        <v>0</v>
      </c>
      <c r="F15" s="22">
        <v>0</v>
      </c>
      <c r="G15" s="21">
        <f>F15</f>
        <v>0</v>
      </c>
      <c r="H15" s="21">
        <f t="shared" ref="H15:M15" si="1">G15</f>
        <v>0</v>
      </c>
      <c r="I15" s="21">
        <f t="shared" si="1"/>
        <v>0</v>
      </c>
      <c r="J15" s="21">
        <f t="shared" si="1"/>
        <v>0</v>
      </c>
      <c r="K15" s="21">
        <f t="shared" si="1"/>
        <v>0</v>
      </c>
      <c r="L15" s="21">
        <f t="shared" si="1"/>
        <v>0</v>
      </c>
      <c r="M15" s="21">
        <f t="shared" si="1"/>
        <v>0</v>
      </c>
    </row>
    <row r="16" spans="1:15" s="2" customFormat="1" ht="12.75" customHeight="1">
      <c r="B16" s="2" t="s">
        <v>51</v>
      </c>
      <c r="D16" s="143">
        <v>0</v>
      </c>
      <c r="E16" s="22">
        <v>0</v>
      </c>
      <c r="F16" s="22">
        <v>0</v>
      </c>
      <c r="G16" s="21">
        <f>F16-'Cash Flow Statement'!G9</f>
        <v>0</v>
      </c>
      <c r="H16" s="21">
        <f>G16-'Cash Flow Statement'!H9</f>
        <v>0</v>
      </c>
      <c r="I16" s="21">
        <f>H16-'Cash Flow Statement'!I9</f>
        <v>0</v>
      </c>
      <c r="J16" s="21">
        <f>I16-'Cash Flow Statement'!J9</f>
        <v>0</v>
      </c>
      <c r="K16" s="21">
        <f>J16-'Cash Flow Statement'!K9</f>
        <v>0</v>
      </c>
      <c r="L16" s="21">
        <f>K16-'Cash Flow Statement'!L9</f>
        <v>0</v>
      </c>
      <c r="M16" s="21">
        <f>L16-'Cash Flow Statement'!M9</f>
        <v>0</v>
      </c>
    </row>
    <row r="17" spans="1:13" s="2" customFormat="1" ht="12.75" customHeight="1">
      <c r="B17" s="2" t="s">
        <v>59</v>
      </c>
      <c r="D17" s="143">
        <v>53.2</v>
      </c>
      <c r="E17" s="22">
        <v>53.2</v>
      </c>
      <c r="F17" s="22">
        <v>53.2</v>
      </c>
      <c r="G17" s="21">
        <f>F17</f>
        <v>53.2</v>
      </c>
      <c r="H17" s="21">
        <f t="shared" ref="H17:M17" si="2">G17</f>
        <v>53.2</v>
      </c>
      <c r="I17" s="21">
        <f t="shared" si="2"/>
        <v>53.2</v>
      </c>
      <c r="J17" s="21">
        <f t="shared" si="2"/>
        <v>53.2</v>
      </c>
      <c r="K17" s="21">
        <f t="shared" si="2"/>
        <v>53.2</v>
      </c>
      <c r="L17" s="21">
        <f t="shared" si="2"/>
        <v>53.2</v>
      </c>
      <c r="M17" s="21">
        <f t="shared" si="2"/>
        <v>53.2</v>
      </c>
    </row>
    <row r="18" spans="1:13" s="2" customFormat="1" ht="12.75" customHeight="1">
      <c r="B18" s="2" t="s">
        <v>57</v>
      </c>
      <c r="D18" s="143">
        <v>0</v>
      </c>
      <c r="E18" s="22">
        <v>0</v>
      </c>
      <c r="F18" s="22">
        <v>0</v>
      </c>
      <c r="G18" s="21">
        <f>F18</f>
        <v>0</v>
      </c>
      <c r="H18" s="21">
        <f t="shared" ref="H18:M18" si="3">G18</f>
        <v>0</v>
      </c>
      <c r="I18" s="21">
        <f t="shared" si="3"/>
        <v>0</v>
      </c>
      <c r="J18" s="21">
        <f t="shared" si="3"/>
        <v>0</v>
      </c>
      <c r="K18" s="21">
        <f t="shared" si="3"/>
        <v>0</v>
      </c>
      <c r="L18" s="21">
        <f t="shared" si="3"/>
        <v>0</v>
      </c>
      <c r="M18" s="21">
        <f t="shared" si="3"/>
        <v>0</v>
      </c>
    </row>
    <row r="19" spans="1:13" s="2" customFormat="1" ht="12.75" customHeight="1">
      <c r="B19" s="2" t="s">
        <v>40</v>
      </c>
      <c r="D19" s="145">
        <v>21</v>
      </c>
      <c r="E19" s="157">
        <v>21</v>
      </c>
      <c r="F19" s="157">
        <v>21</v>
      </c>
      <c r="G19" s="76">
        <f>F19-'Cash Flow Statement'!G27</f>
        <v>21</v>
      </c>
      <c r="H19" s="76">
        <f>G19-'Cash Flow Statement'!H27</f>
        <v>21</v>
      </c>
      <c r="I19" s="76">
        <f>H19-'Cash Flow Statement'!I27</f>
        <v>21</v>
      </c>
      <c r="J19" s="76">
        <f>I19-'Cash Flow Statement'!J27</f>
        <v>21</v>
      </c>
      <c r="K19" s="76">
        <f>J19-'Cash Flow Statement'!K27</f>
        <v>21</v>
      </c>
      <c r="L19" s="76">
        <f>K19-'Cash Flow Statement'!L27</f>
        <v>21</v>
      </c>
      <c r="M19" s="76">
        <f>L19-'Cash Flow Statement'!M27</f>
        <v>21</v>
      </c>
    </row>
    <row r="20" spans="1:13" s="2" customFormat="1" ht="12.75" customHeight="1">
      <c r="B20" s="1" t="s">
        <v>111</v>
      </c>
      <c r="C20" s="1"/>
      <c r="D20" s="146">
        <f t="shared" ref="D20:M20" si="4">SUM(D13:D19)</f>
        <v>7463.2</v>
      </c>
      <c r="E20" s="146">
        <f t="shared" si="4"/>
        <v>10870</v>
      </c>
      <c r="F20" s="146">
        <f t="shared" si="4"/>
        <v>14583</v>
      </c>
      <c r="G20" s="146">
        <f t="shared" ca="1" si="4"/>
        <v>17449.835064440034</v>
      </c>
      <c r="H20" s="146">
        <f t="shared" ca="1" si="4"/>
        <v>22282.693276329301</v>
      </c>
      <c r="I20" s="146">
        <f t="shared" ca="1" si="4"/>
        <v>27525.084791574074</v>
      </c>
      <c r="J20" s="146">
        <f t="shared" ca="1" si="4"/>
        <v>33319.093419160505</v>
      </c>
      <c r="K20" s="146">
        <f t="shared" ca="1" si="4"/>
        <v>39719.519157358387</v>
      </c>
      <c r="L20" s="146">
        <f t="shared" ca="1" si="4"/>
        <v>46693.922597116187</v>
      </c>
      <c r="M20" s="146">
        <f t="shared" ca="1" si="4"/>
        <v>54411.229439382398</v>
      </c>
    </row>
    <row r="21" spans="1:13" s="2" customFormat="1" ht="21" customHeight="1">
      <c r="A21" s="1" t="s">
        <v>9</v>
      </c>
      <c r="C21" s="1"/>
      <c r="D21" s="142"/>
      <c r="E21" s="1"/>
      <c r="F21" s="1"/>
      <c r="G21" s="1"/>
      <c r="H21" s="1"/>
      <c r="I21" s="1"/>
      <c r="J21" s="1"/>
      <c r="K21" s="1"/>
      <c r="L21" s="1"/>
      <c r="M21" s="1"/>
    </row>
    <row r="22" spans="1:13" s="2" customFormat="1" ht="12.75" customHeight="1">
      <c r="B22" s="1" t="s">
        <v>112</v>
      </c>
      <c r="D22" s="25"/>
    </row>
    <row r="23" spans="1:13" s="2" customFormat="1" ht="12.75" customHeight="1">
      <c r="C23" s="2" t="s">
        <v>43</v>
      </c>
      <c r="D23" s="143">
        <v>140</v>
      </c>
      <c r="E23" s="22">
        <v>141</v>
      </c>
      <c r="F23" s="22">
        <v>143</v>
      </c>
      <c r="G23" s="21">
        <f>F23+'Cash Flow Statement'!G16</f>
        <v>184.86111111111111</v>
      </c>
      <c r="H23" s="21">
        <f>G23+'Cash Flow Statement'!H16</f>
        <v>203.34722222222223</v>
      </c>
      <c r="I23" s="21">
        <f>H23+'Cash Flow Statement'!I16</f>
        <v>223.68194444444447</v>
      </c>
      <c r="J23" s="21">
        <f>I23+'Cash Flow Statement'!J16</f>
        <v>246.05013888888894</v>
      </c>
      <c r="K23" s="21">
        <f>J23+'Cash Flow Statement'!K16</f>
        <v>270.65515277777786</v>
      </c>
      <c r="L23" s="21">
        <f>K23+'Cash Flow Statement'!L16</f>
        <v>297.72066805555562</v>
      </c>
      <c r="M23" s="21">
        <f>L23+'Cash Flow Statement'!M16</f>
        <v>327.49273486111122</v>
      </c>
    </row>
    <row r="24" spans="1:13" s="2" customFormat="1" ht="12.75" customHeight="1">
      <c r="B24" s="6"/>
      <c r="C24" s="2" t="s">
        <v>60</v>
      </c>
      <c r="D24" s="102">
        <v>165</v>
      </c>
      <c r="E24" s="102">
        <v>168</v>
      </c>
      <c r="F24" s="49">
        <v>175</v>
      </c>
      <c r="G24" s="42">
        <f>F24+'Cash Flow Statement'!G17</f>
        <v>189.4444444444444</v>
      </c>
      <c r="H24" s="42">
        <f>G24+'Cash Flow Statement'!H17</f>
        <v>208.38888888888889</v>
      </c>
      <c r="I24" s="42">
        <f>H24+'Cash Flow Statement'!I17</f>
        <v>229.22777777777779</v>
      </c>
      <c r="J24" s="42">
        <f>I24+'Cash Flow Statement'!J17</f>
        <v>252.1505555555556</v>
      </c>
      <c r="K24" s="42">
        <f>J24+'Cash Flow Statement'!K17</f>
        <v>277.36561111111115</v>
      </c>
      <c r="L24" s="42">
        <f>K24+'Cash Flow Statement'!L17</f>
        <v>305.10217222222224</v>
      </c>
      <c r="M24" s="42">
        <f>L24+'Cash Flow Statement'!M17</f>
        <v>335.61238944444455</v>
      </c>
    </row>
    <row r="25" spans="1:13" s="2" customFormat="1" ht="12.75" customHeight="1">
      <c r="C25" s="2" t="s">
        <v>67</v>
      </c>
      <c r="D25" s="143">
        <v>700</v>
      </c>
      <c r="E25" s="22">
        <v>700</v>
      </c>
      <c r="F25" s="22">
        <v>700</v>
      </c>
      <c r="G25" s="21">
        <f ca="1">F25+'Cash Flow Statement'!G30</f>
        <v>0</v>
      </c>
      <c r="H25" s="21">
        <f ca="1">G25+'Cash Flow Statement'!H30</f>
        <v>0</v>
      </c>
      <c r="I25" s="21">
        <f ca="1">H25+'Cash Flow Statement'!I30</f>
        <v>0</v>
      </c>
      <c r="J25" s="21">
        <f ca="1">I25+'Cash Flow Statement'!J30</f>
        <v>0</v>
      </c>
      <c r="K25" s="21">
        <f ca="1">J25+'Cash Flow Statement'!K30</f>
        <v>0</v>
      </c>
      <c r="L25" s="21">
        <f ca="1">K25+'Cash Flow Statement'!L30</f>
        <v>0</v>
      </c>
      <c r="M25" s="21">
        <f ca="1">L25+'Cash Flow Statement'!M30</f>
        <v>0</v>
      </c>
    </row>
    <row r="26" spans="1:13" s="2" customFormat="1" ht="12.75" customHeight="1">
      <c r="C26" s="2" t="s">
        <v>44</v>
      </c>
      <c r="D26" s="145">
        <v>0</v>
      </c>
      <c r="E26" s="157">
        <v>0</v>
      </c>
      <c r="F26" s="157">
        <v>0</v>
      </c>
      <c r="G26" s="76">
        <f>F26+'Cash Flow Statement'!G18</f>
        <v>0</v>
      </c>
      <c r="H26" s="76">
        <f>G26+'Cash Flow Statement'!H18</f>
        <v>0</v>
      </c>
      <c r="I26" s="76">
        <f>H26+'Cash Flow Statement'!I18</f>
        <v>0</v>
      </c>
      <c r="J26" s="76">
        <f>I26+'Cash Flow Statement'!J18</f>
        <v>0</v>
      </c>
      <c r="K26" s="76">
        <f>J26+'Cash Flow Statement'!K18</f>
        <v>0</v>
      </c>
      <c r="L26" s="76">
        <f>K26+'Cash Flow Statement'!L18</f>
        <v>0</v>
      </c>
      <c r="M26" s="76">
        <f>L26+'Cash Flow Statement'!M18</f>
        <v>0</v>
      </c>
    </row>
    <row r="27" spans="1:13" s="2" customFormat="1" ht="12.75" customHeight="1">
      <c r="C27" s="1" t="s">
        <v>55</v>
      </c>
      <c r="D27" s="46">
        <f t="shared" ref="D27:M27" si="5">SUM(D23:D26)</f>
        <v>1005</v>
      </c>
      <c r="E27" s="46">
        <f t="shared" si="5"/>
        <v>1009</v>
      </c>
      <c r="F27" s="46">
        <f t="shared" si="5"/>
        <v>1018</v>
      </c>
      <c r="G27" s="46">
        <f t="shared" ca="1" si="5"/>
        <v>374.30555555555554</v>
      </c>
      <c r="H27" s="46">
        <f t="shared" ca="1" si="5"/>
        <v>411.73611111111109</v>
      </c>
      <c r="I27" s="46">
        <f t="shared" ca="1" si="5"/>
        <v>452.90972222222229</v>
      </c>
      <c r="J27" s="46">
        <f t="shared" ca="1" si="5"/>
        <v>498.20069444444454</v>
      </c>
      <c r="K27" s="46">
        <f t="shared" ca="1" si="5"/>
        <v>548.02076388888895</v>
      </c>
      <c r="L27" s="46">
        <f t="shared" ca="1" si="5"/>
        <v>602.82284027777791</v>
      </c>
      <c r="M27" s="46">
        <f t="shared" ca="1" si="5"/>
        <v>663.10512430555582</v>
      </c>
    </row>
    <row r="28" spans="1:13" s="2" customFormat="1" ht="12.75" customHeight="1">
      <c r="B28" s="2" t="s">
        <v>68</v>
      </c>
      <c r="D28" s="143">
        <v>1000</v>
      </c>
      <c r="E28" s="22">
        <v>1000</v>
      </c>
      <c r="F28" s="22">
        <v>1000</v>
      </c>
      <c r="G28" s="21">
        <f ca="1">F28+'Cash Flow Statement'!G31</f>
        <v>0</v>
      </c>
      <c r="H28" s="21">
        <f ca="1">G28+'Cash Flow Statement'!H31</f>
        <v>0</v>
      </c>
      <c r="I28" s="21">
        <f ca="1">H28+'Cash Flow Statement'!I31</f>
        <v>0</v>
      </c>
      <c r="J28" s="21">
        <f ca="1">I28+'Cash Flow Statement'!J31</f>
        <v>0</v>
      </c>
      <c r="K28" s="21">
        <f ca="1">J28+'Cash Flow Statement'!K31</f>
        <v>0</v>
      </c>
      <c r="L28" s="21">
        <f ca="1">K28+'Cash Flow Statement'!L31</f>
        <v>0</v>
      </c>
      <c r="M28" s="21">
        <f ca="1">L28+'Cash Flow Statement'!M31</f>
        <v>0</v>
      </c>
    </row>
    <row r="29" spans="1:13" s="2" customFormat="1" ht="12.75" customHeight="1">
      <c r="B29" s="2" t="s">
        <v>54</v>
      </c>
      <c r="D29" s="143">
        <v>316.3</v>
      </c>
      <c r="E29" s="22">
        <v>447.3</v>
      </c>
      <c r="F29" s="22">
        <v>495.3</v>
      </c>
      <c r="G29" s="21">
        <f>F29+'Cash Flow Statement'!G10</f>
        <v>823.48465507923493</v>
      </c>
      <c r="H29" s="21">
        <f>G29+'Cash Flow Statement'!H10</f>
        <v>959.0297118251076</v>
      </c>
      <c r="I29" s="21">
        <f>H29+'Cash Flow Statement'!I10</f>
        <v>1006.971693310786</v>
      </c>
      <c r="J29" s="21">
        <f>I29+'Cash Flow Statement'!J10</f>
        <v>1072.3471226094384</v>
      </c>
      <c r="K29" s="21">
        <f>J29+'Cash Flow Statement'!K10</f>
        <v>1115.9307421418735</v>
      </c>
      <c r="L29" s="21">
        <f>K29+'Cash Flow Statement'!L10</f>
        <v>1054.4778386011403</v>
      </c>
      <c r="M29" s="21">
        <f>L29+'Cash Flow Statement'!M10</f>
        <v>1001.7416589668941</v>
      </c>
    </row>
    <row r="30" spans="1:13" s="2" customFormat="1" ht="12.75" customHeight="1">
      <c r="B30" s="2" t="s">
        <v>61</v>
      </c>
      <c r="D30" s="143">
        <v>72</v>
      </c>
      <c r="E30" s="22">
        <v>72</v>
      </c>
      <c r="F30" s="22">
        <v>72</v>
      </c>
      <c r="G30" s="21">
        <f>F30</f>
        <v>72</v>
      </c>
      <c r="H30" s="21">
        <f t="shared" ref="H30:M30" si="6">G30</f>
        <v>72</v>
      </c>
      <c r="I30" s="21">
        <f t="shared" si="6"/>
        <v>72</v>
      </c>
      <c r="J30" s="21">
        <f t="shared" si="6"/>
        <v>72</v>
      </c>
      <c r="K30" s="21">
        <f t="shared" si="6"/>
        <v>72</v>
      </c>
      <c r="L30" s="21">
        <f t="shared" si="6"/>
        <v>72</v>
      </c>
      <c r="M30" s="21">
        <f t="shared" si="6"/>
        <v>72</v>
      </c>
    </row>
    <row r="31" spans="1:13" s="2" customFormat="1" ht="12.75" customHeight="1">
      <c r="B31" s="2" t="s">
        <v>45</v>
      </c>
      <c r="D31" s="145">
        <v>14</v>
      </c>
      <c r="E31" s="157">
        <v>14</v>
      </c>
      <c r="F31" s="157">
        <v>14</v>
      </c>
      <c r="G31" s="76">
        <f>F31+'Cash Flow Statement'!G37</f>
        <v>14</v>
      </c>
      <c r="H31" s="76">
        <f>G31+'Cash Flow Statement'!H37</f>
        <v>14</v>
      </c>
      <c r="I31" s="76">
        <f>H31+'Cash Flow Statement'!I37</f>
        <v>14</v>
      </c>
      <c r="J31" s="76">
        <f>I31+'Cash Flow Statement'!J37</f>
        <v>14</v>
      </c>
      <c r="K31" s="76">
        <f>J31+'Cash Flow Statement'!K37</f>
        <v>14</v>
      </c>
      <c r="L31" s="76">
        <f>K31+'Cash Flow Statement'!L37</f>
        <v>14</v>
      </c>
      <c r="M31" s="76">
        <f>L31+'Cash Flow Statement'!M37</f>
        <v>14</v>
      </c>
    </row>
    <row r="32" spans="1:13" s="2" customFormat="1" ht="12.75" customHeight="1">
      <c r="B32" s="1" t="s">
        <v>113</v>
      </c>
      <c r="C32" s="1"/>
      <c r="D32" s="146">
        <f t="shared" ref="D32:M32" si="7">SUM(D27:D31)</f>
        <v>2407.3000000000002</v>
      </c>
      <c r="E32" s="146">
        <f t="shared" si="7"/>
        <v>2542.3000000000002</v>
      </c>
      <c r="F32" s="146">
        <f t="shared" si="7"/>
        <v>2599.3000000000002</v>
      </c>
      <c r="G32" s="146">
        <f t="shared" ca="1" si="7"/>
        <v>1283.7902106347906</v>
      </c>
      <c r="H32" s="146">
        <f t="shared" ca="1" si="7"/>
        <v>1456.7658229362187</v>
      </c>
      <c r="I32" s="146">
        <f t="shared" ca="1" si="7"/>
        <v>1545.8814155330083</v>
      </c>
      <c r="J32" s="146">
        <f t="shared" ca="1" si="7"/>
        <v>1656.5478170538829</v>
      </c>
      <c r="K32" s="146">
        <f t="shared" ca="1" si="7"/>
        <v>1749.9515060307624</v>
      </c>
      <c r="L32" s="146">
        <f t="shared" ca="1" si="7"/>
        <v>1743.3006788789182</v>
      </c>
      <c r="M32" s="146">
        <f t="shared" ca="1" si="7"/>
        <v>1750.84678327245</v>
      </c>
    </row>
    <row r="33" spans="1:13" s="2" customFormat="1" ht="21" customHeight="1">
      <c r="A33" s="1" t="s">
        <v>114</v>
      </c>
      <c r="C33" s="1"/>
      <c r="D33" s="89"/>
      <c r="E33" s="28"/>
      <c r="F33" s="28"/>
      <c r="G33" s="28"/>
      <c r="H33" s="28"/>
      <c r="I33" s="28"/>
      <c r="J33" s="28"/>
      <c r="K33" s="28"/>
      <c r="L33" s="28"/>
      <c r="M33" s="28"/>
    </row>
    <row r="34" spans="1:13" s="25" customFormat="1" ht="12.75" customHeight="1">
      <c r="B34" s="25" t="s">
        <v>46</v>
      </c>
      <c r="D34" s="143">
        <v>500</v>
      </c>
      <c r="E34" s="143">
        <v>500</v>
      </c>
      <c r="F34" s="143">
        <v>500</v>
      </c>
      <c r="G34" s="26">
        <f>F34+'Cash Flow Statement'!G32</f>
        <v>500</v>
      </c>
      <c r="H34" s="26">
        <f>G34+'Cash Flow Statement'!H32</f>
        <v>500</v>
      </c>
      <c r="I34" s="26">
        <f>H34+'Cash Flow Statement'!I32</f>
        <v>500</v>
      </c>
      <c r="J34" s="26">
        <f>I34+'Cash Flow Statement'!J32</f>
        <v>500</v>
      </c>
      <c r="K34" s="26">
        <f>J34+'Cash Flow Statement'!K32</f>
        <v>500</v>
      </c>
      <c r="L34" s="26">
        <f>K34+'Cash Flow Statement'!L32</f>
        <v>500</v>
      </c>
      <c r="M34" s="26">
        <f>L34+'Cash Flow Statement'!M32</f>
        <v>500</v>
      </c>
    </row>
    <row r="35" spans="1:13" s="25" customFormat="1" ht="12.75" customHeight="1">
      <c r="B35" s="25" t="s">
        <v>171</v>
      </c>
      <c r="D35" s="143">
        <f>2490+10</f>
        <v>2500</v>
      </c>
      <c r="E35" s="143">
        <f>2490+10</f>
        <v>2500</v>
      </c>
      <c r="F35" s="143">
        <f>2490+10</f>
        <v>2500</v>
      </c>
      <c r="G35" s="26">
        <f>F35+'Cash Flow Statement'!G33</f>
        <v>2500</v>
      </c>
      <c r="H35" s="26">
        <f>G35+'Cash Flow Statement'!H33</f>
        <v>2500</v>
      </c>
      <c r="I35" s="26">
        <f>H35+'Cash Flow Statement'!I33</f>
        <v>2500</v>
      </c>
      <c r="J35" s="26">
        <f>I35+'Cash Flow Statement'!J33</f>
        <v>2500</v>
      </c>
      <c r="K35" s="26">
        <f>J35+'Cash Flow Statement'!K33</f>
        <v>2500</v>
      </c>
      <c r="L35" s="26">
        <f>K35+'Cash Flow Statement'!L33</f>
        <v>2500</v>
      </c>
      <c r="M35" s="26">
        <f>L35+'Cash Flow Statement'!M33</f>
        <v>2500</v>
      </c>
    </row>
    <row r="36" spans="1:13" s="25" customFormat="1" ht="12.75" customHeight="1">
      <c r="B36" s="25" t="s">
        <v>58</v>
      </c>
      <c r="D36" s="143">
        <v>-100</v>
      </c>
      <c r="E36" s="143">
        <v>-100</v>
      </c>
      <c r="F36" s="143">
        <v>-100</v>
      </c>
      <c r="G36" s="26">
        <f>F36+'Cash Flow Statement'!G34</f>
        <v>-100</v>
      </c>
      <c r="H36" s="26">
        <f>G36+'Cash Flow Statement'!H34</f>
        <v>-100</v>
      </c>
      <c r="I36" s="26">
        <f>H36+'Cash Flow Statement'!I34</f>
        <v>-100</v>
      </c>
      <c r="J36" s="26">
        <f>I36+'Cash Flow Statement'!J34</f>
        <v>-100</v>
      </c>
      <c r="K36" s="26">
        <f>J36+'Cash Flow Statement'!K34</f>
        <v>-100</v>
      </c>
      <c r="L36" s="26">
        <f>K36+'Cash Flow Statement'!L34</f>
        <v>-100</v>
      </c>
      <c r="M36" s="26">
        <f>L36+'Cash Flow Statement'!M34</f>
        <v>-100</v>
      </c>
    </row>
    <row r="37" spans="1:13" s="25" customFormat="1" ht="12.75" customHeight="1">
      <c r="B37" s="25" t="s">
        <v>62</v>
      </c>
      <c r="D37" s="143">
        <v>0</v>
      </c>
      <c r="E37" s="143">
        <v>0</v>
      </c>
      <c r="F37" s="143">
        <v>0</v>
      </c>
      <c r="G37" s="26">
        <f>F37</f>
        <v>0</v>
      </c>
      <c r="H37" s="26">
        <f t="shared" ref="H37:M37" si="8">G37</f>
        <v>0</v>
      </c>
      <c r="I37" s="26">
        <f t="shared" si="8"/>
        <v>0</v>
      </c>
      <c r="J37" s="26">
        <f t="shared" si="8"/>
        <v>0</v>
      </c>
      <c r="K37" s="26">
        <f t="shared" si="8"/>
        <v>0</v>
      </c>
      <c r="L37" s="26">
        <f t="shared" si="8"/>
        <v>0</v>
      </c>
      <c r="M37" s="26">
        <f t="shared" si="8"/>
        <v>0</v>
      </c>
    </row>
    <row r="38" spans="1:13" s="25" customFormat="1" ht="12.75" customHeight="1">
      <c r="B38" s="25" t="s">
        <v>115</v>
      </c>
      <c r="D38" s="145">
        <v>2155.9</v>
      </c>
      <c r="E38" s="145">
        <v>5427.7</v>
      </c>
      <c r="F38" s="145">
        <v>9083.7000000000007</v>
      </c>
      <c r="G38" s="77">
        <f ca="1">F38+'Cash Flow Statement'!G7+'Cash Flow Statement'!G35+'Cash Flow Statement'!G36</f>
        <v>13266.044853805242</v>
      </c>
      <c r="H38" s="77">
        <f ca="1">G38+'Cash Flow Statement'!H7+'Cash Flow Statement'!H35+'Cash Flow Statement'!H36</f>
        <v>17925.92745339308</v>
      </c>
      <c r="I38" s="77">
        <f ca="1">H38+'Cash Flow Statement'!I7+'Cash Flow Statement'!I35+'Cash Flow Statement'!I36</f>
        <v>23079.203376041067</v>
      </c>
      <c r="J38" s="77">
        <f ca="1">I38+'Cash Flow Statement'!J7+'Cash Flow Statement'!J35+'Cash Flow Statement'!J36</f>
        <v>28762.545602106627</v>
      </c>
      <c r="K38" s="77">
        <f ca="1">J38+'Cash Flow Statement'!K7+'Cash Flow Statement'!K35+'Cash Flow Statement'!K36</f>
        <v>35069.567651327627</v>
      </c>
      <c r="L38" s="77">
        <f ca="1">K38+'Cash Flow Statement'!L7+'Cash Flow Statement'!L35+'Cash Flow Statement'!L36</f>
        <v>42050.621918237281</v>
      </c>
      <c r="M38" s="77">
        <f ca="1">L38+'Cash Flow Statement'!M7+'Cash Flow Statement'!M35+'Cash Flow Statement'!M36</f>
        <v>49760.382656109949</v>
      </c>
    </row>
    <row r="39" spans="1:13" s="2" customFormat="1" ht="12.75" customHeight="1">
      <c r="B39" s="1" t="s">
        <v>116</v>
      </c>
      <c r="C39" s="1"/>
      <c r="D39" s="79">
        <f t="shared" ref="D39:M39" si="9">SUM(D34:D38)</f>
        <v>5055.8999999999996</v>
      </c>
      <c r="E39" s="79">
        <f t="shared" si="9"/>
        <v>8327.7000000000007</v>
      </c>
      <c r="F39" s="79">
        <f t="shared" si="9"/>
        <v>11983.7</v>
      </c>
      <c r="G39" s="79">
        <f t="shared" ca="1" si="9"/>
        <v>16166.044853805242</v>
      </c>
      <c r="H39" s="79">
        <f t="shared" ca="1" si="9"/>
        <v>20825.92745339308</v>
      </c>
      <c r="I39" s="79">
        <f t="shared" ca="1" si="9"/>
        <v>25979.203376041067</v>
      </c>
      <c r="J39" s="79">
        <f t="shared" ca="1" si="9"/>
        <v>31662.545602106627</v>
      </c>
      <c r="K39" s="79">
        <f t="shared" ca="1" si="9"/>
        <v>37969.567651327627</v>
      </c>
      <c r="L39" s="79">
        <f t="shared" ca="1" si="9"/>
        <v>44950.621918237281</v>
      </c>
      <c r="M39" s="79">
        <f t="shared" ca="1" si="9"/>
        <v>52660.382656109949</v>
      </c>
    </row>
    <row r="40" spans="1:13" s="2" customFormat="1" ht="21" customHeight="1" thickBot="1">
      <c r="B40" s="1" t="s">
        <v>117</v>
      </c>
      <c r="C40" s="1"/>
      <c r="D40" s="78">
        <f>D32+D39</f>
        <v>7463.2</v>
      </c>
      <c r="E40" s="78">
        <f t="shared" ref="E40:M40" si="10">E32+E39</f>
        <v>10870</v>
      </c>
      <c r="F40" s="78">
        <f t="shared" si="10"/>
        <v>14583</v>
      </c>
      <c r="G40" s="78">
        <f t="shared" ca="1" si="10"/>
        <v>17449.835064440034</v>
      </c>
      <c r="H40" s="78">
        <f t="shared" ca="1" si="10"/>
        <v>22282.693276329301</v>
      </c>
      <c r="I40" s="78">
        <f t="shared" ca="1" si="10"/>
        <v>27525.084791574074</v>
      </c>
      <c r="J40" s="78">
        <f t="shared" ca="1" si="10"/>
        <v>33319.093419160512</v>
      </c>
      <c r="K40" s="78">
        <f t="shared" ca="1" si="10"/>
        <v>39719.519157358387</v>
      </c>
      <c r="L40" s="78">
        <f t="shared" ca="1" si="10"/>
        <v>46693.922597116201</v>
      </c>
      <c r="M40" s="78">
        <f t="shared" ca="1" si="10"/>
        <v>54411.229439382398</v>
      </c>
    </row>
    <row r="41" spans="1:13" s="2" customFormat="1" ht="21" customHeight="1" thickTop="1">
      <c r="A41" s="1" t="s">
        <v>24</v>
      </c>
      <c r="C41" s="1"/>
      <c r="D41" s="66"/>
      <c r="E41" s="66"/>
      <c r="F41" s="66"/>
      <c r="G41" s="66"/>
      <c r="H41" s="66"/>
      <c r="I41" s="66"/>
      <c r="J41" s="66"/>
      <c r="K41" s="66"/>
      <c r="L41" s="66"/>
      <c r="M41" s="66"/>
    </row>
    <row r="42" spans="1:13" s="106" customFormat="1" ht="12.75" customHeight="1">
      <c r="A42" s="115"/>
      <c r="B42" s="55" t="s">
        <v>10</v>
      </c>
      <c r="C42" s="50"/>
      <c r="D42" s="63" t="str">
        <f t="shared" ref="D42:M42" si="11">IF(ROUND(D20-D40,1)=0,"Y","N")</f>
        <v>Y</v>
      </c>
      <c r="E42" s="63" t="str">
        <f t="shared" si="11"/>
        <v>Y</v>
      </c>
      <c r="F42" s="63" t="str">
        <f t="shared" si="11"/>
        <v>Y</v>
      </c>
      <c r="G42" s="63" t="str">
        <f t="shared" ca="1" si="11"/>
        <v>Y</v>
      </c>
      <c r="H42" s="63" t="str">
        <f t="shared" ca="1" si="11"/>
        <v>Y</v>
      </c>
      <c r="I42" s="63" t="str">
        <f t="shared" ca="1" si="11"/>
        <v>Y</v>
      </c>
      <c r="J42" s="63" t="str">
        <f t="shared" ca="1" si="11"/>
        <v>Y</v>
      </c>
      <c r="K42" s="63" t="str">
        <f t="shared" ca="1" si="11"/>
        <v>Y</v>
      </c>
      <c r="L42" s="63" t="str">
        <f t="shared" ca="1" si="11"/>
        <v>Y</v>
      </c>
      <c r="M42" s="63" t="str">
        <f t="shared" ca="1" si="11"/>
        <v>Y</v>
      </c>
    </row>
    <row r="43" spans="1:13" ht="12.75" customHeight="1"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1:13" ht="12.75" customHeight="1">
      <c r="F44" s="8"/>
      <c r="G44" s="8"/>
      <c r="H44" s="8"/>
      <c r="I44" s="8"/>
      <c r="J44" s="8"/>
      <c r="K44" s="8"/>
      <c r="L44" s="8"/>
      <c r="M44" s="8"/>
    </row>
    <row r="45" spans="1:13" ht="12.75" customHeight="1">
      <c r="F45" s="8"/>
      <c r="G45" s="8"/>
      <c r="H45" s="8"/>
      <c r="I45" s="8"/>
      <c r="J45" s="8"/>
      <c r="K45" s="8"/>
      <c r="L45" s="8"/>
      <c r="M45" s="8"/>
    </row>
    <row r="46" spans="1:13" ht="12.75" customHeight="1"/>
    <row r="47" spans="1:13" ht="12.75" customHeight="1"/>
    <row r="48" spans="1:13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</sheetData>
  <phoneticPr fontId="1" type="noConversion"/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5"/>
  <sheetViews>
    <sheetView zoomScaleNormal="100"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2" width="2.7109375" style="2" customWidth="1"/>
    <col min="3" max="3" width="54.7109375" style="2" customWidth="1"/>
    <col min="4" max="5" width="9.7109375" style="8" customWidth="1"/>
    <col min="6" max="6" width="9.7109375" style="104" customWidth="1"/>
    <col min="7" max="7" width="9.7109375" style="2" customWidth="1"/>
    <col min="8" max="13" width="9.7109375" style="104" customWidth="1"/>
    <col min="14" max="16384" width="9.140625" style="104"/>
  </cols>
  <sheetData>
    <row r="1" spans="1:13" ht="58.5" customHeight="1">
      <c r="A1" s="67"/>
      <c r="B1" s="67"/>
      <c r="C1" s="67"/>
      <c r="D1" s="68"/>
      <c r="E1" s="68"/>
      <c r="F1" s="116"/>
      <c r="G1" s="67"/>
      <c r="H1" s="116"/>
      <c r="I1" s="116"/>
      <c r="J1" s="116"/>
      <c r="K1" s="116"/>
      <c r="L1" s="116"/>
      <c r="M1" s="116"/>
    </row>
    <row r="2" spans="1:13" ht="12.75" customHeight="1">
      <c r="A2" s="53" t="s">
        <v>3</v>
      </c>
      <c r="B2" s="53"/>
      <c r="C2" s="53"/>
      <c r="D2" s="54"/>
      <c r="E2" s="54"/>
      <c r="F2" s="70"/>
      <c r="G2" s="53"/>
      <c r="H2" s="70"/>
      <c r="I2" s="70"/>
      <c r="J2" s="70"/>
      <c r="K2" s="70"/>
      <c r="L2" s="70"/>
      <c r="M2" s="70"/>
    </row>
    <row r="3" spans="1:13" ht="12.75" customHeight="1">
      <c r="A3" s="13" t="s">
        <v>22</v>
      </c>
      <c r="B3" s="14"/>
      <c r="C3" s="14"/>
      <c r="D3" s="81" t="s">
        <v>63</v>
      </c>
      <c r="E3" s="81"/>
      <c r="F3" s="83"/>
      <c r="G3" s="84" t="s">
        <v>64</v>
      </c>
      <c r="H3" s="85"/>
      <c r="I3" s="86"/>
      <c r="J3" s="85"/>
      <c r="K3" s="85"/>
      <c r="L3" s="85"/>
      <c r="M3" s="85"/>
    </row>
    <row r="4" spans="1:13" ht="12.75" customHeight="1">
      <c r="A4" s="13"/>
      <c r="B4" s="14"/>
      <c r="C4" s="14"/>
      <c r="D4" s="72"/>
      <c r="E4" s="72"/>
      <c r="F4" s="71"/>
      <c r="G4" s="71"/>
      <c r="H4" s="71"/>
      <c r="I4" s="71"/>
      <c r="J4" s="71"/>
      <c r="K4" s="71"/>
      <c r="L4" s="71"/>
      <c r="M4" s="71"/>
    </row>
    <row r="5" spans="1:13" ht="12.75" customHeight="1">
      <c r="A5" s="73" t="s">
        <v>20</v>
      </c>
      <c r="B5" s="74"/>
      <c r="C5" s="75"/>
      <c r="D5" s="87">
        <f>'Income Statement'!D5</f>
        <v>2009</v>
      </c>
      <c r="E5" s="87">
        <f>'Income Statement'!E5</f>
        <v>2010</v>
      </c>
      <c r="F5" s="87">
        <f>'Income Statement'!F5</f>
        <v>2011</v>
      </c>
      <c r="G5" s="88">
        <f>'Income Statement'!G5</f>
        <v>2012</v>
      </c>
      <c r="H5" s="88">
        <f>'Income Statement'!H5</f>
        <v>2013</v>
      </c>
      <c r="I5" s="88">
        <f>'Income Statement'!I5</f>
        <v>2014</v>
      </c>
      <c r="J5" s="88">
        <f>'Income Statement'!J5</f>
        <v>2015</v>
      </c>
      <c r="K5" s="88">
        <f>'Income Statement'!K5</f>
        <v>2016</v>
      </c>
      <c r="L5" s="88">
        <f>'Income Statement'!L5</f>
        <v>2017</v>
      </c>
      <c r="M5" s="88">
        <f>'Income Statement'!M5</f>
        <v>2018</v>
      </c>
    </row>
    <row r="6" spans="1:13" s="2" customFormat="1" ht="12.75" customHeight="1">
      <c r="A6" s="28"/>
      <c r="B6" s="28" t="str">
        <f>"Property, plant &amp; equipment on Jan 1 "&amp;G5</f>
        <v>Property, plant &amp; equipment on Jan 1 2012</v>
      </c>
      <c r="C6" s="65"/>
      <c r="D6" s="65"/>
      <c r="E6" s="59"/>
      <c r="F6" s="59"/>
      <c r="G6" s="172">
        <f>'Balance Sheet'!F14</f>
        <v>5275</v>
      </c>
      <c r="H6" s="59"/>
      <c r="I6" s="59"/>
      <c r="J6" s="59"/>
      <c r="K6" s="59"/>
      <c r="L6" s="59"/>
      <c r="M6" s="59"/>
    </row>
    <row r="7" spans="1:13" s="2" customFormat="1" ht="12.75" customHeight="1">
      <c r="A7" s="28"/>
      <c r="B7" s="28" t="s">
        <v>164</v>
      </c>
      <c r="C7" s="28"/>
      <c r="D7" s="33"/>
      <c r="E7" s="33"/>
      <c r="F7" s="33"/>
      <c r="G7" s="33">
        <v>1000</v>
      </c>
      <c r="H7" s="33">
        <v>500</v>
      </c>
      <c r="I7" s="33">
        <v>750</v>
      </c>
      <c r="J7" s="33">
        <v>1000</v>
      </c>
      <c r="K7" s="33">
        <v>500</v>
      </c>
      <c r="L7" s="33">
        <v>750</v>
      </c>
      <c r="M7" s="33">
        <v>1000</v>
      </c>
    </row>
    <row r="8" spans="1:13" s="2" customFormat="1" ht="21" customHeight="1">
      <c r="A8" s="28" t="s">
        <v>118</v>
      </c>
      <c r="C8" s="28"/>
      <c r="D8" s="29"/>
      <c r="E8" s="29"/>
      <c r="F8" s="29"/>
      <c r="G8" s="30"/>
      <c r="H8" s="30"/>
      <c r="I8" s="30"/>
      <c r="J8" s="30"/>
      <c r="K8" s="30"/>
      <c r="L8" s="30"/>
      <c r="M8" s="30"/>
    </row>
    <row r="9" spans="1:13" s="2" customFormat="1" ht="12.75" customHeight="1">
      <c r="A9" s="28"/>
      <c r="B9" s="28" t="s">
        <v>11</v>
      </c>
      <c r="C9" s="28"/>
      <c r="D9" s="32"/>
      <c r="E9" s="32"/>
      <c r="F9" s="32"/>
      <c r="G9" s="32">
        <v>10</v>
      </c>
      <c r="H9" s="32">
        <v>10</v>
      </c>
      <c r="I9" s="32">
        <v>10</v>
      </c>
      <c r="J9" s="32">
        <v>10</v>
      </c>
      <c r="K9" s="32">
        <v>10</v>
      </c>
      <c r="L9" s="32">
        <v>10</v>
      </c>
      <c r="M9" s="32">
        <v>10</v>
      </c>
    </row>
    <row r="10" spans="1:13" s="2" customFormat="1" ht="12.75" customHeight="1">
      <c r="A10" s="28"/>
      <c r="C10" s="161" t="s">
        <v>13</v>
      </c>
      <c r="D10" s="44"/>
      <c r="E10" s="44"/>
      <c r="F10" s="44"/>
      <c r="G10" s="44">
        <f>$G$6/$G$9</f>
        <v>527.5</v>
      </c>
      <c r="H10" s="44">
        <f t="shared" ref="H10:M10" si="0">$G$6/$G$9</f>
        <v>527.5</v>
      </c>
      <c r="I10" s="44">
        <f t="shared" si="0"/>
        <v>527.5</v>
      </c>
      <c r="J10" s="44">
        <f t="shared" si="0"/>
        <v>527.5</v>
      </c>
      <c r="K10" s="44">
        <f t="shared" si="0"/>
        <v>527.5</v>
      </c>
      <c r="L10" s="44">
        <f t="shared" si="0"/>
        <v>527.5</v>
      </c>
      <c r="M10" s="44">
        <f t="shared" si="0"/>
        <v>527.5</v>
      </c>
    </row>
    <row r="11" spans="1:13" s="2" customFormat="1" ht="12.75" customHeight="1">
      <c r="C11" s="47" t="str">
        <f>G$5&amp;" CAPEX"</f>
        <v>2012 CAPEX</v>
      </c>
      <c r="D11" s="35"/>
      <c r="E11" s="36"/>
      <c r="F11" s="36"/>
      <c r="G11" s="36">
        <f>$G$7/$G$9</f>
        <v>100</v>
      </c>
      <c r="H11" s="36">
        <f t="shared" ref="H11:M11" si="1">$G$7/$G$9</f>
        <v>100</v>
      </c>
      <c r="I11" s="36">
        <f t="shared" si="1"/>
        <v>100</v>
      </c>
      <c r="J11" s="36">
        <f t="shared" si="1"/>
        <v>100</v>
      </c>
      <c r="K11" s="36">
        <f t="shared" si="1"/>
        <v>100</v>
      </c>
      <c r="L11" s="36">
        <f t="shared" si="1"/>
        <v>100</v>
      </c>
      <c r="M11" s="36">
        <f t="shared" si="1"/>
        <v>100</v>
      </c>
    </row>
    <row r="12" spans="1:13" s="2" customFormat="1" ht="12.75" customHeight="1">
      <c r="C12" s="47" t="str">
        <f>H$5&amp;" CAPEX"</f>
        <v>2013 CAPEX</v>
      </c>
      <c r="D12" s="35"/>
      <c r="E12" s="36"/>
      <c r="F12" s="36"/>
      <c r="G12" s="36"/>
      <c r="H12" s="36">
        <f t="shared" ref="H12:M12" si="2">$H$7/$H$9</f>
        <v>50</v>
      </c>
      <c r="I12" s="36">
        <f t="shared" si="2"/>
        <v>50</v>
      </c>
      <c r="J12" s="36">
        <f t="shared" si="2"/>
        <v>50</v>
      </c>
      <c r="K12" s="36">
        <f t="shared" si="2"/>
        <v>50</v>
      </c>
      <c r="L12" s="36">
        <f t="shared" si="2"/>
        <v>50</v>
      </c>
      <c r="M12" s="36">
        <f t="shared" si="2"/>
        <v>50</v>
      </c>
    </row>
    <row r="13" spans="1:13" s="2" customFormat="1" ht="12.75" customHeight="1">
      <c r="A13" s="1"/>
      <c r="C13" s="47" t="str">
        <f>I$5&amp;" CAPEX"</f>
        <v>2014 CAPEX</v>
      </c>
      <c r="D13" s="37"/>
      <c r="E13" s="37"/>
      <c r="F13" s="37"/>
      <c r="G13" s="37"/>
      <c r="H13" s="37"/>
      <c r="I13" s="36">
        <f>$I$7/$I$9</f>
        <v>75</v>
      </c>
      <c r="J13" s="36">
        <f>$I$7/$I$9</f>
        <v>75</v>
      </c>
      <c r="K13" s="36">
        <f>$I$7/$I$9</f>
        <v>75</v>
      </c>
      <c r="L13" s="36">
        <f>$I$7/$I$9</f>
        <v>75</v>
      </c>
      <c r="M13" s="36">
        <f>$I$7/$I$9</f>
        <v>75</v>
      </c>
    </row>
    <row r="14" spans="1:13" s="2" customFormat="1" ht="12.75" customHeight="1">
      <c r="A14" s="1"/>
      <c r="C14" s="47" t="str">
        <f>J$5&amp;" CAPEX"</f>
        <v>2015 CAPEX</v>
      </c>
      <c r="D14" s="36"/>
      <c r="E14" s="36"/>
      <c r="F14" s="36"/>
      <c r="G14" s="36"/>
      <c r="H14" s="36"/>
      <c r="I14" s="36"/>
      <c r="J14" s="36">
        <f>$J$7/$J$9</f>
        <v>100</v>
      </c>
      <c r="K14" s="36">
        <f>$J$7/$J$9</f>
        <v>100</v>
      </c>
      <c r="L14" s="36">
        <f>$J$7/$J$9</f>
        <v>100</v>
      </c>
      <c r="M14" s="36">
        <f>$J$7/$J$9</f>
        <v>100</v>
      </c>
    </row>
    <row r="15" spans="1:13" s="2" customFormat="1" ht="12.75" customHeight="1">
      <c r="A15" s="1"/>
      <c r="C15" s="47" t="str">
        <f>K$5&amp;" CAPEX"</f>
        <v>2016 CAPEX</v>
      </c>
      <c r="D15" s="102"/>
      <c r="E15" s="163"/>
      <c r="F15" s="163"/>
      <c r="G15" s="163"/>
      <c r="H15" s="163"/>
      <c r="I15" s="163"/>
      <c r="J15" s="163"/>
      <c r="K15" s="163">
        <f>$K$7/$K$9</f>
        <v>50</v>
      </c>
      <c r="L15" s="163">
        <f>$K$7/$K$9</f>
        <v>50</v>
      </c>
      <c r="M15" s="163">
        <f>$K$7/$K$9</f>
        <v>50</v>
      </c>
    </row>
    <row r="16" spans="1:13" s="2" customFormat="1" ht="12.75" customHeight="1">
      <c r="A16" s="1"/>
      <c r="C16" s="47" t="str">
        <f>L$5&amp;" CAPEX"</f>
        <v>2017 CAPEX</v>
      </c>
      <c r="D16" s="102"/>
      <c r="E16" s="163"/>
      <c r="F16" s="163"/>
      <c r="G16" s="163"/>
      <c r="H16" s="163"/>
      <c r="I16" s="163"/>
      <c r="J16" s="163"/>
      <c r="K16" s="163"/>
      <c r="L16" s="163">
        <f>$L$7/$L$9</f>
        <v>75</v>
      </c>
      <c r="M16" s="163">
        <f>$L$7/$L$9</f>
        <v>75</v>
      </c>
    </row>
    <row r="17" spans="1:19" s="2" customFormat="1" ht="12.75" customHeight="1">
      <c r="A17" s="1"/>
      <c r="C17" s="47" t="str">
        <f>M$5&amp;" CAPEX"</f>
        <v>2018 CAPEX</v>
      </c>
      <c r="D17" s="102"/>
      <c r="E17" s="163"/>
      <c r="F17" s="163"/>
      <c r="G17" s="97"/>
      <c r="H17" s="97"/>
      <c r="I17" s="97"/>
      <c r="J17" s="97"/>
      <c r="K17" s="97"/>
      <c r="L17" s="97"/>
      <c r="M17" s="97">
        <f>$M$7/$M$9</f>
        <v>100</v>
      </c>
    </row>
    <row r="18" spans="1:19" s="2" customFormat="1" ht="12.75" customHeight="1">
      <c r="A18" s="1"/>
      <c r="B18" s="1" t="s">
        <v>119</v>
      </c>
      <c r="C18" s="1"/>
      <c r="D18" s="19"/>
      <c r="E18" s="19"/>
      <c r="F18" s="19"/>
      <c r="G18" s="19">
        <f t="shared" ref="G18:L18" si="3">SUM(G10:G17)</f>
        <v>627.5</v>
      </c>
      <c r="H18" s="19">
        <f t="shared" si="3"/>
        <v>677.5</v>
      </c>
      <c r="I18" s="19">
        <f t="shared" si="3"/>
        <v>752.5</v>
      </c>
      <c r="J18" s="19">
        <f t="shared" si="3"/>
        <v>852.5</v>
      </c>
      <c r="K18" s="19">
        <f t="shared" si="3"/>
        <v>902.5</v>
      </c>
      <c r="L18" s="19">
        <f t="shared" si="3"/>
        <v>977.5</v>
      </c>
      <c r="M18" s="19">
        <f>SUM(M10:M17)</f>
        <v>1077.5</v>
      </c>
    </row>
    <row r="19" spans="1:19" s="2" customFormat="1" ht="21" customHeight="1">
      <c r="A19" s="28" t="s">
        <v>120</v>
      </c>
      <c r="C19" s="28"/>
      <c r="D19" s="29"/>
      <c r="E19" s="29"/>
      <c r="F19" s="29"/>
      <c r="G19" s="30"/>
      <c r="H19" s="30"/>
      <c r="I19" s="30"/>
      <c r="J19" s="30"/>
      <c r="K19" s="30"/>
      <c r="L19" s="30"/>
      <c r="M19" s="30"/>
    </row>
    <row r="20" spans="1:19" s="2" customFormat="1" ht="12.75" customHeight="1">
      <c r="A20" s="1"/>
      <c r="C20" s="161" t="s">
        <v>13</v>
      </c>
      <c r="D20" s="38"/>
      <c r="E20" s="38"/>
      <c r="F20" s="38"/>
      <c r="G20" s="38">
        <v>0.25</v>
      </c>
      <c r="H20" s="38">
        <v>0.15</v>
      </c>
      <c r="I20" s="38">
        <v>0.1</v>
      </c>
      <c r="J20" s="38">
        <v>0.1</v>
      </c>
      <c r="K20" s="38">
        <v>0.1</v>
      </c>
      <c r="L20" s="38">
        <v>0.05</v>
      </c>
      <c r="M20" s="38">
        <v>0.05</v>
      </c>
    </row>
    <row r="21" spans="1:19" s="2" customFormat="1" ht="12.75" customHeight="1">
      <c r="C21" s="47" t="str">
        <f>G$5&amp;" CAPEX"</f>
        <v>2012 CAPEX</v>
      </c>
      <c r="D21" s="35"/>
      <c r="E21" s="36"/>
      <c r="F21" s="36"/>
      <c r="G21" s="38">
        <v>0.25</v>
      </c>
      <c r="H21" s="38">
        <v>0.15</v>
      </c>
      <c r="I21" s="38">
        <v>0.1</v>
      </c>
      <c r="J21" s="38">
        <v>0.1</v>
      </c>
      <c r="K21" s="38">
        <v>0.1</v>
      </c>
      <c r="L21" s="38">
        <v>0.05</v>
      </c>
      <c r="M21" s="38">
        <v>0.05</v>
      </c>
      <c r="O21" s="164"/>
    </row>
    <row r="22" spans="1:19" s="2" customFormat="1" ht="12.75" customHeight="1">
      <c r="C22" s="47" t="str">
        <f>H$5&amp;" CAPEX"</f>
        <v>2013 CAPEX</v>
      </c>
      <c r="D22" s="35"/>
      <c r="E22" s="36"/>
      <c r="F22" s="36"/>
      <c r="G22" s="36"/>
      <c r="H22" s="38">
        <v>0.25</v>
      </c>
      <c r="I22" s="38">
        <v>0.15</v>
      </c>
      <c r="J22" s="38">
        <v>0.1</v>
      </c>
      <c r="K22" s="38">
        <v>0.1</v>
      </c>
      <c r="L22" s="38">
        <v>0.1</v>
      </c>
      <c r="M22" s="38">
        <v>0.05</v>
      </c>
      <c r="N22" s="38"/>
    </row>
    <row r="23" spans="1:19" s="2" customFormat="1" ht="12.75" customHeight="1">
      <c r="C23" s="47" t="str">
        <f>I$5&amp;" CAPEX"</f>
        <v>2014 CAPEX</v>
      </c>
      <c r="D23" s="37"/>
      <c r="E23" s="37"/>
      <c r="F23" s="37"/>
      <c r="G23" s="37"/>
      <c r="H23" s="37"/>
      <c r="I23" s="38">
        <v>0.25</v>
      </c>
      <c r="J23" s="38">
        <v>0.15</v>
      </c>
      <c r="K23" s="38">
        <v>0.1</v>
      </c>
      <c r="L23" s="38">
        <v>0.1</v>
      </c>
      <c r="M23" s="38">
        <v>0.1</v>
      </c>
      <c r="N23" s="38"/>
      <c r="O23" s="38"/>
    </row>
    <row r="24" spans="1:19" s="2" customFormat="1" ht="12.75" customHeight="1">
      <c r="A24" s="1"/>
      <c r="C24" s="47" t="str">
        <f>J$5&amp;" CAPEX"</f>
        <v>2015 CAPEX</v>
      </c>
      <c r="D24" s="36"/>
      <c r="E24" s="36"/>
      <c r="F24" s="36"/>
      <c r="G24" s="36"/>
      <c r="H24" s="36"/>
      <c r="I24" s="36"/>
      <c r="J24" s="38">
        <v>0.25</v>
      </c>
      <c r="K24" s="38">
        <v>0.15</v>
      </c>
      <c r="L24" s="38">
        <v>0.1</v>
      </c>
      <c r="M24" s="38">
        <v>0.1</v>
      </c>
      <c r="N24" s="38"/>
      <c r="O24" s="38"/>
      <c r="P24" s="38"/>
    </row>
    <row r="25" spans="1:19" s="2" customFormat="1" ht="12.75" customHeight="1">
      <c r="C25" s="47" t="str">
        <f>K$5&amp;" CAPEX"</f>
        <v>2016 CAPEX</v>
      </c>
      <c r="D25" s="35"/>
      <c r="E25" s="36"/>
      <c r="F25" s="36"/>
      <c r="G25" s="36"/>
      <c r="H25" s="36"/>
      <c r="I25" s="36"/>
      <c r="J25" s="36"/>
      <c r="K25" s="38">
        <v>0.25</v>
      </c>
      <c r="L25" s="38">
        <v>0.15</v>
      </c>
      <c r="M25" s="38">
        <v>0.1</v>
      </c>
      <c r="N25" s="38"/>
      <c r="O25" s="38"/>
      <c r="P25" s="38"/>
      <c r="Q25" s="38"/>
    </row>
    <row r="26" spans="1:19" s="2" customFormat="1" ht="12.75" customHeight="1">
      <c r="C26" s="47" t="str">
        <f>L$5&amp;" CAPEX"</f>
        <v>2017 CAPEX</v>
      </c>
      <c r="D26" s="35"/>
      <c r="E26" s="36"/>
      <c r="F26" s="36"/>
      <c r="G26" s="36"/>
      <c r="H26" s="36"/>
      <c r="I26" s="36"/>
      <c r="J26" s="36"/>
      <c r="K26" s="38"/>
      <c r="L26" s="38">
        <v>0.25</v>
      </c>
      <c r="M26" s="38">
        <v>0.15</v>
      </c>
      <c r="N26" s="38"/>
      <c r="O26" s="38"/>
      <c r="P26" s="38"/>
      <c r="Q26" s="38"/>
      <c r="R26" s="38"/>
    </row>
    <row r="27" spans="1:19" s="2" customFormat="1" ht="12.75" customHeight="1">
      <c r="C27" s="47" t="str">
        <f>M$5&amp;" CAPEX"</f>
        <v>2018 CAPEX</v>
      </c>
      <c r="D27" s="35"/>
      <c r="E27" s="36"/>
      <c r="F27" s="36"/>
      <c r="G27" s="36"/>
      <c r="H27" s="36"/>
      <c r="I27" s="36"/>
      <c r="J27" s="36"/>
      <c r="K27" s="38"/>
      <c r="L27" s="38"/>
      <c r="M27" s="38">
        <v>0.25</v>
      </c>
      <c r="N27" s="38"/>
      <c r="O27" s="38"/>
      <c r="P27" s="38"/>
      <c r="Q27" s="38"/>
      <c r="R27" s="38"/>
      <c r="S27" s="38"/>
    </row>
    <row r="28" spans="1:19" s="2" customFormat="1" ht="21" customHeight="1">
      <c r="A28" s="28" t="s">
        <v>121</v>
      </c>
      <c r="C28" s="162"/>
      <c r="D28" s="29"/>
      <c r="E28" s="29"/>
      <c r="F28" s="29"/>
      <c r="G28" s="30"/>
      <c r="H28" s="30"/>
      <c r="I28" s="30"/>
      <c r="J28" s="30"/>
      <c r="K28" s="30"/>
      <c r="L28" s="30"/>
      <c r="M28" s="30"/>
    </row>
    <row r="29" spans="1:19" s="2" customFormat="1" ht="12.75" customHeight="1">
      <c r="A29" s="1"/>
      <c r="C29" s="161" t="s">
        <v>13</v>
      </c>
      <c r="D29" s="45"/>
      <c r="E29" s="45"/>
      <c r="F29" s="45"/>
      <c r="G29" s="45">
        <f>$G$6*G20</f>
        <v>1318.75</v>
      </c>
      <c r="H29" s="45">
        <f t="shared" ref="H29:M29" si="4">$G$6*H20</f>
        <v>791.25</v>
      </c>
      <c r="I29" s="45">
        <f t="shared" si="4"/>
        <v>527.5</v>
      </c>
      <c r="J29" s="45">
        <f t="shared" si="4"/>
        <v>527.5</v>
      </c>
      <c r="K29" s="45">
        <f t="shared" si="4"/>
        <v>527.5</v>
      </c>
      <c r="L29" s="45">
        <f t="shared" si="4"/>
        <v>263.75</v>
      </c>
      <c r="M29" s="45">
        <f t="shared" si="4"/>
        <v>263.75</v>
      </c>
    </row>
    <row r="30" spans="1:19" s="2" customFormat="1" ht="12.75" customHeight="1">
      <c r="C30" s="47" t="str">
        <f>G$5&amp;" CAPEX"</f>
        <v>2012 CAPEX</v>
      </c>
      <c r="D30" s="35"/>
      <c r="E30" s="36"/>
      <c r="F30" s="36"/>
      <c r="G30" s="36">
        <f>$G$7*G21</f>
        <v>250</v>
      </c>
      <c r="H30" s="36">
        <f t="shared" ref="H30:M30" si="5">$G$7*H21</f>
        <v>150</v>
      </c>
      <c r="I30" s="36">
        <f t="shared" si="5"/>
        <v>100</v>
      </c>
      <c r="J30" s="36">
        <f t="shared" si="5"/>
        <v>100</v>
      </c>
      <c r="K30" s="36">
        <f t="shared" si="5"/>
        <v>100</v>
      </c>
      <c r="L30" s="36">
        <f t="shared" si="5"/>
        <v>50</v>
      </c>
      <c r="M30" s="36">
        <f t="shared" si="5"/>
        <v>50</v>
      </c>
    </row>
    <row r="31" spans="1:19" s="2" customFormat="1" ht="12.75" customHeight="1">
      <c r="C31" s="47" t="str">
        <f>H$5&amp;" CAPEX"</f>
        <v>2013 CAPEX</v>
      </c>
      <c r="D31" s="35"/>
      <c r="E31" s="36"/>
      <c r="F31" s="36"/>
      <c r="G31" s="36"/>
      <c r="H31" s="36">
        <f t="shared" ref="H31:M31" si="6">$H$7*H22</f>
        <v>125</v>
      </c>
      <c r="I31" s="36">
        <f t="shared" si="6"/>
        <v>75</v>
      </c>
      <c r="J31" s="36">
        <f t="shared" si="6"/>
        <v>50</v>
      </c>
      <c r="K31" s="36">
        <f t="shared" si="6"/>
        <v>50</v>
      </c>
      <c r="L31" s="36">
        <f t="shared" si="6"/>
        <v>50</v>
      </c>
      <c r="M31" s="36">
        <f t="shared" si="6"/>
        <v>25</v>
      </c>
    </row>
    <row r="32" spans="1:19" s="2" customFormat="1" ht="12.75" customHeight="1">
      <c r="C32" s="47" t="str">
        <f>I$5&amp;" CAPEX"</f>
        <v>2014 CAPEX</v>
      </c>
      <c r="D32" s="37"/>
      <c r="E32" s="37"/>
      <c r="F32" s="37"/>
      <c r="G32" s="37"/>
      <c r="H32" s="37"/>
      <c r="I32" s="36">
        <f>$I$7*I23</f>
        <v>187.5</v>
      </c>
      <c r="J32" s="36">
        <f>$I$7*J23</f>
        <v>112.5</v>
      </c>
      <c r="K32" s="36">
        <f>$I$7*K23</f>
        <v>75</v>
      </c>
      <c r="L32" s="36">
        <f>$I$7*L23</f>
        <v>75</v>
      </c>
      <c r="M32" s="36">
        <f>$I$7*M23</f>
        <v>75</v>
      </c>
    </row>
    <row r="33" spans="1:13" s="2" customFormat="1" ht="12.75" customHeight="1">
      <c r="A33" s="1"/>
      <c r="C33" s="47" t="str">
        <f>J$5&amp;" CAPEX"</f>
        <v>2015 CAPEX</v>
      </c>
      <c r="D33" s="36"/>
      <c r="E33" s="36"/>
      <c r="F33" s="36"/>
      <c r="G33" s="36"/>
      <c r="H33" s="36"/>
      <c r="I33" s="36"/>
      <c r="J33" s="36">
        <f>$J$7*J24</f>
        <v>250</v>
      </c>
      <c r="K33" s="36">
        <f>$J$7*K24</f>
        <v>150</v>
      </c>
      <c r="L33" s="36">
        <f>$J$7*L24</f>
        <v>100</v>
      </c>
      <c r="M33" s="36">
        <f>$J$7*M24</f>
        <v>100</v>
      </c>
    </row>
    <row r="34" spans="1:13" s="2" customFormat="1" ht="12.75" customHeight="1">
      <c r="C34" s="47" t="str">
        <f>K$5&amp;" CAPEX"</f>
        <v>2016 CAPEX</v>
      </c>
      <c r="D34" s="102"/>
      <c r="E34" s="163"/>
      <c r="F34" s="163"/>
      <c r="G34" s="163"/>
      <c r="H34" s="163"/>
      <c r="I34" s="163"/>
      <c r="J34" s="163"/>
      <c r="K34" s="163">
        <f>$K$7*K25</f>
        <v>125</v>
      </c>
      <c r="L34" s="163">
        <f>$K$7*L25</f>
        <v>75</v>
      </c>
      <c r="M34" s="163">
        <f>$K$7*M25</f>
        <v>50</v>
      </c>
    </row>
    <row r="35" spans="1:13" s="2" customFormat="1" ht="12.75" customHeight="1">
      <c r="C35" s="47" t="str">
        <f>L$5&amp;" CAPEX"</f>
        <v>2017 CAPEX</v>
      </c>
      <c r="D35" s="102"/>
      <c r="E35" s="163"/>
      <c r="F35" s="163"/>
      <c r="G35" s="163"/>
      <c r="H35" s="163"/>
      <c r="I35" s="163"/>
      <c r="J35" s="163"/>
      <c r="K35" s="163"/>
      <c r="L35" s="163">
        <f>$L$7*L26</f>
        <v>187.5</v>
      </c>
      <c r="M35" s="163">
        <f>$L$7*M26</f>
        <v>112.5</v>
      </c>
    </row>
    <row r="36" spans="1:13" s="2" customFormat="1" ht="12.75" customHeight="1">
      <c r="C36" s="47" t="str">
        <f>M$5&amp;" CAPEX"</f>
        <v>2018 CAPEX</v>
      </c>
      <c r="D36" s="102"/>
      <c r="E36" s="163"/>
      <c r="F36" s="163"/>
      <c r="G36" s="97"/>
      <c r="H36" s="97"/>
      <c r="I36" s="97"/>
      <c r="J36" s="97"/>
      <c r="K36" s="97"/>
      <c r="L36" s="97"/>
      <c r="M36" s="97">
        <f>$M$7*M27</f>
        <v>250</v>
      </c>
    </row>
    <row r="37" spans="1:13" s="2" customFormat="1" ht="12.75" customHeight="1">
      <c r="A37" s="1"/>
      <c r="B37" s="1" t="s">
        <v>122</v>
      </c>
      <c r="C37" s="1"/>
      <c r="D37" s="19"/>
      <c r="E37" s="19"/>
      <c r="F37" s="19"/>
      <c r="G37" s="19">
        <f t="shared" ref="G37:L37" si="7">SUM(G29:G36)</f>
        <v>1568.75</v>
      </c>
      <c r="H37" s="19">
        <f t="shared" si="7"/>
        <v>1066.25</v>
      </c>
      <c r="I37" s="19">
        <f t="shared" si="7"/>
        <v>890</v>
      </c>
      <c r="J37" s="19">
        <f t="shared" si="7"/>
        <v>1040</v>
      </c>
      <c r="K37" s="19">
        <f t="shared" si="7"/>
        <v>1027.5</v>
      </c>
      <c r="L37" s="19">
        <f t="shared" si="7"/>
        <v>801.25</v>
      </c>
      <c r="M37" s="19">
        <f>SUM(M29:M36)</f>
        <v>926.25</v>
      </c>
    </row>
    <row r="38" spans="1:13" s="2" customFormat="1" ht="12.75" customHeight="1">
      <c r="A38" s="1"/>
      <c r="B38" s="2" t="s">
        <v>123</v>
      </c>
      <c r="D38" s="42"/>
      <c r="E38" s="42"/>
      <c r="F38" s="42"/>
      <c r="G38" s="42">
        <f>G37-G18</f>
        <v>941.25</v>
      </c>
      <c r="H38" s="42">
        <f t="shared" ref="H38:M38" si="8">H37-H18</f>
        <v>388.75</v>
      </c>
      <c r="I38" s="42">
        <f t="shared" si="8"/>
        <v>137.5</v>
      </c>
      <c r="J38" s="42">
        <f t="shared" si="8"/>
        <v>187.5</v>
      </c>
      <c r="K38" s="42">
        <f t="shared" si="8"/>
        <v>125</v>
      </c>
      <c r="L38" s="42">
        <f t="shared" si="8"/>
        <v>-176.25</v>
      </c>
      <c r="M38" s="42">
        <f t="shared" si="8"/>
        <v>-151.25</v>
      </c>
    </row>
    <row r="39" spans="1:13" s="25" customFormat="1" ht="12.75" customHeight="1">
      <c r="C39" s="41" t="s">
        <v>124</v>
      </c>
      <c r="D39" s="118"/>
      <c r="E39" s="118"/>
      <c r="F39" s="118"/>
      <c r="G39" s="118">
        <f>'Income Statement'!G39</f>
        <v>0.34866895625947941</v>
      </c>
      <c r="H39" s="118">
        <f>'Income Statement'!H39</f>
        <v>0.34866895625947941</v>
      </c>
      <c r="I39" s="118">
        <f>'Income Statement'!I39</f>
        <v>0.34866895625947941</v>
      </c>
      <c r="J39" s="118">
        <f>'Income Statement'!J39</f>
        <v>0.34866895625947941</v>
      </c>
      <c r="K39" s="118">
        <f>'Income Statement'!K39</f>
        <v>0.34866895625947941</v>
      </c>
      <c r="L39" s="118">
        <f>'Income Statement'!L39</f>
        <v>0.34866895625947941</v>
      </c>
      <c r="M39" s="118">
        <f>'Income Statement'!M39</f>
        <v>0.34866895625947941</v>
      </c>
    </row>
    <row r="40" spans="1:13" s="119" customFormat="1" ht="12.75" customHeight="1">
      <c r="A40" s="60"/>
      <c r="B40" s="61" t="s">
        <v>125</v>
      </c>
      <c r="C40" s="61"/>
      <c r="D40" s="62"/>
      <c r="E40" s="62"/>
      <c r="F40" s="62"/>
      <c r="G40" s="62">
        <f>G39*G38</f>
        <v>328.18465507923497</v>
      </c>
      <c r="H40" s="62">
        <f t="shared" ref="H40:M40" si="9">H39*H38</f>
        <v>135.54505674587261</v>
      </c>
      <c r="I40" s="62">
        <f t="shared" si="9"/>
        <v>47.941981485678419</v>
      </c>
      <c r="J40" s="62">
        <f t="shared" si="9"/>
        <v>65.375429298652392</v>
      </c>
      <c r="K40" s="62">
        <f t="shared" si="9"/>
        <v>43.583619532434923</v>
      </c>
      <c r="L40" s="62">
        <f t="shared" si="9"/>
        <v>-61.452903540733246</v>
      </c>
      <c r="M40" s="62">
        <f t="shared" si="9"/>
        <v>-52.736179634246263</v>
      </c>
    </row>
    <row r="41" spans="1:13" s="25" customFormat="1" ht="12"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spans="1:13" s="25" customFormat="1" ht="12"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spans="1:13" ht="20.100000000000001" customHeight="1"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1:13" ht="20.100000000000001" customHeight="1">
      <c r="F44" s="8"/>
      <c r="G44" s="8"/>
      <c r="H44" s="8"/>
      <c r="I44" s="8"/>
      <c r="J44" s="8"/>
      <c r="K44" s="8"/>
      <c r="L44" s="8"/>
      <c r="M44" s="8"/>
    </row>
    <row r="45" spans="1:13" ht="20.100000000000001" customHeight="1">
      <c r="F45" s="8"/>
      <c r="G45" s="8"/>
      <c r="H45" s="8"/>
      <c r="I45" s="8"/>
      <c r="J45" s="8"/>
      <c r="K45" s="8"/>
      <c r="L45" s="8"/>
      <c r="M45" s="8"/>
    </row>
  </sheetData>
  <phoneticPr fontId="1" type="noConversion"/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4"/>
  <sheetViews>
    <sheetView zoomScaleNormal="100"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2" width="2.7109375" style="2" customWidth="1"/>
    <col min="3" max="3" width="54.7109375" style="2" customWidth="1"/>
    <col min="4" max="5" width="9.7109375" style="8" customWidth="1"/>
    <col min="6" max="6" width="9.7109375" style="104" customWidth="1"/>
    <col min="7" max="7" width="9.7109375" style="2" customWidth="1"/>
    <col min="8" max="13" width="9.7109375" style="104" customWidth="1"/>
    <col min="14" max="16384" width="9.140625" style="104"/>
  </cols>
  <sheetData>
    <row r="1" spans="1:14" ht="59.25" customHeight="1">
      <c r="A1" s="67"/>
      <c r="B1" s="67"/>
      <c r="C1" s="67"/>
      <c r="D1" s="68"/>
      <c r="E1" s="68"/>
      <c r="F1" s="116"/>
      <c r="G1" s="67"/>
      <c r="H1" s="116"/>
      <c r="I1" s="116"/>
      <c r="J1" s="116"/>
      <c r="K1" s="116"/>
      <c r="L1" s="116"/>
      <c r="M1" s="116"/>
    </row>
    <row r="2" spans="1:14" ht="12.75" customHeight="1">
      <c r="A2" s="53" t="s">
        <v>19</v>
      </c>
      <c r="B2" s="53"/>
      <c r="C2" s="53"/>
      <c r="D2" s="54"/>
      <c r="E2" s="54"/>
      <c r="F2" s="70"/>
      <c r="G2" s="53"/>
      <c r="H2" s="70"/>
      <c r="I2" s="70"/>
      <c r="J2" s="70"/>
      <c r="K2" s="70"/>
      <c r="L2" s="70"/>
      <c r="M2" s="70"/>
    </row>
    <row r="3" spans="1:14" ht="12.75" customHeight="1">
      <c r="A3" s="13" t="s">
        <v>22</v>
      </c>
      <c r="B3" s="14"/>
      <c r="C3" s="14"/>
      <c r="D3" s="81" t="s">
        <v>63</v>
      </c>
      <c r="E3" s="81"/>
      <c r="F3" s="83"/>
      <c r="G3" s="84" t="s">
        <v>64</v>
      </c>
      <c r="H3" s="85"/>
      <c r="I3" s="86"/>
      <c r="J3" s="85"/>
      <c r="K3" s="85"/>
      <c r="L3" s="85"/>
      <c r="M3" s="85"/>
    </row>
    <row r="4" spans="1:14" ht="12.75" customHeight="1">
      <c r="A4" s="13"/>
      <c r="B4" s="14"/>
      <c r="C4" s="14"/>
      <c r="D4" s="72"/>
      <c r="E4" s="72"/>
      <c r="F4" s="71"/>
      <c r="G4" s="71"/>
      <c r="H4" s="71"/>
      <c r="I4" s="71"/>
      <c r="J4" s="71"/>
      <c r="K4" s="71"/>
      <c r="L4" s="71"/>
      <c r="M4" s="71"/>
    </row>
    <row r="5" spans="1:14" ht="12.75" customHeight="1">
      <c r="A5" s="73" t="s">
        <v>21</v>
      </c>
      <c r="B5" s="74"/>
      <c r="C5" s="74"/>
      <c r="D5" s="87">
        <f>'Income Statement'!D5</f>
        <v>2009</v>
      </c>
      <c r="E5" s="87">
        <f>'Income Statement'!E5</f>
        <v>2010</v>
      </c>
      <c r="F5" s="87">
        <f>'Income Statement'!F5</f>
        <v>2011</v>
      </c>
      <c r="G5" s="88">
        <f>'Income Statement'!G5</f>
        <v>2012</v>
      </c>
      <c r="H5" s="88">
        <f>'Income Statement'!H5</f>
        <v>2013</v>
      </c>
      <c r="I5" s="88">
        <f>'Income Statement'!I5</f>
        <v>2014</v>
      </c>
      <c r="J5" s="88">
        <f>'Income Statement'!J5</f>
        <v>2015</v>
      </c>
      <c r="K5" s="88">
        <f>'Income Statement'!K5</f>
        <v>2016</v>
      </c>
      <c r="L5" s="88">
        <f>'Income Statement'!L5</f>
        <v>2017</v>
      </c>
      <c r="M5" s="88">
        <f>'Income Statement'!M5</f>
        <v>2018</v>
      </c>
    </row>
    <row r="6" spans="1:14" s="2" customFormat="1" ht="21" customHeight="1">
      <c r="A6" s="28" t="s">
        <v>126</v>
      </c>
      <c r="B6" s="28"/>
      <c r="C6" s="28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4" s="2" customFormat="1" ht="12.75" customHeight="1">
      <c r="A7" s="28"/>
      <c r="B7" s="2" t="s">
        <v>127</v>
      </c>
      <c r="D7" s="153">
        <v>1200</v>
      </c>
      <c r="E7" s="153">
        <v>1350</v>
      </c>
      <c r="F7" s="153">
        <v>1500</v>
      </c>
      <c r="G7" s="45">
        <f>G8/360*'Income Statement'!G11</f>
        <v>1663.75</v>
      </c>
      <c r="H7" s="45">
        <f>H8/360*'Income Statement'!H11</f>
        <v>1830.1250000000002</v>
      </c>
      <c r="I7" s="45">
        <f>I8/360*'Income Statement'!I11</f>
        <v>2013.1375000000003</v>
      </c>
      <c r="J7" s="45">
        <f>J8/360*'Income Statement'!J11</f>
        <v>2214.4512500000005</v>
      </c>
      <c r="K7" s="45">
        <f>K8/360*'Income Statement'!K11</f>
        <v>2435.8963750000007</v>
      </c>
      <c r="L7" s="45">
        <f>L8/360*'Income Statement'!L11</f>
        <v>2679.4860125000009</v>
      </c>
      <c r="M7" s="45">
        <f>M8/360*'Income Statement'!M11</f>
        <v>2947.4346137500011</v>
      </c>
    </row>
    <row r="8" spans="1:14" s="2" customFormat="1" ht="12.75" customHeight="1">
      <c r="A8" s="28"/>
      <c r="C8" s="98" t="s">
        <v>128</v>
      </c>
      <c r="D8" s="57"/>
      <c r="E8" s="57">
        <f>AVERAGE(E7,D7)/'Income Statement'!E11*360</f>
        <v>41.727272727272727</v>
      </c>
      <c r="F8" s="57">
        <f>AVERAGE(F7,E7)/'Income Statement'!F11*360</f>
        <v>42.396694214876035</v>
      </c>
      <c r="G8" s="58">
        <v>45</v>
      </c>
      <c r="H8" s="58">
        <v>45</v>
      </c>
      <c r="I8" s="58">
        <v>45</v>
      </c>
      <c r="J8" s="58">
        <v>45</v>
      </c>
      <c r="K8" s="58">
        <v>45</v>
      </c>
      <c r="L8" s="58">
        <v>45</v>
      </c>
      <c r="M8" s="58">
        <v>45</v>
      </c>
      <c r="N8" s="6"/>
    </row>
    <row r="9" spans="1:14" s="2" customFormat="1" ht="12.75" customHeight="1">
      <c r="A9" s="28"/>
      <c r="B9" s="2" t="s">
        <v>7</v>
      </c>
      <c r="D9" s="49">
        <v>269</v>
      </c>
      <c r="E9" s="49">
        <v>274</v>
      </c>
      <c r="F9" s="49">
        <v>293</v>
      </c>
      <c r="G9" s="45">
        <f>G10/360*'Income Statement'!G14</f>
        <v>323.50694444444446</v>
      </c>
      <c r="H9" s="45">
        <f>H10/360*'Income Statement'!H14</f>
        <v>355.85763888888891</v>
      </c>
      <c r="I9" s="45">
        <f>I10/360*'Income Statement'!I14</f>
        <v>391.44340277777786</v>
      </c>
      <c r="J9" s="45">
        <f>J10/360*'Income Statement'!J14</f>
        <v>430.58774305555568</v>
      </c>
      <c r="K9" s="45">
        <f>K10/360*'Income Statement'!K14</f>
        <v>473.64651736111125</v>
      </c>
      <c r="L9" s="45">
        <f>L10/360*'Income Statement'!L14</f>
        <v>521.01116909722236</v>
      </c>
      <c r="M9" s="45">
        <f>M10/360*'Income Statement'!M14</f>
        <v>573.11228600694471</v>
      </c>
    </row>
    <row r="10" spans="1:14" s="2" customFormat="1" ht="12.75" customHeight="1">
      <c r="A10" s="28"/>
      <c r="C10" s="98" t="s">
        <v>129</v>
      </c>
      <c r="D10" s="57"/>
      <c r="E10" s="57">
        <f>AVERAGE(E9,D9)/'Income Statement'!E14*360</f>
        <v>35.541818181818186</v>
      </c>
      <c r="F10" s="57">
        <f>AVERAGE(F9,E9)/'Income Statement'!F14*360</f>
        <v>33.738842975206609</v>
      </c>
      <c r="G10" s="58">
        <v>35</v>
      </c>
      <c r="H10" s="58">
        <v>35</v>
      </c>
      <c r="I10" s="58">
        <v>35</v>
      </c>
      <c r="J10" s="58">
        <v>35</v>
      </c>
      <c r="K10" s="58">
        <v>35</v>
      </c>
      <c r="L10" s="58">
        <v>35</v>
      </c>
      <c r="M10" s="58">
        <v>35</v>
      </c>
    </row>
    <row r="11" spans="1:14" s="2" customFormat="1" ht="12.75" customHeight="1">
      <c r="A11" s="28"/>
      <c r="B11" s="47" t="s">
        <v>52</v>
      </c>
      <c r="C11" s="48"/>
      <c r="D11" s="102">
        <v>120</v>
      </c>
      <c r="E11" s="102">
        <v>129</v>
      </c>
      <c r="F11" s="102">
        <v>129</v>
      </c>
      <c r="G11" s="45">
        <f>G12/360*'Income Statement'!G21</f>
        <v>142.08333333333331</v>
      </c>
      <c r="H11" s="45">
        <f>H12/360*'Income Statement'!H21</f>
        <v>156.29166666666666</v>
      </c>
      <c r="I11" s="45">
        <f>I12/360*'Income Statement'!I21</f>
        <v>171.92083333333335</v>
      </c>
      <c r="J11" s="45">
        <f>J12/360*'Income Statement'!J21</f>
        <v>189.11291666666671</v>
      </c>
      <c r="K11" s="45">
        <f>K12/360*'Income Statement'!K21</f>
        <v>208.02420833333338</v>
      </c>
      <c r="L11" s="45">
        <f>L12/360*'Income Statement'!L21</f>
        <v>228.82662916666669</v>
      </c>
      <c r="M11" s="45">
        <f>M12/360*'Income Statement'!M21</f>
        <v>251.70929208333339</v>
      </c>
    </row>
    <row r="12" spans="1:14" s="2" customFormat="1" ht="12.75" customHeight="1">
      <c r="A12" s="28"/>
      <c r="B12" s="47"/>
      <c r="C12" s="98" t="s">
        <v>147</v>
      </c>
      <c r="D12" s="102"/>
      <c r="E12" s="57">
        <f>AVERAGE(E11,D11)/'Income Statement'!E21*360</f>
        <v>32.014285714285712</v>
      </c>
      <c r="F12" s="57">
        <f>AVERAGE(F11,E11)/'Income Statement'!F21*360</f>
        <v>29.961290322580645</v>
      </c>
      <c r="G12" s="58">
        <v>30</v>
      </c>
      <c r="H12" s="58">
        <v>30</v>
      </c>
      <c r="I12" s="58">
        <v>30</v>
      </c>
      <c r="J12" s="58">
        <v>30</v>
      </c>
      <c r="K12" s="58">
        <v>30</v>
      </c>
      <c r="L12" s="58">
        <v>30</v>
      </c>
      <c r="M12" s="58">
        <v>30</v>
      </c>
    </row>
    <row r="13" spans="1:14" s="2" customFormat="1" ht="12.75" customHeight="1">
      <c r="A13" s="28"/>
      <c r="B13" s="47" t="s">
        <v>42</v>
      </c>
      <c r="C13" s="48"/>
      <c r="D13" s="96">
        <v>0</v>
      </c>
      <c r="E13" s="96">
        <v>0</v>
      </c>
      <c r="F13" s="96">
        <v>0</v>
      </c>
      <c r="G13" s="96">
        <f>F13</f>
        <v>0</v>
      </c>
      <c r="H13" s="96">
        <f t="shared" ref="H13:M13" si="0">G13</f>
        <v>0</v>
      </c>
      <c r="I13" s="96">
        <f t="shared" si="0"/>
        <v>0</v>
      </c>
      <c r="J13" s="96">
        <f t="shared" si="0"/>
        <v>0</v>
      </c>
      <c r="K13" s="96">
        <f t="shared" si="0"/>
        <v>0</v>
      </c>
      <c r="L13" s="96">
        <f t="shared" si="0"/>
        <v>0</v>
      </c>
      <c r="M13" s="96">
        <f t="shared" si="0"/>
        <v>0</v>
      </c>
    </row>
    <row r="14" spans="1:14" s="2" customFormat="1" ht="12.75" customHeight="1">
      <c r="A14" s="28"/>
      <c r="B14" s="107" t="s">
        <v>49</v>
      </c>
      <c r="C14" s="48"/>
      <c r="D14" s="152">
        <f t="shared" ref="D14:L14" si="1">D7+D9+D11+D13</f>
        <v>1589</v>
      </c>
      <c r="E14" s="152">
        <f t="shared" si="1"/>
        <v>1753</v>
      </c>
      <c r="F14" s="152">
        <f t="shared" si="1"/>
        <v>1922</v>
      </c>
      <c r="G14" s="152">
        <f t="shared" si="1"/>
        <v>2129.3402777777778</v>
      </c>
      <c r="H14" s="152">
        <f t="shared" si="1"/>
        <v>2342.2743055555557</v>
      </c>
      <c r="I14" s="152">
        <f t="shared" si="1"/>
        <v>2576.5017361111113</v>
      </c>
      <c r="J14" s="152">
        <f t="shared" si="1"/>
        <v>2834.1519097222226</v>
      </c>
      <c r="K14" s="152">
        <f t="shared" si="1"/>
        <v>3117.5671006944453</v>
      </c>
      <c r="L14" s="152">
        <f t="shared" si="1"/>
        <v>3429.3238107638899</v>
      </c>
      <c r="M14" s="152">
        <f>M7+M9+M11+M13</f>
        <v>3772.2561918402794</v>
      </c>
    </row>
    <row r="15" spans="1:14" s="2" customFormat="1" ht="21" customHeight="1">
      <c r="A15" s="28" t="s">
        <v>130</v>
      </c>
      <c r="B15" s="43"/>
      <c r="C15" s="43"/>
      <c r="D15" s="44"/>
      <c r="E15" s="44"/>
      <c r="F15" s="44"/>
      <c r="G15" s="44"/>
      <c r="H15" s="44"/>
      <c r="I15" s="44"/>
      <c r="J15" s="44"/>
      <c r="K15" s="44"/>
      <c r="L15" s="44"/>
      <c r="M15" s="44"/>
    </row>
    <row r="16" spans="1:14" s="2" customFormat="1" ht="12.75" customHeight="1">
      <c r="A16" s="1"/>
      <c r="B16" s="47" t="s">
        <v>43</v>
      </c>
      <c r="C16" s="47"/>
      <c r="D16" s="102">
        <v>140</v>
      </c>
      <c r="E16" s="102">
        <v>141</v>
      </c>
      <c r="F16" s="49">
        <v>143</v>
      </c>
      <c r="G16" s="45">
        <f>G17/360*'Income Statement'!G14</f>
        <v>184.86111111111111</v>
      </c>
      <c r="H16" s="45">
        <f>H17/360*'Income Statement'!H14</f>
        <v>203.34722222222223</v>
      </c>
      <c r="I16" s="45">
        <f>I17/360*'Income Statement'!I14</f>
        <v>223.68194444444447</v>
      </c>
      <c r="J16" s="45">
        <f>J17/360*'Income Statement'!J14</f>
        <v>246.05013888888894</v>
      </c>
      <c r="K16" s="45">
        <f>K17/360*'Income Statement'!K14</f>
        <v>270.65515277777786</v>
      </c>
      <c r="L16" s="45">
        <f>L17/360*'Income Statement'!L14</f>
        <v>297.72066805555562</v>
      </c>
      <c r="M16" s="45">
        <f>M17/360*'Income Statement'!M14</f>
        <v>327.49273486111122</v>
      </c>
    </row>
    <row r="17" spans="1:14" s="2" customFormat="1" ht="12.75" customHeight="1">
      <c r="A17" s="28"/>
      <c r="C17" s="98" t="s">
        <v>131</v>
      </c>
      <c r="D17" s="57"/>
      <c r="E17" s="57">
        <f>AVERAGE(E16,D16)/'Income Statement'!E14*360</f>
        <v>18.392727272727271</v>
      </c>
      <c r="F17" s="57">
        <f>AVERAGE(F16,E16)/'Income Statement'!F14*360</f>
        <v>16.89917355371901</v>
      </c>
      <c r="G17" s="58">
        <v>20</v>
      </c>
      <c r="H17" s="58">
        <v>20</v>
      </c>
      <c r="I17" s="58">
        <v>20</v>
      </c>
      <c r="J17" s="58">
        <v>20</v>
      </c>
      <c r="K17" s="58">
        <v>20</v>
      </c>
      <c r="L17" s="58">
        <v>20</v>
      </c>
      <c r="M17" s="58">
        <v>20</v>
      </c>
      <c r="N17" s="6"/>
    </row>
    <row r="18" spans="1:14" s="2" customFormat="1" ht="12.75" customHeight="1">
      <c r="A18" s="28"/>
      <c r="B18" s="2" t="s">
        <v>60</v>
      </c>
      <c r="C18" s="48"/>
      <c r="D18" s="102">
        <v>165</v>
      </c>
      <c r="E18" s="102">
        <v>168</v>
      </c>
      <c r="F18" s="49">
        <v>175</v>
      </c>
      <c r="G18" s="45">
        <f>G19/360*'Income Statement'!G21</f>
        <v>189.4444444444444</v>
      </c>
      <c r="H18" s="45">
        <f>H19/360*'Income Statement'!H21</f>
        <v>208.38888888888889</v>
      </c>
      <c r="I18" s="45">
        <f>I19/360*'Income Statement'!I21</f>
        <v>229.22777777777779</v>
      </c>
      <c r="J18" s="45">
        <f>J19/360*'Income Statement'!J21</f>
        <v>252.1505555555556</v>
      </c>
      <c r="K18" s="45">
        <f>K19/360*'Income Statement'!K21</f>
        <v>277.36561111111115</v>
      </c>
      <c r="L18" s="45">
        <f>L19/360*'Income Statement'!L21</f>
        <v>305.10217222222224</v>
      </c>
      <c r="M18" s="45">
        <f>M19/360*'Income Statement'!M21</f>
        <v>335.61238944444455</v>
      </c>
      <c r="N18" s="6"/>
    </row>
    <row r="19" spans="1:14" s="2" customFormat="1" ht="12.75" customHeight="1">
      <c r="A19" s="28"/>
      <c r="C19" s="98" t="s">
        <v>131</v>
      </c>
      <c r="D19" s="57"/>
      <c r="E19" s="57">
        <f>AVERAGE(E18,D18)/'Income Statement'!E21*360</f>
        <v>42.81428571428571</v>
      </c>
      <c r="F19" s="57">
        <f>AVERAGE(F18,E18)/'Income Statement'!F21*360</f>
        <v>39.832258064516125</v>
      </c>
      <c r="G19" s="58">
        <v>40</v>
      </c>
      <c r="H19" s="58">
        <v>40</v>
      </c>
      <c r="I19" s="58">
        <v>40</v>
      </c>
      <c r="J19" s="58">
        <v>40</v>
      </c>
      <c r="K19" s="58">
        <v>40</v>
      </c>
      <c r="L19" s="58">
        <v>40</v>
      </c>
      <c r="M19" s="58">
        <v>40</v>
      </c>
      <c r="N19" s="6"/>
    </row>
    <row r="20" spans="1:14" s="2" customFormat="1" ht="12.75" customHeight="1">
      <c r="B20" s="47" t="s">
        <v>44</v>
      </c>
      <c r="C20" s="47"/>
      <c r="D20" s="96">
        <v>0</v>
      </c>
      <c r="E20" s="96">
        <v>0</v>
      </c>
      <c r="F20" s="96">
        <v>0</v>
      </c>
      <c r="G20" s="96">
        <f>F20</f>
        <v>0</v>
      </c>
      <c r="H20" s="96">
        <f t="shared" ref="H20:M20" si="2">G20</f>
        <v>0</v>
      </c>
      <c r="I20" s="96">
        <f t="shared" si="2"/>
        <v>0</v>
      </c>
      <c r="J20" s="96">
        <f t="shared" si="2"/>
        <v>0</v>
      </c>
      <c r="K20" s="96">
        <f t="shared" si="2"/>
        <v>0</v>
      </c>
      <c r="L20" s="96">
        <f t="shared" si="2"/>
        <v>0</v>
      </c>
      <c r="M20" s="96">
        <f t="shared" si="2"/>
        <v>0</v>
      </c>
    </row>
    <row r="21" spans="1:14" s="2" customFormat="1" ht="12.75" customHeight="1">
      <c r="B21" s="107" t="s">
        <v>55</v>
      </c>
      <c r="C21" s="47"/>
      <c r="D21" s="154">
        <f>D16+D18+D20</f>
        <v>305</v>
      </c>
      <c r="E21" s="154">
        <f t="shared" ref="E21:M21" si="3">E16+E18+E20</f>
        <v>309</v>
      </c>
      <c r="F21" s="154">
        <f t="shared" si="3"/>
        <v>318</v>
      </c>
      <c r="G21" s="154">
        <f t="shared" si="3"/>
        <v>374.30555555555554</v>
      </c>
      <c r="H21" s="154">
        <f t="shared" si="3"/>
        <v>411.73611111111109</v>
      </c>
      <c r="I21" s="154">
        <f t="shared" si="3"/>
        <v>452.90972222222229</v>
      </c>
      <c r="J21" s="154">
        <f t="shared" si="3"/>
        <v>498.20069444444454</v>
      </c>
      <c r="K21" s="154">
        <f t="shared" si="3"/>
        <v>548.02076388888895</v>
      </c>
      <c r="L21" s="154">
        <f t="shared" si="3"/>
        <v>602.82284027777791</v>
      </c>
      <c r="M21" s="154">
        <f t="shared" si="3"/>
        <v>663.10512430555582</v>
      </c>
    </row>
    <row r="22" spans="1:14" s="2" customFormat="1" ht="21" customHeight="1">
      <c r="B22" s="1" t="s">
        <v>148</v>
      </c>
      <c r="C22" s="27"/>
      <c r="D22" s="37">
        <f>D14-D21</f>
        <v>1284</v>
      </c>
      <c r="E22" s="37">
        <f t="shared" ref="E22:M22" si="4">E14-E21</f>
        <v>1444</v>
      </c>
      <c r="F22" s="37">
        <f t="shared" si="4"/>
        <v>1604</v>
      </c>
      <c r="G22" s="37">
        <f t="shared" si="4"/>
        <v>1755.0347222222222</v>
      </c>
      <c r="H22" s="37">
        <f t="shared" si="4"/>
        <v>1930.5381944444446</v>
      </c>
      <c r="I22" s="37">
        <f t="shared" si="4"/>
        <v>2123.5920138888891</v>
      </c>
      <c r="J22" s="37">
        <f t="shared" si="4"/>
        <v>2335.9512152777779</v>
      </c>
      <c r="K22" s="37">
        <f t="shared" si="4"/>
        <v>2569.5463368055562</v>
      </c>
      <c r="L22" s="37">
        <f t="shared" si="4"/>
        <v>2826.5009704861122</v>
      </c>
      <c r="M22" s="37">
        <f t="shared" si="4"/>
        <v>3109.1510675347236</v>
      </c>
    </row>
    <row r="23" spans="1:14" s="51" customFormat="1" ht="12.75" customHeight="1">
      <c r="B23" s="51" t="s">
        <v>149</v>
      </c>
      <c r="C23" s="64"/>
      <c r="D23" s="95"/>
      <c r="E23" s="95">
        <f>D22-E22</f>
        <v>-160</v>
      </c>
      <c r="F23" s="95">
        <f t="shared" ref="F23:M23" si="5">E22-F22</f>
        <v>-160</v>
      </c>
      <c r="G23" s="95">
        <f t="shared" si="5"/>
        <v>-151.03472222222217</v>
      </c>
      <c r="H23" s="95">
        <f t="shared" si="5"/>
        <v>-175.5034722222224</v>
      </c>
      <c r="I23" s="95">
        <f t="shared" si="5"/>
        <v>-193.05381944444457</v>
      </c>
      <c r="J23" s="95">
        <f t="shared" si="5"/>
        <v>-212.35920138888878</v>
      </c>
      <c r="K23" s="95">
        <f t="shared" si="5"/>
        <v>-233.59512152777825</v>
      </c>
      <c r="L23" s="95">
        <f t="shared" si="5"/>
        <v>-256.95463368055607</v>
      </c>
      <c r="M23" s="95">
        <f t="shared" si="5"/>
        <v>-282.65009704861131</v>
      </c>
    </row>
    <row r="24" spans="1:14" ht="12.75" customHeight="1">
      <c r="A24" s="50"/>
      <c r="B24" s="55" t="s">
        <v>14</v>
      </c>
      <c r="C24" s="50"/>
      <c r="D24" s="63"/>
      <c r="E24" s="63" t="str">
        <f>IF(ROUND(E23-'Cash Flow Statement'!E19,1)=0,"Y","N")</f>
        <v>Y</v>
      </c>
      <c r="F24" s="63" t="str">
        <f>IF(ROUND(F23-'Cash Flow Statement'!F19,1)=0,"Y","N")</f>
        <v>Y</v>
      </c>
      <c r="G24" s="63" t="str">
        <f>IF(ROUND(G23-'Cash Flow Statement'!G19,1)=0,"Y","N")</f>
        <v>Y</v>
      </c>
      <c r="H24" s="63" t="str">
        <f>IF(ROUND(H23-'Cash Flow Statement'!H19,1)=0,"Y","N")</f>
        <v>Y</v>
      </c>
      <c r="I24" s="63" t="str">
        <f>IF(ROUND(I23-'Cash Flow Statement'!I19,1)=0,"Y","N")</f>
        <v>Y</v>
      </c>
      <c r="J24" s="63" t="str">
        <f>IF(ROUND(J23-'Cash Flow Statement'!J19,1)=0,"Y","N")</f>
        <v>Y</v>
      </c>
      <c r="K24" s="63" t="str">
        <f>IF(ROUND(K23-'Cash Flow Statement'!K19,1)=0,"Y","N")</f>
        <v>Y</v>
      </c>
      <c r="L24" s="63" t="str">
        <f>IF(ROUND(L23-'Cash Flow Statement'!L19,1)=0,"Y","N")</f>
        <v>Y</v>
      </c>
      <c r="M24" s="63" t="str">
        <f>IF(ROUND(M23-'Cash Flow Statement'!M19,1)=0,"Y","N")</f>
        <v>Y</v>
      </c>
    </row>
    <row r="25" spans="1:14" s="2" customFormat="1" ht="12">
      <c r="A25" s="1"/>
      <c r="B25" s="27"/>
      <c r="C25" s="27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1:14" s="2" customFormat="1" ht="12">
      <c r="A26" s="1"/>
      <c r="B26" s="27"/>
      <c r="C26" s="27"/>
      <c r="D26" s="35"/>
      <c r="E26" s="36"/>
      <c r="F26" s="36"/>
      <c r="G26" s="36"/>
      <c r="H26" s="36"/>
      <c r="I26" s="36"/>
      <c r="J26" s="36"/>
      <c r="K26" s="36"/>
      <c r="L26" s="36"/>
      <c r="M26" s="36"/>
    </row>
    <row r="27" spans="1:14" s="2" customFormat="1" ht="12">
      <c r="A27" s="1"/>
      <c r="B27" s="27"/>
      <c r="C27" s="27"/>
      <c r="D27" s="36"/>
      <c r="E27" s="36"/>
      <c r="F27" s="36"/>
      <c r="G27" s="36"/>
      <c r="H27" s="36"/>
      <c r="I27" s="36"/>
      <c r="J27" s="36"/>
      <c r="K27" s="36"/>
      <c r="L27" s="36"/>
      <c r="M27" s="36"/>
    </row>
    <row r="28" spans="1:14" s="2" customFormat="1" ht="12">
      <c r="A28" s="1"/>
      <c r="B28" s="27"/>
      <c r="C28" s="27"/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spans="1:14" s="2" customFormat="1" ht="12">
      <c r="A29" s="1"/>
      <c r="B29" s="1"/>
      <c r="C29" s="1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4" s="2" customFormat="1" ht="21" customHeight="1">
      <c r="B30" s="28"/>
      <c r="C30" s="28"/>
      <c r="D30" s="29"/>
      <c r="E30" s="29"/>
      <c r="F30" s="29"/>
      <c r="G30" s="30"/>
      <c r="H30" s="30"/>
      <c r="I30" s="30"/>
      <c r="J30" s="30"/>
      <c r="K30" s="30"/>
      <c r="L30" s="30"/>
      <c r="M30" s="30"/>
    </row>
    <row r="31" spans="1:14" s="2" customFormat="1" ht="12">
      <c r="A31" s="1"/>
      <c r="B31" s="28"/>
      <c r="C31" s="28"/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14" s="2" customFormat="1" ht="12">
      <c r="A32" s="1"/>
      <c r="B32" s="43"/>
      <c r="C32" s="43"/>
      <c r="D32" s="45"/>
      <c r="E32" s="45"/>
      <c r="F32" s="45"/>
      <c r="G32" s="45"/>
      <c r="H32" s="45"/>
      <c r="I32" s="45"/>
      <c r="J32" s="45"/>
      <c r="K32" s="45"/>
      <c r="L32" s="45"/>
      <c r="M32" s="45"/>
    </row>
    <row r="33" spans="1:13" s="2" customFormat="1" ht="12">
      <c r="B33" s="27"/>
      <c r="C33" s="27"/>
      <c r="D33" s="34"/>
      <c r="E33" s="34"/>
      <c r="F33" s="34"/>
      <c r="G33" s="34"/>
      <c r="H33" s="34"/>
      <c r="I33" s="34"/>
      <c r="J33" s="34"/>
      <c r="K33" s="34"/>
      <c r="L33" s="34"/>
      <c r="M33" s="34"/>
    </row>
    <row r="34" spans="1:13" s="2" customFormat="1" ht="12">
      <c r="A34" s="1"/>
      <c r="B34" s="27"/>
      <c r="C34" s="27"/>
      <c r="D34" s="35"/>
      <c r="E34" s="36"/>
      <c r="F34" s="36"/>
      <c r="G34" s="36"/>
      <c r="H34" s="36"/>
      <c r="I34" s="36"/>
      <c r="J34" s="36"/>
      <c r="K34" s="36"/>
      <c r="L34" s="36"/>
      <c r="M34" s="36"/>
    </row>
    <row r="35" spans="1:13" s="2" customFormat="1" ht="12">
      <c r="A35" s="1"/>
      <c r="B35" s="27"/>
      <c r="C35" s="27"/>
      <c r="D35" s="35"/>
      <c r="E35" s="36"/>
      <c r="F35" s="36"/>
      <c r="G35" s="36"/>
      <c r="H35" s="36"/>
      <c r="I35" s="36"/>
      <c r="J35" s="36"/>
      <c r="K35" s="36"/>
      <c r="L35" s="36"/>
      <c r="M35" s="36"/>
    </row>
    <row r="36" spans="1:13" s="2" customFormat="1" ht="12">
      <c r="B36" s="27"/>
      <c r="C36" s="27"/>
      <c r="D36" s="35"/>
      <c r="E36" s="36"/>
      <c r="F36" s="36"/>
      <c r="G36" s="36"/>
      <c r="H36" s="36"/>
      <c r="I36" s="36"/>
      <c r="J36" s="36"/>
      <c r="K36" s="36"/>
      <c r="L36" s="36"/>
      <c r="M36" s="36"/>
    </row>
    <row r="37" spans="1:13" s="2" customFormat="1" ht="12">
      <c r="B37" s="27"/>
      <c r="C37" s="27"/>
      <c r="D37" s="35"/>
      <c r="E37" s="36"/>
      <c r="F37" s="36"/>
      <c r="G37" s="36"/>
      <c r="H37" s="36"/>
      <c r="I37" s="36"/>
      <c r="J37" s="36"/>
      <c r="K37" s="36"/>
      <c r="L37" s="36"/>
      <c r="M37" s="36"/>
    </row>
    <row r="38" spans="1:13" s="2" customFormat="1" ht="12">
      <c r="B38" s="27"/>
      <c r="C38" s="27"/>
      <c r="D38" s="37"/>
      <c r="E38" s="37"/>
      <c r="F38" s="37"/>
      <c r="G38" s="37"/>
      <c r="H38" s="37"/>
      <c r="I38" s="36"/>
      <c r="J38" s="36"/>
      <c r="K38" s="36"/>
      <c r="L38" s="36"/>
      <c r="M38" s="36"/>
    </row>
    <row r="39" spans="1:13" s="2" customFormat="1" ht="12">
      <c r="A39" s="1"/>
      <c r="B39" s="27"/>
      <c r="C39" s="27"/>
      <c r="D39" s="36"/>
      <c r="E39" s="36"/>
      <c r="F39" s="36"/>
      <c r="G39" s="36"/>
      <c r="H39" s="36"/>
      <c r="I39" s="36"/>
      <c r="J39" s="36"/>
      <c r="K39" s="36"/>
      <c r="L39" s="36"/>
      <c r="M39" s="36"/>
    </row>
    <row r="40" spans="1:13" s="2" customFormat="1" ht="12">
      <c r="B40" s="27"/>
      <c r="C40" s="27"/>
      <c r="D40" s="35"/>
      <c r="E40" s="36"/>
      <c r="F40" s="36"/>
      <c r="G40" s="36"/>
      <c r="H40" s="36"/>
      <c r="I40" s="36"/>
      <c r="J40" s="36"/>
      <c r="K40" s="36"/>
      <c r="L40" s="36"/>
      <c r="M40" s="36"/>
    </row>
    <row r="41" spans="1:13" s="2" customFormat="1" ht="12">
      <c r="B41" s="27"/>
      <c r="C41" s="27"/>
      <c r="D41" s="36"/>
      <c r="E41" s="36"/>
      <c r="F41" s="36"/>
      <c r="G41" s="36"/>
      <c r="H41" s="36"/>
      <c r="I41" s="36"/>
      <c r="J41" s="36"/>
      <c r="K41" s="36"/>
      <c r="L41" s="36"/>
      <c r="M41" s="36"/>
    </row>
    <row r="42" spans="1:13" s="2" customFormat="1" ht="12">
      <c r="B42" s="27"/>
      <c r="C42" s="27"/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spans="1:13" s="2" customFormat="1" ht="12">
      <c r="A43" s="1"/>
      <c r="B43" s="1"/>
      <c r="C43" s="1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13" s="2" customFormat="1" ht="21" customHeight="1">
      <c r="A44" s="1"/>
      <c r="D44" s="42"/>
      <c r="E44" s="42"/>
      <c r="F44" s="42"/>
      <c r="G44" s="42"/>
      <c r="H44" s="42"/>
      <c r="I44" s="42"/>
      <c r="J44" s="42"/>
      <c r="K44" s="42"/>
      <c r="L44" s="42"/>
      <c r="M44" s="42"/>
    </row>
    <row r="45" spans="1:13" s="25" customFormat="1" ht="12">
      <c r="B45" s="41"/>
      <c r="C45" s="41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s="25" customFormat="1" ht="12">
      <c r="B46" s="39"/>
      <c r="C46" s="39"/>
      <c r="D46" s="46"/>
      <c r="E46" s="46"/>
      <c r="F46" s="46"/>
      <c r="G46" s="46"/>
      <c r="H46" s="46"/>
      <c r="I46" s="46"/>
      <c r="J46" s="46"/>
      <c r="K46" s="46"/>
      <c r="L46" s="46"/>
      <c r="M46" s="46"/>
    </row>
    <row r="47" spans="1:13" s="25" customFormat="1" ht="12"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3" s="25" customFormat="1" ht="12">
      <c r="D48" s="26"/>
      <c r="E48" s="26"/>
      <c r="F48" s="26"/>
      <c r="G48" s="26"/>
      <c r="H48" s="26"/>
      <c r="I48" s="26"/>
      <c r="J48" s="26"/>
      <c r="K48" s="26"/>
      <c r="L48" s="26"/>
      <c r="M48" s="26"/>
    </row>
    <row r="49" spans="1:13" s="2" customFormat="1" ht="20.100000000000001" customHeight="1">
      <c r="A49" s="1"/>
      <c r="B49" s="1"/>
      <c r="C49" s="1"/>
      <c r="D49" s="19"/>
      <c r="E49" s="19"/>
      <c r="F49" s="19"/>
      <c r="G49" s="19"/>
      <c r="H49" s="19"/>
      <c r="I49" s="19"/>
      <c r="J49" s="19"/>
      <c r="K49" s="19"/>
      <c r="L49" s="19"/>
      <c r="M49" s="19"/>
    </row>
    <row r="50" spans="1:13" s="2" customFormat="1" ht="21" customHeight="1">
      <c r="A50" s="1"/>
      <c r="B50" s="1"/>
      <c r="C50" s="1"/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 spans="1:13" ht="21" customHeight="1">
      <c r="A51" s="1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ht="20.100000000000001" customHeight="1">
      <c r="D52" s="24"/>
      <c r="E52" s="24"/>
      <c r="F52" s="24"/>
      <c r="G52" s="24"/>
      <c r="H52" s="24"/>
      <c r="I52" s="24"/>
      <c r="J52" s="24"/>
      <c r="K52" s="24"/>
      <c r="L52" s="24"/>
      <c r="M52" s="24"/>
    </row>
    <row r="53" spans="1:13" ht="20.100000000000001" customHeight="1">
      <c r="F53" s="8"/>
      <c r="G53" s="8"/>
      <c r="H53" s="8"/>
      <c r="I53" s="8"/>
      <c r="J53" s="8"/>
      <c r="K53" s="8"/>
      <c r="L53" s="8"/>
      <c r="M53" s="8"/>
    </row>
    <row r="54" spans="1:13" ht="20.100000000000001" customHeight="1">
      <c r="F54" s="8"/>
      <c r="G54" s="8"/>
      <c r="H54" s="8"/>
      <c r="I54" s="8"/>
      <c r="J54" s="8"/>
      <c r="K54" s="8"/>
      <c r="L54" s="8"/>
      <c r="M54" s="8"/>
    </row>
  </sheetData>
  <phoneticPr fontId="1" type="noConversion"/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0"/>
  <sheetViews>
    <sheetView zoomScaleNormal="100"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2" width="2.7109375" style="2" customWidth="1"/>
    <col min="3" max="3" width="54.7109375" style="2" customWidth="1"/>
    <col min="4" max="5" width="9.7109375" style="8" customWidth="1"/>
    <col min="6" max="6" width="9.7109375" style="104" customWidth="1"/>
    <col min="7" max="7" width="9.7109375" style="2" customWidth="1"/>
    <col min="8" max="13" width="9.7109375" style="104" customWidth="1"/>
    <col min="14" max="16384" width="9.140625" style="104"/>
  </cols>
  <sheetData>
    <row r="1" spans="1:13" ht="58.5" customHeight="1">
      <c r="A1" s="67"/>
      <c r="B1" s="67"/>
      <c r="C1" s="67"/>
      <c r="D1" s="68"/>
      <c r="E1" s="68"/>
      <c r="F1" s="116"/>
      <c r="G1" s="67"/>
      <c r="H1" s="116"/>
      <c r="I1" s="116"/>
      <c r="J1" s="116"/>
      <c r="K1" s="116"/>
      <c r="L1" s="116"/>
      <c r="M1" s="116"/>
    </row>
    <row r="2" spans="1:13" ht="12.75" customHeight="1">
      <c r="A2" s="53" t="s">
        <v>12</v>
      </c>
      <c r="B2" s="53"/>
      <c r="C2" s="53"/>
      <c r="D2" s="54"/>
      <c r="E2" s="54"/>
      <c r="F2" s="70"/>
      <c r="G2" s="53"/>
      <c r="H2" s="70"/>
      <c r="I2" s="70"/>
      <c r="J2" s="70"/>
      <c r="K2" s="70"/>
      <c r="L2" s="70"/>
      <c r="M2" s="70"/>
    </row>
    <row r="3" spans="1:13" ht="12.75" customHeight="1">
      <c r="A3" s="13" t="s">
        <v>22</v>
      </c>
      <c r="B3" s="14"/>
      <c r="C3" s="14"/>
      <c r="D3" s="81" t="s">
        <v>63</v>
      </c>
      <c r="E3" s="81"/>
      <c r="F3" s="83"/>
      <c r="G3" s="84" t="s">
        <v>64</v>
      </c>
      <c r="H3" s="85"/>
      <c r="I3" s="86"/>
      <c r="J3" s="85"/>
      <c r="K3" s="85"/>
      <c r="L3" s="85"/>
      <c r="M3" s="85"/>
    </row>
    <row r="4" spans="1:13" ht="12.75" customHeight="1">
      <c r="A4" s="13"/>
      <c r="B4" s="14"/>
      <c r="C4" s="14"/>
      <c r="D4" s="72"/>
      <c r="E4" s="72"/>
      <c r="F4" s="71"/>
      <c r="G4" s="71"/>
      <c r="H4" s="71"/>
      <c r="I4" s="71"/>
      <c r="J4" s="71"/>
      <c r="K4" s="71"/>
      <c r="L4" s="71"/>
      <c r="M4" s="71"/>
    </row>
    <row r="5" spans="1:13" ht="12.75" customHeight="1">
      <c r="A5" s="73" t="s">
        <v>20</v>
      </c>
      <c r="B5" s="74"/>
      <c r="C5" s="74"/>
      <c r="D5" s="87">
        <f>'Income Statement'!D5</f>
        <v>2009</v>
      </c>
      <c r="E5" s="87">
        <f>'Income Statement'!E5</f>
        <v>2010</v>
      </c>
      <c r="F5" s="87">
        <f>'Income Statement'!F5</f>
        <v>2011</v>
      </c>
      <c r="G5" s="88">
        <f>'Income Statement'!G5</f>
        <v>2012</v>
      </c>
      <c r="H5" s="88">
        <f>'Income Statement'!H5</f>
        <v>2013</v>
      </c>
      <c r="I5" s="88">
        <f>'Income Statement'!I5</f>
        <v>2014</v>
      </c>
      <c r="J5" s="88">
        <f>'Income Statement'!J5</f>
        <v>2015</v>
      </c>
      <c r="K5" s="88">
        <f>'Income Statement'!K5</f>
        <v>2016</v>
      </c>
      <c r="L5" s="88">
        <f>'Income Statement'!L5</f>
        <v>2017</v>
      </c>
      <c r="M5" s="88">
        <f>'Income Statement'!M5</f>
        <v>2018</v>
      </c>
    </row>
    <row r="6" spans="1:13" s="117" customFormat="1" ht="21" customHeight="1">
      <c r="A6" s="89" t="s">
        <v>150</v>
      </c>
      <c r="B6" s="90"/>
      <c r="C6" s="90"/>
      <c r="D6" s="92"/>
      <c r="E6" s="92"/>
      <c r="F6" s="92"/>
      <c r="G6" s="93"/>
      <c r="H6" s="93"/>
      <c r="I6" s="93"/>
      <c r="J6" s="93"/>
      <c r="K6" s="93"/>
      <c r="L6" s="93"/>
      <c r="M6" s="93"/>
    </row>
    <row r="7" spans="1:13" s="2" customFormat="1" ht="12.75" customHeight="1">
      <c r="B7" s="2" t="s">
        <v>132</v>
      </c>
      <c r="E7" s="42"/>
      <c r="F7" s="42"/>
      <c r="G7" s="42">
        <f>F27</f>
        <v>7311.8</v>
      </c>
      <c r="H7" s="42">
        <f t="shared" ref="H7:M7" ca="1" si="0">G27</f>
        <v>9598.7947866622544</v>
      </c>
      <c r="I7" s="42">
        <f t="shared" ca="1" si="0"/>
        <v>14396.218970773742</v>
      </c>
      <c r="J7" s="42">
        <f t="shared" ca="1" si="0"/>
        <v>19406.88305546296</v>
      </c>
      <c r="K7" s="42">
        <f t="shared" ca="1" si="0"/>
        <v>24795.741509438281</v>
      </c>
      <c r="L7" s="42">
        <f t="shared" ca="1" si="0"/>
        <v>31315.25205666394</v>
      </c>
      <c r="M7" s="42">
        <f t="shared" ca="1" si="0"/>
        <v>38205.398786352307</v>
      </c>
    </row>
    <row r="8" spans="1:13" s="2" customFormat="1" ht="12.75" customHeight="1">
      <c r="B8" s="2" t="s">
        <v>109</v>
      </c>
      <c r="D8" s="51"/>
      <c r="E8" s="42"/>
      <c r="F8" s="42"/>
      <c r="G8" s="42">
        <f ca="1">'Cash Flow Statement'!G41</f>
        <v>3986.9947866622542</v>
      </c>
      <c r="H8" s="42">
        <f ca="1">'Cash Flow Statement'!H41</f>
        <v>4797.4241841114872</v>
      </c>
      <c r="I8" s="42">
        <f ca="1">'Cash Flow Statement'!I41</f>
        <v>5010.6640846892205</v>
      </c>
      <c r="J8" s="42">
        <f ca="1">'Cash Flow Statement'!J41</f>
        <v>5388.8584539753219</v>
      </c>
      <c r="K8" s="42">
        <f ca="1">'Cash Flow Statement'!K41</f>
        <v>6519.5105472256582</v>
      </c>
      <c r="L8" s="42">
        <f ca="1">'Cash Flow Statement'!L41</f>
        <v>6890.1467296883666</v>
      </c>
      <c r="M8" s="42">
        <f ca="1">'Cash Flow Statement'!M41</f>
        <v>7451.8744611898146</v>
      </c>
    </row>
    <row r="9" spans="1:13" s="2" customFormat="1" ht="12.75" customHeight="1">
      <c r="B9" s="2" t="s">
        <v>169</v>
      </c>
      <c r="D9" s="51"/>
      <c r="E9" s="99"/>
      <c r="F9" s="99"/>
      <c r="G9" s="99">
        <v>-10</v>
      </c>
      <c r="H9" s="99">
        <v>-10</v>
      </c>
      <c r="I9" s="99">
        <v>-10</v>
      </c>
      <c r="J9" s="99">
        <v>-10</v>
      </c>
      <c r="K9" s="99">
        <v>-10</v>
      </c>
      <c r="L9" s="99">
        <v>-10</v>
      </c>
      <c r="M9" s="99">
        <v>-10</v>
      </c>
    </row>
    <row r="10" spans="1:13" s="2" customFormat="1" ht="12.75" customHeight="1">
      <c r="B10" s="1" t="s">
        <v>133</v>
      </c>
      <c r="C10" s="1"/>
      <c r="D10" s="66"/>
      <c r="E10" s="19"/>
      <c r="F10" s="19"/>
      <c r="G10" s="19">
        <f ca="1">SUM(G7:G9)</f>
        <v>11288.794786662254</v>
      </c>
      <c r="H10" s="19">
        <f t="shared" ref="H10:M10" ca="1" si="1">SUM(H7:H9)</f>
        <v>14386.218970773742</v>
      </c>
      <c r="I10" s="19">
        <f t="shared" ca="1" si="1"/>
        <v>19396.88305546296</v>
      </c>
      <c r="J10" s="19">
        <f t="shared" ca="1" si="1"/>
        <v>24785.741509438281</v>
      </c>
      <c r="K10" s="19">
        <f t="shared" ca="1" si="1"/>
        <v>31305.25205666394</v>
      </c>
      <c r="L10" s="19">
        <f t="shared" ca="1" si="1"/>
        <v>38195.398786352307</v>
      </c>
      <c r="M10" s="19">
        <f t="shared" ca="1" si="1"/>
        <v>45647.273247542122</v>
      </c>
    </row>
    <row r="11" spans="1:13" s="2" customFormat="1" ht="21" customHeight="1">
      <c r="A11" s="1" t="s">
        <v>170</v>
      </c>
      <c r="D11" s="100"/>
      <c r="E11" s="18"/>
      <c r="F11" s="18"/>
      <c r="G11" s="18"/>
      <c r="H11" s="18"/>
      <c r="I11" s="18"/>
      <c r="J11" s="18"/>
      <c r="K11" s="18"/>
      <c r="L11" s="18"/>
      <c r="M11" s="18"/>
    </row>
    <row r="12" spans="1:13" s="2" customFormat="1" ht="12.75" customHeight="1">
      <c r="A12" s="1"/>
      <c r="B12" s="2" t="s">
        <v>135</v>
      </c>
      <c r="D12" s="51"/>
      <c r="E12" s="21"/>
      <c r="F12" s="21"/>
      <c r="G12" s="21">
        <f>F15</f>
        <v>700</v>
      </c>
      <c r="H12" s="21">
        <f t="shared" ref="H12:M12" ca="1" si="2">G15</f>
        <v>0</v>
      </c>
      <c r="I12" s="21">
        <f t="shared" ca="1" si="2"/>
        <v>0</v>
      </c>
      <c r="J12" s="21">
        <f t="shared" ca="1" si="2"/>
        <v>0</v>
      </c>
      <c r="K12" s="21">
        <f t="shared" ca="1" si="2"/>
        <v>0</v>
      </c>
      <c r="L12" s="21">
        <f t="shared" ca="1" si="2"/>
        <v>0</v>
      </c>
      <c r="M12" s="21">
        <f t="shared" ca="1" si="2"/>
        <v>0</v>
      </c>
    </row>
    <row r="13" spans="1:13" s="2" customFormat="1" ht="12.75" customHeight="1">
      <c r="A13" s="1"/>
      <c r="B13" s="2" t="s">
        <v>153</v>
      </c>
      <c r="D13" s="95"/>
      <c r="E13" s="22"/>
      <c r="F13" s="22"/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</row>
    <row r="14" spans="1:13" s="2" customFormat="1" ht="12.75" customHeight="1">
      <c r="A14" s="1"/>
      <c r="B14" s="2" t="s">
        <v>154</v>
      </c>
      <c r="D14" s="106"/>
      <c r="E14" s="157"/>
      <c r="F14" s="157"/>
      <c r="G14" s="76">
        <f ca="1">-MIN(G10,G12)</f>
        <v>-700</v>
      </c>
      <c r="H14" s="76">
        <f t="shared" ref="H14:M14" ca="1" si="3">-MIN(H10,H12)</f>
        <v>0</v>
      </c>
      <c r="I14" s="76">
        <f t="shared" ca="1" si="3"/>
        <v>0</v>
      </c>
      <c r="J14" s="76">
        <f t="shared" ca="1" si="3"/>
        <v>0</v>
      </c>
      <c r="K14" s="76">
        <f t="shared" ca="1" si="3"/>
        <v>0</v>
      </c>
      <c r="L14" s="76">
        <f t="shared" ca="1" si="3"/>
        <v>0</v>
      </c>
      <c r="M14" s="76">
        <f t="shared" ca="1" si="3"/>
        <v>0</v>
      </c>
    </row>
    <row r="15" spans="1:13" s="2" customFormat="1" ht="12.75" customHeight="1">
      <c r="B15" s="1" t="s">
        <v>136</v>
      </c>
      <c r="C15" s="3"/>
      <c r="D15" s="66"/>
      <c r="E15" s="66"/>
      <c r="F15" s="174">
        <f>'Balance Sheet'!F25</f>
        <v>700</v>
      </c>
      <c r="G15" s="19">
        <f ca="1">SUM(G12:G14)</f>
        <v>0</v>
      </c>
      <c r="H15" s="19">
        <f t="shared" ref="H15:M15" ca="1" si="4">SUM(H12:H14)</f>
        <v>0</v>
      </c>
      <c r="I15" s="19">
        <f t="shared" ca="1" si="4"/>
        <v>0</v>
      </c>
      <c r="J15" s="19">
        <f t="shared" ca="1" si="4"/>
        <v>0</v>
      </c>
      <c r="K15" s="19">
        <f t="shared" ca="1" si="4"/>
        <v>0</v>
      </c>
      <c r="L15" s="19">
        <f t="shared" ca="1" si="4"/>
        <v>0</v>
      </c>
      <c r="M15" s="19">
        <f t="shared" ca="1" si="4"/>
        <v>0</v>
      </c>
    </row>
    <row r="16" spans="1:13" s="2" customFormat="1" ht="12.75" customHeight="1">
      <c r="A16" s="1"/>
      <c r="B16" s="2" t="s">
        <v>137</v>
      </c>
      <c r="C16" s="108"/>
      <c r="D16" s="51"/>
      <c r="E16" s="21"/>
      <c r="F16" s="21"/>
      <c r="G16" s="21">
        <f ca="1">AVERAGE(F15,G15)*G17</f>
        <v>10.5</v>
      </c>
      <c r="H16" s="21">
        <f t="shared" ref="H16:M16" ca="1" si="5">AVERAGE(G15,H15)*H17</f>
        <v>0</v>
      </c>
      <c r="I16" s="21">
        <f t="shared" ca="1" si="5"/>
        <v>0</v>
      </c>
      <c r="J16" s="21">
        <f t="shared" ca="1" si="5"/>
        <v>0</v>
      </c>
      <c r="K16" s="21">
        <f t="shared" ca="1" si="5"/>
        <v>0</v>
      </c>
      <c r="L16" s="21">
        <f t="shared" ca="1" si="5"/>
        <v>0</v>
      </c>
      <c r="M16" s="21">
        <f t="shared" ca="1" si="5"/>
        <v>0</v>
      </c>
    </row>
    <row r="17" spans="1:13" s="2" customFormat="1" ht="12.75" customHeight="1">
      <c r="A17" s="1"/>
      <c r="C17" s="109" t="s">
        <v>156</v>
      </c>
      <c r="D17" s="51"/>
      <c r="E17" s="112"/>
      <c r="F17" s="112"/>
      <c r="G17" s="112">
        <v>0.03</v>
      </c>
      <c r="H17" s="112">
        <v>0.03</v>
      </c>
      <c r="I17" s="112">
        <v>0.03</v>
      </c>
      <c r="J17" s="112">
        <v>0.03</v>
      </c>
      <c r="K17" s="112">
        <v>0.03</v>
      </c>
      <c r="L17" s="112">
        <v>0.03</v>
      </c>
      <c r="M17" s="112">
        <v>0.03</v>
      </c>
    </row>
    <row r="18" spans="1:13" s="2" customFormat="1" ht="21" customHeight="1">
      <c r="A18" s="1" t="s">
        <v>134</v>
      </c>
      <c r="D18" s="100"/>
      <c r="E18" s="18"/>
      <c r="F18" s="18"/>
      <c r="G18" s="18"/>
      <c r="H18" s="18"/>
      <c r="I18" s="18"/>
      <c r="J18" s="18"/>
      <c r="K18" s="18"/>
      <c r="L18" s="18"/>
      <c r="M18" s="18"/>
    </row>
    <row r="19" spans="1:13" s="2" customFormat="1" ht="12.75" customHeight="1">
      <c r="A19" s="1"/>
      <c r="B19" s="2" t="s">
        <v>72</v>
      </c>
      <c r="D19" s="51"/>
      <c r="E19" s="21"/>
      <c r="F19" s="21"/>
      <c r="G19" s="21">
        <f>F22</f>
        <v>1000</v>
      </c>
      <c r="H19" s="21">
        <f t="shared" ref="H19:M19" ca="1" si="6">G22</f>
        <v>0</v>
      </c>
      <c r="I19" s="21">
        <f t="shared" ca="1" si="6"/>
        <v>0</v>
      </c>
      <c r="J19" s="21">
        <f t="shared" ca="1" si="6"/>
        <v>0</v>
      </c>
      <c r="K19" s="21">
        <f t="shared" ca="1" si="6"/>
        <v>0</v>
      </c>
      <c r="L19" s="21">
        <f t="shared" ca="1" si="6"/>
        <v>0</v>
      </c>
      <c r="M19" s="21">
        <f t="shared" ca="1" si="6"/>
        <v>0</v>
      </c>
    </row>
    <row r="20" spans="1:13" s="2" customFormat="1" ht="12.75" customHeight="1">
      <c r="A20" s="1"/>
      <c r="B20" s="2" t="s">
        <v>153</v>
      </c>
      <c r="D20" s="95"/>
      <c r="E20" s="22"/>
      <c r="F20" s="22"/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</row>
    <row r="21" spans="1:13" s="2" customFormat="1" ht="12.75" customHeight="1">
      <c r="A21" s="1"/>
      <c r="B21" s="2" t="s">
        <v>154</v>
      </c>
      <c r="D21" s="106"/>
      <c r="E21" s="157"/>
      <c r="F21" s="157"/>
      <c r="G21" s="76">
        <f ca="1">-MIN(G10+G14,G19)</f>
        <v>-1000</v>
      </c>
      <c r="H21" s="76">
        <f t="shared" ref="H21:M21" ca="1" si="7">-MIN(H10+H14,H19)</f>
        <v>0</v>
      </c>
      <c r="I21" s="76">
        <f t="shared" ca="1" si="7"/>
        <v>0</v>
      </c>
      <c r="J21" s="76">
        <f t="shared" ca="1" si="7"/>
        <v>0</v>
      </c>
      <c r="K21" s="76">
        <f t="shared" ca="1" si="7"/>
        <v>0</v>
      </c>
      <c r="L21" s="76">
        <f t="shared" ca="1" si="7"/>
        <v>0</v>
      </c>
      <c r="M21" s="76">
        <f t="shared" ca="1" si="7"/>
        <v>0</v>
      </c>
    </row>
    <row r="22" spans="1:13" s="2" customFormat="1" ht="12.75" customHeight="1">
      <c r="B22" s="1" t="s">
        <v>138</v>
      </c>
      <c r="C22" s="3"/>
      <c r="D22" s="66"/>
      <c r="E22" s="66"/>
      <c r="F22" s="174">
        <f>'Balance Sheet'!F28</f>
        <v>1000</v>
      </c>
      <c r="G22" s="19">
        <f ca="1">SUM(G19:G21)</f>
        <v>0</v>
      </c>
      <c r="H22" s="19">
        <f t="shared" ref="H22:M22" ca="1" si="8">SUM(H19:H21)</f>
        <v>0</v>
      </c>
      <c r="I22" s="19">
        <f t="shared" ca="1" si="8"/>
        <v>0</v>
      </c>
      <c r="J22" s="19">
        <f t="shared" ca="1" si="8"/>
        <v>0</v>
      </c>
      <c r="K22" s="19">
        <f t="shared" ca="1" si="8"/>
        <v>0</v>
      </c>
      <c r="L22" s="19">
        <f t="shared" ca="1" si="8"/>
        <v>0</v>
      </c>
      <c r="M22" s="19">
        <f t="shared" ca="1" si="8"/>
        <v>0</v>
      </c>
    </row>
    <row r="23" spans="1:13" s="2" customFormat="1" ht="12.75" customHeight="1">
      <c r="A23" s="1"/>
      <c r="B23" s="2" t="s">
        <v>139</v>
      </c>
      <c r="C23" s="108"/>
      <c r="D23" s="51"/>
      <c r="E23" s="21"/>
      <c r="F23" s="21"/>
      <c r="G23" s="21">
        <f ca="1">AVERAGE(G22,F22)*G24</f>
        <v>25</v>
      </c>
      <c r="H23" s="21">
        <f t="shared" ref="H23:M23" ca="1" si="9">AVERAGE(H22,G22)*H24</f>
        <v>0</v>
      </c>
      <c r="I23" s="21">
        <f t="shared" ca="1" si="9"/>
        <v>0</v>
      </c>
      <c r="J23" s="21">
        <f t="shared" ca="1" si="9"/>
        <v>0</v>
      </c>
      <c r="K23" s="21">
        <f t="shared" ca="1" si="9"/>
        <v>0</v>
      </c>
      <c r="L23" s="21">
        <f t="shared" ca="1" si="9"/>
        <v>0</v>
      </c>
      <c r="M23" s="21">
        <f t="shared" ca="1" si="9"/>
        <v>0</v>
      </c>
    </row>
    <row r="24" spans="1:13" s="2" customFormat="1" ht="12.75" customHeight="1">
      <c r="A24" s="1"/>
      <c r="C24" s="109" t="s">
        <v>157</v>
      </c>
      <c r="D24" s="51"/>
      <c r="E24" s="113"/>
      <c r="F24" s="113"/>
      <c r="G24" s="113">
        <v>0.05</v>
      </c>
      <c r="H24" s="113">
        <v>0.05</v>
      </c>
      <c r="I24" s="113">
        <v>0.05</v>
      </c>
      <c r="J24" s="113">
        <v>0.05</v>
      </c>
      <c r="K24" s="113">
        <v>0.05</v>
      </c>
      <c r="L24" s="113">
        <v>0.05</v>
      </c>
      <c r="M24" s="113">
        <v>0.05</v>
      </c>
    </row>
    <row r="25" spans="1:13" s="106" customFormat="1" ht="21" customHeight="1">
      <c r="B25" s="28" t="s">
        <v>155</v>
      </c>
      <c r="C25" s="51"/>
      <c r="D25" s="52"/>
      <c r="E25" s="110"/>
      <c r="F25" s="110"/>
      <c r="G25" s="110">
        <f ca="1">G13+G14+G20+G21</f>
        <v>-1700</v>
      </c>
      <c r="H25" s="110">
        <f t="shared" ref="H25:M25" ca="1" si="10">H13+H14+H20+H21</f>
        <v>0</v>
      </c>
      <c r="I25" s="110">
        <f t="shared" ca="1" si="10"/>
        <v>0</v>
      </c>
      <c r="J25" s="110">
        <f t="shared" ca="1" si="10"/>
        <v>0</v>
      </c>
      <c r="K25" s="110">
        <f t="shared" ca="1" si="10"/>
        <v>0</v>
      </c>
      <c r="L25" s="110">
        <f t="shared" ca="1" si="10"/>
        <v>0</v>
      </c>
      <c r="M25" s="110">
        <f t="shared" ca="1" si="10"/>
        <v>0</v>
      </c>
    </row>
    <row r="26" spans="1:13" ht="21" customHeight="1">
      <c r="B26" s="1" t="s">
        <v>152</v>
      </c>
      <c r="D26" s="52"/>
      <c r="E26" s="103"/>
      <c r="F26" s="103"/>
      <c r="G26" s="103">
        <f ca="1">G16+G23</f>
        <v>35.5</v>
      </c>
      <c r="H26" s="103">
        <f t="shared" ref="H26:M26" ca="1" si="11">H16+H23</f>
        <v>0</v>
      </c>
      <c r="I26" s="103">
        <f t="shared" ca="1" si="11"/>
        <v>0</v>
      </c>
      <c r="J26" s="103">
        <f t="shared" ca="1" si="11"/>
        <v>0</v>
      </c>
      <c r="K26" s="103">
        <f t="shared" ca="1" si="11"/>
        <v>0</v>
      </c>
      <c r="L26" s="103">
        <f t="shared" ca="1" si="11"/>
        <v>0</v>
      </c>
      <c r="M26" s="103">
        <f t="shared" ca="1" si="11"/>
        <v>0</v>
      </c>
    </row>
    <row r="27" spans="1:13" ht="21" customHeight="1">
      <c r="B27" s="1" t="s">
        <v>151</v>
      </c>
      <c r="D27" s="101"/>
      <c r="E27" s="101"/>
      <c r="F27" s="175">
        <f>'Balance Sheet'!F8</f>
        <v>7311.8</v>
      </c>
      <c r="G27" s="155">
        <f ca="1">G7+G8+G25</f>
        <v>9598.7947866622544</v>
      </c>
      <c r="H27" s="155">
        <f t="shared" ref="H27:M27" ca="1" si="12">H7+H8+H25</f>
        <v>14396.218970773742</v>
      </c>
      <c r="I27" s="155">
        <f t="shared" ca="1" si="12"/>
        <v>19406.88305546296</v>
      </c>
      <c r="J27" s="155">
        <f t="shared" ca="1" si="12"/>
        <v>24795.741509438281</v>
      </c>
      <c r="K27" s="155">
        <f t="shared" ca="1" si="12"/>
        <v>31315.25205666394</v>
      </c>
      <c r="L27" s="155">
        <f t="shared" ca="1" si="12"/>
        <v>38205.398786352307</v>
      </c>
      <c r="M27" s="155">
        <f t="shared" ca="1" si="12"/>
        <v>45657.273247542122</v>
      </c>
    </row>
    <row r="28" spans="1:13" ht="12.75" customHeight="1">
      <c r="B28" s="2" t="s">
        <v>88</v>
      </c>
      <c r="C28" s="38"/>
      <c r="F28" s="8"/>
      <c r="G28" s="8">
        <f ca="1">AVERAGE(G27,F27)*G29</f>
        <v>84.552973933311279</v>
      </c>
      <c r="H28" s="8">
        <f t="shared" ref="H28:M28" ca="1" si="13">AVERAGE(H27,G27)*H29</f>
        <v>119.97506878717999</v>
      </c>
      <c r="I28" s="8">
        <f t="shared" ca="1" si="13"/>
        <v>169.0155101311835</v>
      </c>
      <c r="J28" s="8">
        <f t="shared" ca="1" si="13"/>
        <v>221.01312282450621</v>
      </c>
      <c r="K28" s="8">
        <f t="shared" ca="1" si="13"/>
        <v>280.55496783051109</v>
      </c>
      <c r="L28" s="8">
        <f t="shared" ca="1" si="13"/>
        <v>347.60325421508128</v>
      </c>
      <c r="M28" s="8">
        <f t="shared" ca="1" si="13"/>
        <v>419.31336016947216</v>
      </c>
    </row>
    <row r="29" spans="1:13" ht="12.75" customHeight="1">
      <c r="C29" s="111" t="s">
        <v>158</v>
      </c>
      <c r="E29" s="114"/>
      <c r="F29" s="114"/>
      <c r="G29" s="114">
        <v>0.01</v>
      </c>
      <c r="H29" s="114">
        <v>0.01</v>
      </c>
      <c r="I29" s="114">
        <v>0.01</v>
      </c>
      <c r="J29" s="114">
        <v>0.01</v>
      </c>
      <c r="K29" s="114">
        <v>0.01</v>
      </c>
      <c r="L29" s="114">
        <v>0.01</v>
      </c>
      <c r="M29" s="114">
        <v>0.01</v>
      </c>
    </row>
    <row r="30" spans="1:13" ht="12.75" customHeight="1">
      <c r="A30" s="50"/>
      <c r="B30" s="55" t="s">
        <v>14</v>
      </c>
      <c r="C30" s="50"/>
      <c r="D30" s="63"/>
      <c r="E30" s="63"/>
      <c r="F30" s="63"/>
      <c r="G30" s="63" t="str">
        <f ca="1">IF(ROUND(G27-'Balance Sheet'!G8,1)=0,"Y","N")</f>
        <v>Y</v>
      </c>
      <c r="H30" s="63" t="str">
        <f ca="1">IF(ROUND(H27-'Balance Sheet'!H8,1)=0,"Y","N")</f>
        <v>Y</v>
      </c>
      <c r="I30" s="63" t="str">
        <f ca="1">IF(ROUND(I27-'Balance Sheet'!I8,1)=0,"Y","N")</f>
        <v>Y</v>
      </c>
      <c r="J30" s="63" t="str">
        <f ca="1">IF(ROUND(J27-'Balance Sheet'!J8,1)=0,"Y","N")</f>
        <v>Y</v>
      </c>
      <c r="K30" s="63" t="str">
        <f ca="1">IF(ROUND(K27-'Balance Sheet'!K8,1)=0,"Y","N")</f>
        <v>Y</v>
      </c>
      <c r="L30" s="63" t="str">
        <f ca="1">IF(ROUND(L27-'Balance Sheet'!L8,1)=0,"Y","N")</f>
        <v>Y</v>
      </c>
      <c r="M30" s="63" t="str">
        <f ca="1">IF(ROUND(M27-'Balance Sheet'!M8,1)=0,"Y","N")</f>
        <v>Y</v>
      </c>
    </row>
  </sheetData>
  <phoneticPr fontId="1" type="noConversion"/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Income Statement</vt:lpstr>
      <vt:lpstr>Cash Flow Statement</vt:lpstr>
      <vt:lpstr>Balance Sheet</vt:lpstr>
      <vt:lpstr>Depreciation</vt:lpstr>
      <vt:lpstr>Operating Working Capital</vt:lpstr>
      <vt:lpstr>Debt Schedule</vt:lpstr>
      <vt:lpstr>Sheet1</vt:lpstr>
      <vt:lpstr>'Balance Sheet'!Print_Area</vt:lpstr>
      <vt:lpstr>'Cash Flow Statement'!Print_Area</vt:lpstr>
      <vt:lpstr>'Debt Schedule'!Print_Area</vt:lpstr>
      <vt:lpstr>Depreciation!Print_Area</vt:lpstr>
      <vt:lpstr>'Income Statement'!Print_Area</vt:lpstr>
      <vt:lpstr>'Operating Working Capital'!Print_Area</vt:lpstr>
      <vt:lpstr>'Income Statement'!Print_Titles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Paul</cp:lastModifiedBy>
  <dcterms:created xsi:type="dcterms:W3CDTF">2006-06-04T11:56:43Z</dcterms:created>
  <dcterms:modified xsi:type="dcterms:W3CDTF">2013-06-13T14:56:06Z</dcterms:modified>
</cp:coreProperties>
</file>