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2960" windowHeight="8040" tabRatio="594"/>
  </bookViews>
  <sheets>
    <sheet name="Income Statement" sheetId="1" r:id="rId1"/>
    <sheet name="Cash Flow Statement" sheetId="4" r:id="rId2"/>
    <sheet name="Balance Sheet" sheetId="5" r:id="rId3"/>
    <sheet name="Depreciation" sheetId="6" r:id="rId4"/>
    <sheet name="Operating Working Capital" sheetId="7" r:id="rId5"/>
    <sheet name="Debt Schedule" sheetId="8" r:id="rId6"/>
    <sheet name="---&gt; Valuation" sheetId="18" r:id="rId7"/>
    <sheet name="DCF Analysis" sheetId="9" r:id="rId8"/>
    <sheet name="Comparable Companies" sheetId="19" r:id="rId9"/>
    <sheet name="Costco Comp" sheetId="14" r:id="rId10"/>
    <sheet name="Wal-Mart Comp" sheetId="20" r:id="rId11"/>
    <sheet name="Target Comp" sheetId="15" r:id="rId12"/>
    <sheet name="Dollar General" sheetId="22" r:id="rId13"/>
    <sheet name="Dollar Tree" sheetId="23" r:id="rId14"/>
    <sheet name="Family Dollar Store" sheetId="24" r:id="rId15"/>
    <sheet name="Precedent Transactions" sheetId="29" r:id="rId16"/>
    <sheet name="A&amp;P - Pathmark" sheetId="27" r:id="rId17"/>
    <sheet name="WFM - Wild Oats" sheetId="28" r:id="rId18"/>
    <sheet name="Football field" sheetId="17" r:id="rId19"/>
  </sheets>
  <externalReferences>
    <externalReference r:id="rId20"/>
  </externalReferences>
  <definedNames>
    <definedName name="M_to_MM">'WFM - Wild Oats'!$L$54</definedName>
    <definedName name="_xlnm.Print_Area" localSheetId="2">'Balance Sheet'!$B$1:$K$41</definedName>
    <definedName name="_xlnm.Print_Area" localSheetId="1">'Cash Flow Statement'!$B$1:$K$43</definedName>
    <definedName name="_xlnm.Print_Area" localSheetId="8">'Comparable Companies'!$A$1:$O$5</definedName>
    <definedName name="_xlnm.Print_Area" localSheetId="9">'Costco Comp'!$B$1:$P$57</definedName>
    <definedName name="_xlnm.Print_Area" localSheetId="5">'Debt Schedule'!$A$1:$K$49</definedName>
    <definedName name="_xlnm.Print_Area" localSheetId="3">Depreciation!$A$1:$K$37</definedName>
    <definedName name="_xlnm.Print_Area" localSheetId="13">'Dollar Tree'!$B$1:$K$42</definedName>
    <definedName name="_xlnm.Print_Area" localSheetId="18">'Football field'!$B$3:$R$16,'Football field'!$B$20:$R$41</definedName>
    <definedName name="_xlnm.Print_Area" localSheetId="0">'Income Statement'!$B$1:$K$50</definedName>
    <definedName name="_xlnm.Print_Area" localSheetId="4">'Operating Working Capital'!$A$1:$K$23</definedName>
    <definedName name="_xlnm.Print_Area" localSheetId="15">'Precedent Transactions'!$A$1:$I$5</definedName>
    <definedName name="_xlnm.Print_Area" localSheetId="11">'Target Comp'!$B$1:$J$47</definedName>
    <definedName name="_xlnm.Print_Area" localSheetId="10">'Wal-Mart Comp'!$B$1:$J$57</definedName>
    <definedName name="_xlnm.Print_Titles" localSheetId="9">'Costco Comp'!$1:$5</definedName>
    <definedName name="_xlnm.Print_Titles" localSheetId="13">'Dollar Tree'!$1:$5</definedName>
    <definedName name="_xlnm.Print_Titles" localSheetId="0">'Income Statement'!$1:$5</definedName>
    <definedName name="_xlnm.Print_Titles" localSheetId="11">'Target Comp'!$1:$5</definedName>
    <definedName name="_xlnm.Print_Titles" localSheetId="10">'Wal-Mart Comp'!$1:$5</definedName>
  </definedNames>
  <calcPr calcId="125725" iterate="1"/>
</workbook>
</file>

<file path=xl/calcChain.xml><?xml version="1.0" encoding="utf-8"?>
<calcChain xmlns="http://schemas.openxmlformats.org/spreadsheetml/2006/main">
  <c r="N46" i="14"/>
  <c r="N45"/>
  <c r="N41"/>
  <c r="N38"/>
  <c r="N34"/>
  <c r="N33"/>
  <c r="N30"/>
  <c r="N29"/>
  <c r="N24"/>
  <c r="N19"/>
  <c r="N14"/>
  <c r="N9"/>
  <c r="O26" l="1"/>
  <c r="P26"/>
  <c r="O22"/>
  <c r="P22"/>
  <c r="O9"/>
  <c r="G31" i="4"/>
  <c r="H31"/>
  <c r="I31"/>
  <c r="J31"/>
  <c r="K31"/>
  <c r="G32"/>
  <c r="H32"/>
  <c r="I32"/>
  <c r="J32"/>
  <c r="K32"/>
  <c r="T34" i="17" l="1"/>
  <c r="T33"/>
  <c r="T32"/>
  <c r="T31"/>
  <c r="C24"/>
  <c r="W23"/>
  <c r="U23"/>
  <c r="T10"/>
  <c r="P8"/>
  <c r="I6"/>
  <c r="H6"/>
  <c r="G6"/>
  <c r="V23" l="1"/>
  <c r="G13" i="29"/>
  <c r="E13"/>
  <c r="H13" s="1"/>
  <c r="D13"/>
  <c r="G12"/>
  <c r="F13" l="1"/>
  <c r="G7"/>
  <c r="F7"/>
  <c r="E7"/>
  <c r="I7" s="1"/>
  <c r="A3"/>
  <c r="K51" i="28"/>
  <c r="L23"/>
  <c r="L26" s="1"/>
  <c r="H7" i="29" l="1"/>
  <c r="L8" i="28"/>
  <c r="L39" i="27"/>
  <c r="D8" i="29" s="1"/>
  <c r="Q21" i="27"/>
  <c r="P21"/>
  <c r="O21"/>
  <c r="N21"/>
  <c r="M21"/>
  <c r="D16" i="29" l="1"/>
  <c r="D15"/>
  <c r="D14"/>
  <c r="I13" s="1"/>
  <c r="R16" i="27"/>
  <c r="R15"/>
  <c r="R13"/>
  <c r="R11"/>
  <c r="Q10"/>
  <c r="P10"/>
  <c r="P12" s="1"/>
  <c r="O10"/>
  <c r="N10"/>
  <c r="M10"/>
  <c r="R9"/>
  <c r="R8"/>
  <c r="O12" l="1"/>
  <c r="N12" s="1"/>
  <c r="M12" s="1"/>
  <c r="P14"/>
  <c r="O14" s="1"/>
  <c r="N14" s="1"/>
  <c r="M14" s="1"/>
  <c r="G8" i="29"/>
  <c r="R10" i="27"/>
  <c r="R12" s="1"/>
  <c r="I26" i="19"/>
  <c r="Q12" i="27" l="1"/>
  <c r="R14"/>
  <c r="C26" i="19"/>
  <c r="I25"/>
  <c r="I24"/>
  <c r="Q20"/>
  <c r="N20"/>
  <c r="H20"/>
  <c r="K20" s="1"/>
  <c r="G20"/>
  <c r="F20"/>
  <c r="C12"/>
  <c r="C11"/>
  <c r="C10"/>
  <c r="C9"/>
  <c r="C8"/>
  <c r="B8"/>
  <c r="Q14" i="27" l="1"/>
  <c r="H8" i="29"/>
  <c r="R17" i="27"/>
  <c r="J20" i="19"/>
  <c r="I20" s="1"/>
  <c r="B7"/>
  <c r="Q5" s="1"/>
  <c r="L5"/>
  <c r="K5" s="1"/>
  <c r="J5"/>
  <c r="I5"/>
  <c r="H5"/>
  <c r="G5"/>
  <c r="F5"/>
  <c r="A3"/>
  <c r="M20" l="1"/>
  <c r="L20" s="1"/>
  <c r="O5" s="1"/>
  <c r="N5" s="1"/>
  <c r="Q17" i="27"/>
  <c r="R18"/>
  <c r="M5" i="19"/>
  <c r="P20"/>
  <c r="O20" s="1"/>
  <c r="P5"/>
  <c r="P17" i="27" l="1"/>
  <c r="Q18"/>
  <c r="O17" l="1"/>
  <c r="N17" s="1"/>
  <c r="P18"/>
  <c r="M17" l="1"/>
  <c r="M18" s="1"/>
  <c r="N18"/>
  <c r="N22" s="1"/>
  <c r="O18"/>
  <c r="D55" i="24"/>
  <c r="D48"/>
  <c r="N41"/>
  <c r="M41"/>
  <c r="L41"/>
  <c r="K41"/>
  <c r="J41"/>
  <c r="G41"/>
  <c r="F41"/>
  <c r="E41"/>
  <c r="P39"/>
  <c r="H39"/>
  <c r="H41" s="1"/>
  <c r="M22" i="27" l="1"/>
  <c r="I41" i="24"/>
  <c r="P41"/>
  <c r="O32"/>
  <c r="N32"/>
  <c r="L32"/>
  <c r="G32"/>
  <c r="M29"/>
  <c r="K29"/>
  <c r="L29" s="1"/>
  <c r="J29"/>
  <c r="I29"/>
  <c r="H29"/>
  <c r="F29"/>
  <c r="E29"/>
  <c r="D29"/>
  <c r="P28"/>
  <c r="O28"/>
  <c r="O29" s="1"/>
  <c r="N28"/>
  <c r="L28"/>
  <c r="G28"/>
  <c r="P27"/>
  <c r="O27"/>
  <c r="N27"/>
  <c r="N29" s="1"/>
  <c r="L27"/>
  <c r="G27"/>
  <c r="G29" l="1"/>
  <c r="P29"/>
  <c r="O22"/>
  <c r="J27" i="19" s="1"/>
  <c r="K22" i="24"/>
  <c r="K17" s="1"/>
  <c r="J22"/>
  <c r="F22"/>
  <c r="G22" s="1"/>
  <c r="E22"/>
  <c r="M17"/>
  <c r="I17"/>
  <c r="H17"/>
  <c r="D17"/>
  <c r="M14"/>
  <c r="K14"/>
  <c r="J14"/>
  <c r="I14"/>
  <c r="H14"/>
  <c r="F14"/>
  <c r="F15" s="1"/>
  <c r="E14"/>
  <c r="D14"/>
  <c r="O12"/>
  <c r="N12"/>
  <c r="L12"/>
  <c r="G12"/>
  <c r="H10"/>
  <c r="M9"/>
  <c r="M13" s="1"/>
  <c r="K9"/>
  <c r="J9"/>
  <c r="I9"/>
  <c r="I23" s="1"/>
  <c r="H9"/>
  <c r="H23" s="1"/>
  <c r="F9"/>
  <c r="E9"/>
  <c r="E13" s="1"/>
  <c r="D9"/>
  <c r="D23" s="1"/>
  <c r="P7"/>
  <c r="P22" s="1"/>
  <c r="O7"/>
  <c r="N7"/>
  <c r="L7"/>
  <c r="G7"/>
  <c r="D50" i="23"/>
  <c r="J41"/>
  <c r="K40"/>
  <c r="J40"/>
  <c r="E15" i="24" l="1"/>
  <c r="N14"/>
  <c r="J10"/>
  <c r="J17"/>
  <c r="J19" s="1"/>
  <c r="O14"/>
  <c r="O20" s="1"/>
  <c r="E23"/>
  <c r="H18"/>
  <c r="F23"/>
  <c r="L13"/>
  <c r="I13"/>
  <c r="O17"/>
  <c r="O19" s="1"/>
  <c r="L9"/>
  <c r="L17"/>
  <c r="L18" s="1"/>
  <c r="K18" s="1"/>
  <c r="M19"/>
  <c r="L19" s="1"/>
  <c r="L14"/>
  <c r="L15" s="1"/>
  <c r="I18"/>
  <c r="M18"/>
  <c r="K23"/>
  <c r="D18"/>
  <c r="L22"/>
  <c r="L23" s="1"/>
  <c r="K15"/>
  <c r="J15" s="1"/>
  <c r="D15"/>
  <c r="I15"/>
  <c r="I19"/>
  <c r="H19" s="1"/>
  <c r="H20" s="1"/>
  <c r="H21" s="1"/>
  <c r="H13"/>
  <c r="G9"/>
  <c r="L10" s="1"/>
  <c r="K10" s="1"/>
  <c r="D13"/>
  <c r="P12" s="1"/>
  <c r="P14" s="1"/>
  <c r="J18"/>
  <c r="N22"/>
  <c r="J23"/>
  <c r="P9"/>
  <c r="O9" s="1"/>
  <c r="N9" s="1"/>
  <c r="M10"/>
  <c r="K13"/>
  <c r="J13" s="1"/>
  <c r="G14"/>
  <c r="H15"/>
  <c r="M15"/>
  <c r="P17"/>
  <c r="I10"/>
  <c r="K19"/>
  <c r="I32" i="23"/>
  <c r="H32"/>
  <c r="G32"/>
  <c r="F32"/>
  <c r="E32"/>
  <c r="O13" i="24" l="1"/>
  <c r="M20"/>
  <c r="M21" s="1"/>
  <c r="P15"/>
  <c r="G15"/>
  <c r="G13"/>
  <c r="F13" s="1"/>
  <c r="G23"/>
  <c r="O15"/>
  <c r="N15" s="1"/>
  <c r="I27" i="19"/>
  <c r="N23" i="24"/>
  <c r="M23" s="1"/>
  <c r="O24"/>
  <c r="O21"/>
  <c r="C27" i="19"/>
  <c r="N13" i="24"/>
  <c r="J25" i="23"/>
  <c r="K24" s="1"/>
  <c r="J24"/>
  <c r="H19"/>
  <c r="G19"/>
  <c r="F19" s="1"/>
  <c r="E19"/>
  <c r="I18"/>
  <c r="I9" s="1"/>
  <c r="F18"/>
  <c r="I14"/>
  <c r="H14"/>
  <c r="G14"/>
  <c r="F14"/>
  <c r="E14"/>
  <c r="J13"/>
  <c r="J14" s="1"/>
  <c r="H9"/>
  <c r="H11" s="1"/>
  <c r="H12" s="1"/>
  <c r="G9"/>
  <c r="G11" s="1"/>
  <c r="F9"/>
  <c r="F10" s="1"/>
  <c r="E9"/>
  <c r="E11" s="1"/>
  <c r="K7"/>
  <c r="J7"/>
  <c r="D63" i="22"/>
  <c r="L54"/>
  <c r="H44"/>
  <c r="H45" s="1"/>
  <c r="G44"/>
  <c r="F44"/>
  <c r="E44"/>
  <c r="D44"/>
  <c r="L43"/>
  <c r="H33"/>
  <c r="G33"/>
  <c r="F33"/>
  <c r="E33"/>
  <c r="D33"/>
  <c r="K32"/>
  <c r="K31"/>
  <c r="K33" s="1"/>
  <c r="H29"/>
  <c r="G29"/>
  <c r="F29"/>
  <c r="E29"/>
  <c r="D29"/>
  <c r="L28"/>
  <c r="K28"/>
  <c r="L27"/>
  <c r="K27"/>
  <c r="K22"/>
  <c r="H19"/>
  <c r="G19"/>
  <c r="F19"/>
  <c r="E19"/>
  <c r="D19"/>
  <c r="K17"/>
  <c r="K12"/>
  <c r="H9"/>
  <c r="H13" s="1"/>
  <c r="G9"/>
  <c r="G23" s="1"/>
  <c r="F9"/>
  <c r="C25" i="19" s="1"/>
  <c r="E9" i="22"/>
  <c r="E13" s="1"/>
  <c r="D9"/>
  <c r="D23" s="1"/>
  <c r="K7"/>
  <c r="D63" i="15"/>
  <c r="D62"/>
  <c r="D55"/>
  <c r="H48"/>
  <c r="G48"/>
  <c r="F48"/>
  <c r="E48"/>
  <c r="I47"/>
  <c r="J46"/>
  <c r="I46"/>
  <c r="I39"/>
  <c r="H36"/>
  <c r="G36"/>
  <c r="F36"/>
  <c r="E36"/>
  <c r="D36"/>
  <c r="J35"/>
  <c r="I35"/>
  <c r="J34"/>
  <c r="I34"/>
  <c r="J33"/>
  <c r="I33"/>
  <c r="D14" i="22" l="1"/>
  <c r="D15" s="1"/>
  <c r="F23"/>
  <c r="F14"/>
  <c r="F15" s="1"/>
  <c r="M24" i="24"/>
  <c r="J36" i="15"/>
  <c r="E10" i="23"/>
  <c r="F20" i="22"/>
  <c r="F24" s="1"/>
  <c r="F34" s="1"/>
  <c r="G13"/>
  <c r="G14"/>
  <c r="G20" s="1"/>
  <c r="G24" s="1"/>
  <c r="F18"/>
  <c r="K29"/>
  <c r="K44"/>
  <c r="K45" s="1"/>
  <c r="I36" i="15"/>
  <c r="H14" i="22"/>
  <c r="H20" s="1"/>
  <c r="H21" s="1"/>
  <c r="G18"/>
  <c r="L29"/>
  <c r="L32"/>
  <c r="I11" i="23"/>
  <c r="J9"/>
  <c r="H24" i="22"/>
  <c r="E12" i="23"/>
  <c r="G21" i="22"/>
  <c r="M25" i="24"/>
  <c r="M30"/>
  <c r="O25"/>
  <c r="O30"/>
  <c r="F11" i="23"/>
  <c r="F15" s="1"/>
  <c r="F21" i="22"/>
  <c r="E23"/>
  <c r="F13"/>
  <c r="E14"/>
  <c r="G15"/>
  <c r="H23"/>
  <c r="L31"/>
  <c r="G12" i="23"/>
  <c r="F12" s="1"/>
  <c r="G15"/>
  <c r="J18"/>
  <c r="D13" i="22"/>
  <c r="G45"/>
  <c r="F45" s="1"/>
  <c r="E45" s="1"/>
  <c r="D45" s="1"/>
  <c r="L44" s="1"/>
  <c r="H15"/>
  <c r="E18"/>
  <c r="D18" s="1"/>
  <c r="D20"/>
  <c r="F25" l="1"/>
  <c r="L33"/>
  <c r="J26" i="19"/>
  <c r="J19" i="23"/>
  <c r="I19" s="1"/>
  <c r="E20" i="22"/>
  <c r="E15"/>
  <c r="J10" i="23"/>
  <c r="J11"/>
  <c r="G16"/>
  <c r="G21"/>
  <c r="F35" i="22"/>
  <c r="F36"/>
  <c r="I15" i="23"/>
  <c r="I12"/>
  <c r="D24" i="22"/>
  <c r="D21"/>
  <c r="O34" i="24"/>
  <c r="O31"/>
  <c r="O33"/>
  <c r="G25" i="22"/>
  <c r="G34"/>
  <c r="E15" i="23"/>
  <c r="F21"/>
  <c r="F16"/>
  <c r="M33" i="24"/>
  <c r="M31"/>
  <c r="M34"/>
  <c r="H25" i="22"/>
  <c r="H34"/>
  <c r="I28" i="15"/>
  <c r="H25"/>
  <c r="G25"/>
  <c r="F25"/>
  <c r="E25"/>
  <c r="D25"/>
  <c r="I23"/>
  <c r="M36" i="24" l="1"/>
  <c r="M37"/>
  <c r="G36" i="22"/>
  <c r="G35"/>
  <c r="O36" i="24"/>
  <c r="O37"/>
  <c r="E21" i="22"/>
  <c r="E24"/>
  <c r="F26" i="23"/>
  <c r="F22"/>
  <c r="D25" i="22"/>
  <c r="D34"/>
  <c r="H15" i="23"/>
  <c r="H16" s="1"/>
  <c r="I16"/>
  <c r="I21"/>
  <c r="I10"/>
  <c r="H10" s="1"/>
  <c r="G10" s="1"/>
  <c r="K10"/>
  <c r="K9" s="1"/>
  <c r="K11" s="1"/>
  <c r="H38" i="22"/>
  <c r="H35"/>
  <c r="H36"/>
  <c r="K14" i="23"/>
  <c r="K13" s="1"/>
  <c r="E21"/>
  <c r="E16"/>
  <c r="G22"/>
  <c r="G26"/>
  <c r="J12"/>
  <c r="K12" s="1"/>
  <c r="J15"/>
  <c r="H18" i="15"/>
  <c r="H19" s="1"/>
  <c r="G18"/>
  <c r="F18"/>
  <c r="E18"/>
  <c r="D18"/>
  <c r="D19" s="1"/>
  <c r="H17"/>
  <c r="G17"/>
  <c r="F17"/>
  <c r="E17"/>
  <c r="D17"/>
  <c r="I16"/>
  <c r="H15"/>
  <c r="G15"/>
  <c r="F15"/>
  <c r="E15"/>
  <c r="D15"/>
  <c r="I14"/>
  <c r="H11"/>
  <c r="H24" s="1"/>
  <c r="G11"/>
  <c r="G24" s="1"/>
  <c r="F11"/>
  <c r="E11"/>
  <c r="E24" s="1"/>
  <c r="D11"/>
  <c r="D24" s="1"/>
  <c r="J9"/>
  <c r="I9"/>
  <c r="I17" s="1"/>
  <c r="J17" s="1"/>
  <c r="J7"/>
  <c r="I7"/>
  <c r="I11" s="1"/>
  <c r="D66" i="20"/>
  <c r="D63"/>
  <c r="D62"/>
  <c r="I57"/>
  <c r="F57"/>
  <c r="J11" i="15" l="1"/>
  <c r="G19"/>
  <c r="E19"/>
  <c r="I15"/>
  <c r="F19"/>
  <c r="E24" i="19"/>
  <c r="J12" i="15"/>
  <c r="D24" i="19"/>
  <c r="C24" s="1"/>
  <c r="I29" i="15"/>
  <c r="H29" s="1"/>
  <c r="G29" s="1"/>
  <c r="M26" i="19"/>
  <c r="L26" s="1"/>
  <c r="J21" i="23"/>
  <c r="J16"/>
  <c r="K19"/>
  <c r="K18" s="1"/>
  <c r="E22"/>
  <c r="E26"/>
  <c r="F24" i="15"/>
  <c r="F29"/>
  <c r="E29" s="1"/>
  <c r="D29" s="1"/>
  <c r="D36" i="22"/>
  <c r="D35"/>
  <c r="F27" i="23"/>
  <c r="F29"/>
  <c r="I18" i="15"/>
  <c r="I20" s="1"/>
  <c r="I21" s="1"/>
  <c r="G20"/>
  <c r="I24"/>
  <c r="J24" s="1"/>
  <c r="J23" s="1"/>
  <c r="G33" i="23"/>
  <c r="G27"/>
  <c r="G29"/>
  <c r="E34" i="22"/>
  <c r="E25"/>
  <c r="G38"/>
  <c r="H41"/>
  <c r="H40"/>
  <c r="H21" i="23"/>
  <c r="I22"/>
  <c r="I26"/>
  <c r="F20" i="15"/>
  <c r="F21" s="1"/>
  <c r="J16"/>
  <c r="E20"/>
  <c r="E21" s="1"/>
  <c r="J15"/>
  <c r="J14" s="1"/>
  <c r="D20"/>
  <c r="H20"/>
  <c r="K15" i="23"/>
  <c r="I56" i="20"/>
  <c r="J18" i="15" l="1"/>
  <c r="J20" s="1"/>
  <c r="H22" i="23"/>
  <c r="H26"/>
  <c r="F38" i="22"/>
  <c r="G40"/>
  <c r="G41"/>
  <c r="H51"/>
  <c r="H52"/>
  <c r="H46"/>
  <c r="F33" i="23"/>
  <c r="G37"/>
  <c r="G36"/>
  <c r="H26" i="15"/>
  <c r="H21"/>
  <c r="I29" i="23"/>
  <c r="I27"/>
  <c r="N26" i="19"/>
  <c r="K16" i="23"/>
  <c r="K21"/>
  <c r="D26" i="15"/>
  <c r="D21"/>
  <c r="E35" i="22"/>
  <c r="E36"/>
  <c r="K36" s="1"/>
  <c r="G21" i="15"/>
  <c r="G26"/>
  <c r="K25" i="23"/>
  <c r="E27"/>
  <c r="E29"/>
  <c r="G26" i="19"/>
  <c r="F26" s="1"/>
  <c r="E26" s="1"/>
  <c r="D26" s="1"/>
  <c r="J26" i="23"/>
  <c r="J22"/>
  <c r="K26" i="19"/>
  <c r="J47" i="20"/>
  <c r="H47"/>
  <c r="G47"/>
  <c r="F47"/>
  <c r="E47"/>
  <c r="D47"/>
  <c r="I46"/>
  <c r="I45"/>
  <c r="I47" s="1"/>
  <c r="F41"/>
  <c r="J39"/>
  <c r="F38"/>
  <c r="J31"/>
  <c r="H31"/>
  <c r="G31"/>
  <c r="F31"/>
  <c r="E31"/>
  <c r="D31"/>
  <c r="I30"/>
  <c r="I29"/>
  <c r="F24"/>
  <c r="I22" i="19" s="1"/>
  <c r="H19" i="20"/>
  <c r="G19"/>
  <c r="E19"/>
  <c r="D19"/>
  <c r="H11"/>
  <c r="H25" s="1"/>
  <c r="G25" s="1"/>
  <c r="G11"/>
  <c r="G16" s="1"/>
  <c r="E11"/>
  <c r="E16" s="1"/>
  <c r="D11"/>
  <c r="D15" s="1"/>
  <c r="F9"/>
  <c r="F7"/>
  <c r="D65" i="14"/>
  <c r="P57"/>
  <c r="N57"/>
  <c r="L57"/>
  <c r="G57"/>
  <c r="P56"/>
  <c r="N56"/>
  <c r="L56"/>
  <c r="G56"/>
  <c r="G20" i="20" l="1"/>
  <c r="D20"/>
  <c r="E20"/>
  <c r="J19" i="15"/>
  <c r="I19" s="1"/>
  <c r="I31" i="20"/>
  <c r="H20"/>
  <c r="O56" i="14"/>
  <c r="O57"/>
  <c r="D25" i="20"/>
  <c r="F11"/>
  <c r="F25" s="1"/>
  <c r="E25" s="1"/>
  <c r="D16"/>
  <c r="G17"/>
  <c r="J27" i="23"/>
  <c r="E33"/>
  <c r="F37"/>
  <c r="F36"/>
  <c r="J21" i="15"/>
  <c r="H26" i="19"/>
  <c r="K22" i="23"/>
  <c r="K26"/>
  <c r="F26" i="15"/>
  <c r="G30"/>
  <c r="G27"/>
  <c r="H30"/>
  <c r="H37" s="1"/>
  <c r="H27"/>
  <c r="H48" i="22"/>
  <c r="H49"/>
  <c r="E38"/>
  <c r="F40"/>
  <c r="F41"/>
  <c r="H15" i="20"/>
  <c r="G15"/>
  <c r="H16"/>
  <c r="E15"/>
  <c r="J25" i="15"/>
  <c r="I25" s="1"/>
  <c r="D30"/>
  <c r="G46" i="22"/>
  <c r="G51"/>
  <c r="G52"/>
  <c r="H29" i="23"/>
  <c r="H27"/>
  <c r="I24" i="20"/>
  <c r="I38"/>
  <c r="J26" i="15" l="1"/>
  <c r="I11" i="20"/>
  <c r="I25" s="1"/>
  <c r="D38" i="22"/>
  <c r="E40"/>
  <c r="E41"/>
  <c r="G31" i="15"/>
  <c r="G37"/>
  <c r="G49" i="22"/>
  <c r="G48"/>
  <c r="J29" i="15"/>
  <c r="J28" s="1"/>
  <c r="J30" s="1"/>
  <c r="D31"/>
  <c r="D37"/>
  <c r="H41"/>
  <c r="H38"/>
  <c r="H40"/>
  <c r="F52" i="22"/>
  <c r="F46"/>
  <c r="F51"/>
  <c r="K27" i="23"/>
  <c r="E26" i="15"/>
  <c r="F30"/>
  <c r="F27"/>
  <c r="I26"/>
  <c r="J27"/>
  <c r="E37" i="23"/>
  <c r="E36"/>
  <c r="G38" i="15" l="1"/>
  <c r="G41"/>
  <c r="G40"/>
  <c r="H24" i="19"/>
  <c r="J37" i="15"/>
  <c r="J38" s="1"/>
  <c r="J31"/>
  <c r="H44"/>
  <c r="H43"/>
  <c r="F31"/>
  <c r="F37"/>
  <c r="I30"/>
  <c r="I27"/>
  <c r="F48" i="22"/>
  <c r="F49"/>
  <c r="D38" i="15"/>
  <c r="D40"/>
  <c r="D41"/>
  <c r="D41" i="22"/>
  <c r="D40"/>
  <c r="E30" i="15"/>
  <c r="E27"/>
  <c r="D27" s="1"/>
  <c r="E52" i="22"/>
  <c r="E46"/>
  <c r="E51"/>
  <c r="P47" i="14"/>
  <c r="L41"/>
  <c r="O41" s="1"/>
  <c r="G41"/>
  <c r="M39"/>
  <c r="P39" s="1"/>
  <c r="K39"/>
  <c r="K45" s="1"/>
  <c r="J39"/>
  <c r="J45" s="1"/>
  <c r="I39"/>
  <c r="I46" s="1"/>
  <c r="H39"/>
  <c r="F39"/>
  <c r="F45" s="1"/>
  <c r="E45" s="1"/>
  <c r="E47" s="1"/>
  <c r="E39"/>
  <c r="E46" s="1"/>
  <c r="D46" s="1"/>
  <c r="D39"/>
  <c r="D45" s="1"/>
  <c r="M35"/>
  <c r="K35"/>
  <c r="J35"/>
  <c r="I35"/>
  <c r="H35"/>
  <c r="F35"/>
  <c r="E35"/>
  <c r="D35"/>
  <c r="P34"/>
  <c r="L34"/>
  <c r="G34"/>
  <c r="O34" s="1"/>
  <c r="P33"/>
  <c r="N35"/>
  <c r="L33"/>
  <c r="G33"/>
  <c r="G35" s="1"/>
  <c r="M31"/>
  <c r="K31"/>
  <c r="J31"/>
  <c r="I31"/>
  <c r="H31"/>
  <c r="F31"/>
  <c r="E31"/>
  <c r="D31"/>
  <c r="P30"/>
  <c r="L30"/>
  <c r="G30"/>
  <c r="P29"/>
  <c r="P31" s="1"/>
  <c r="N31"/>
  <c r="L29"/>
  <c r="O29" s="1"/>
  <c r="G29"/>
  <c r="L24"/>
  <c r="O24" s="1"/>
  <c r="G24"/>
  <c r="M19"/>
  <c r="K19"/>
  <c r="J19"/>
  <c r="I19"/>
  <c r="I21" s="1"/>
  <c r="H19"/>
  <c r="F19"/>
  <c r="F21" s="1"/>
  <c r="E21" s="1"/>
  <c r="E19"/>
  <c r="D19"/>
  <c r="L14"/>
  <c r="G14"/>
  <c r="M11"/>
  <c r="M15" s="1"/>
  <c r="K11"/>
  <c r="K25" s="1"/>
  <c r="J11"/>
  <c r="J16" s="1"/>
  <c r="I11"/>
  <c r="I20" s="1"/>
  <c r="H11"/>
  <c r="H25" s="1"/>
  <c r="F11"/>
  <c r="F25" s="1"/>
  <c r="E11"/>
  <c r="E25" s="1"/>
  <c r="D11"/>
  <c r="D25" s="1"/>
  <c r="P9"/>
  <c r="L9"/>
  <c r="G9"/>
  <c r="P7"/>
  <c r="P11" s="1"/>
  <c r="E23" i="19" s="1"/>
  <c r="N7" i="14"/>
  <c r="N11" s="1"/>
  <c r="L7"/>
  <c r="G7"/>
  <c r="O7" s="1"/>
  <c r="I25" l="1"/>
  <c r="N15"/>
  <c r="E20"/>
  <c r="J20"/>
  <c r="G31"/>
  <c r="E16"/>
  <c r="K20"/>
  <c r="L31"/>
  <c r="F16"/>
  <c r="F22" s="1"/>
  <c r="N25"/>
  <c r="M16"/>
  <c r="M17" s="1"/>
  <c r="M25"/>
  <c r="G11"/>
  <c r="G15" s="1"/>
  <c r="F15" s="1"/>
  <c r="E15" s="1"/>
  <c r="I15"/>
  <c r="I16"/>
  <c r="I17" s="1"/>
  <c r="N20"/>
  <c r="L19"/>
  <c r="J25"/>
  <c r="L35"/>
  <c r="F20"/>
  <c r="M20"/>
  <c r="K16"/>
  <c r="L25"/>
  <c r="P35"/>
  <c r="G24" i="19"/>
  <c r="F24" s="1"/>
  <c r="L11" i="14"/>
  <c r="L16" s="1"/>
  <c r="L17" s="1"/>
  <c r="K17" s="1"/>
  <c r="J17" s="1"/>
  <c r="O14"/>
  <c r="G25"/>
  <c r="F23"/>
  <c r="F26"/>
  <c r="C23" i="19"/>
  <c r="N16" i="14"/>
  <c r="D47"/>
  <c r="L20"/>
  <c r="F40" i="15"/>
  <c r="F38"/>
  <c r="F41"/>
  <c r="G44"/>
  <c r="G43"/>
  <c r="D15" i="14"/>
  <c r="G19"/>
  <c r="O33"/>
  <c r="O35" s="1"/>
  <c r="M45"/>
  <c r="O11"/>
  <c r="P12"/>
  <c r="H15"/>
  <c r="H16"/>
  <c r="D20"/>
  <c r="H20"/>
  <c r="D21"/>
  <c r="P20" s="1"/>
  <c r="P19" s="1"/>
  <c r="P21" s="1"/>
  <c r="O30"/>
  <c r="O31" s="1"/>
  <c r="E31" i="15"/>
  <c r="E37"/>
  <c r="D43"/>
  <c r="D44"/>
  <c r="E48" i="22"/>
  <c r="E49"/>
  <c r="D51"/>
  <c r="D52"/>
  <c r="D46"/>
  <c r="I37" i="15"/>
  <c r="I31"/>
  <c r="H31" s="1"/>
  <c r="I45" i="14"/>
  <c r="D16"/>
  <c r="H21"/>
  <c r="E22"/>
  <c r="E26" s="1"/>
  <c r="E36" s="1"/>
  <c r="E38" s="1"/>
  <c r="L24" i="9"/>
  <c r="O23"/>
  <c r="E37" s="1"/>
  <c r="O21"/>
  <c r="L15" i="14" l="1"/>
  <c r="K15" s="1"/>
  <c r="J15" s="1"/>
  <c r="C9" i="17"/>
  <c r="F37" i="9"/>
  <c r="L45" i="14"/>
  <c r="F43" i="15"/>
  <c r="F44"/>
  <c r="H45" i="14"/>
  <c r="I47"/>
  <c r="D23" i="19"/>
  <c r="O16" i="14"/>
  <c r="O17" s="1"/>
  <c r="N17" s="1"/>
  <c r="L45" i="22"/>
  <c r="D49"/>
  <c r="D48"/>
  <c r="I41" i="15"/>
  <c r="I38"/>
  <c r="I40"/>
  <c r="J40" s="1"/>
  <c r="J39" s="1"/>
  <c r="J41" s="1"/>
  <c r="O15" i="14"/>
  <c r="O24" i="9"/>
  <c r="G21" i="14"/>
  <c r="E23"/>
  <c r="G16"/>
  <c r="H17"/>
  <c r="F27"/>
  <c r="E27" s="1"/>
  <c r="F36"/>
  <c r="E41" i="15"/>
  <c r="E40"/>
  <c r="E38"/>
  <c r="P15" i="14"/>
  <c r="P14" s="1"/>
  <c r="P16" s="1"/>
  <c r="D22"/>
  <c r="D26" s="1"/>
  <c r="D17"/>
  <c r="O19"/>
  <c r="G20"/>
  <c r="O25"/>
  <c r="E35" i="9"/>
  <c r="G22" i="14" l="1"/>
  <c r="G26" s="1"/>
  <c r="D23"/>
  <c r="J43" i="15"/>
  <c r="F37" i="14"/>
  <c r="E37" s="1"/>
  <c r="F38"/>
  <c r="I43" i="15"/>
  <c r="I44"/>
  <c r="P25" i="14"/>
  <c r="P24" s="1"/>
  <c r="D36"/>
  <c r="D27"/>
  <c r="H47"/>
  <c r="G45"/>
  <c r="O21"/>
  <c r="N21" s="1"/>
  <c r="O20"/>
  <c r="C10" i="17"/>
  <c r="O9"/>
  <c r="P17" i="14"/>
  <c r="E44" i="15"/>
  <c r="E43"/>
  <c r="G17" i="14"/>
  <c r="F17" s="1"/>
  <c r="E17" s="1"/>
  <c r="C11" i="17"/>
  <c r="F35" i="9"/>
  <c r="G23" i="14" l="1"/>
  <c r="O45"/>
  <c r="N23" i="19"/>
  <c r="P23" i="14"/>
  <c r="M21"/>
  <c r="N22"/>
  <c r="G36"/>
  <c r="G27"/>
  <c r="D38"/>
  <c r="D37"/>
  <c r="E11" i="17"/>
  <c r="Q11" s="1"/>
  <c r="O11" s="1"/>
  <c r="C12"/>
  <c r="E5" i="9"/>
  <c r="A3"/>
  <c r="F48" i="8"/>
  <c r="F43"/>
  <c r="G38"/>
  <c r="F36"/>
  <c r="K31"/>
  <c r="J31"/>
  <c r="I31"/>
  <c r="H31"/>
  <c r="G31"/>
  <c r="L21" i="14" l="1"/>
  <c r="K21" s="1"/>
  <c r="M22"/>
  <c r="O23"/>
  <c r="G37"/>
  <c r="H23" i="19"/>
  <c r="P36" i="14"/>
  <c r="P27"/>
  <c r="L23" i="19"/>
  <c r="K23" s="1"/>
  <c r="J23" s="1"/>
  <c r="I23" s="1"/>
  <c r="N26" i="14"/>
  <c r="N23"/>
  <c r="M23" i="19"/>
  <c r="F29" i="8"/>
  <c r="G23"/>
  <c r="F22"/>
  <c r="F15"/>
  <c r="D5"/>
  <c r="A3"/>
  <c r="L22" i="14" l="1"/>
  <c r="M26"/>
  <c r="M27" s="1"/>
  <c r="M23"/>
  <c r="G23" i="19"/>
  <c r="F23" s="1"/>
  <c r="O36" i="14"/>
  <c r="O27"/>
  <c r="P38"/>
  <c r="J21"/>
  <c r="J22" s="1"/>
  <c r="K22"/>
  <c r="K23" s="1"/>
  <c r="P37"/>
  <c r="N27"/>
  <c r="N36"/>
  <c r="F19" i="7"/>
  <c r="E19"/>
  <c r="F17"/>
  <c r="E17"/>
  <c r="F15"/>
  <c r="E15"/>
  <c r="F11"/>
  <c r="E11"/>
  <c r="F9"/>
  <c r="E9"/>
  <c r="F7"/>
  <c r="E7"/>
  <c r="D5"/>
  <c r="A3"/>
  <c r="K36" i="6"/>
  <c r="J36"/>
  <c r="I36"/>
  <c r="H36"/>
  <c r="G36"/>
  <c r="J23" i="14" l="1"/>
  <c r="I22"/>
  <c r="J26"/>
  <c r="J27" s="1"/>
  <c r="O37"/>
  <c r="N37" s="1"/>
  <c r="L26"/>
  <c r="L23"/>
  <c r="M36"/>
  <c r="F13" i="7"/>
  <c r="P40" i="14"/>
  <c r="F21" i="7"/>
  <c r="F20"/>
  <c r="E13"/>
  <c r="E21"/>
  <c r="D5" i="6"/>
  <c r="A3"/>
  <c r="K26" i="14" l="1"/>
  <c r="L36"/>
  <c r="L27"/>
  <c r="H22"/>
  <c r="I26"/>
  <c r="I27" s="1"/>
  <c r="I23"/>
  <c r="M37"/>
  <c r="G38" i="5"/>
  <c r="L37" i="14" l="1"/>
  <c r="K36"/>
  <c r="K27"/>
  <c r="H26"/>
  <c r="H27" s="1"/>
  <c r="H23"/>
  <c r="F34" i="5"/>
  <c r="G34" s="1"/>
  <c r="H34" s="1"/>
  <c r="I34" s="1"/>
  <c r="J34" s="1"/>
  <c r="K34" s="1"/>
  <c r="E34"/>
  <c r="F37" l="1"/>
  <c r="J36" i="14"/>
  <c r="K38"/>
  <c r="K37"/>
  <c r="E37" i="5"/>
  <c r="G31"/>
  <c r="F27"/>
  <c r="E27"/>
  <c r="G26"/>
  <c r="I36" i="14" l="1"/>
  <c r="J38"/>
  <c r="J37"/>
  <c r="G15" i="5"/>
  <c r="H36" i="14" l="1"/>
  <c r="I38"/>
  <c r="I40" s="1"/>
  <c r="I37"/>
  <c r="F14" i="5"/>
  <c r="G6" i="6" s="1"/>
  <c r="E14" i="5"/>
  <c r="F13"/>
  <c r="E13"/>
  <c r="I43" i="14" l="1"/>
  <c r="I42"/>
  <c r="G28" i="6"/>
  <c r="K13"/>
  <c r="I13"/>
  <c r="H28"/>
  <c r="G13"/>
  <c r="J13"/>
  <c r="H13"/>
  <c r="K28"/>
  <c r="J28"/>
  <c r="I28"/>
  <c r="H37" i="14"/>
  <c r="H38"/>
  <c r="F17" i="5"/>
  <c r="E17"/>
  <c r="G12"/>
  <c r="D5"/>
  <c r="A3"/>
  <c r="I40" i="4"/>
  <c r="H40"/>
  <c r="G40"/>
  <c r="G38"/>
  <c r="H38" s="1"/>
  <c r="K37"/>
  <c r="J37"/>
  <c r="I37"/>
  <c r="H37"/>
  <c r="G37"/>
  <c r="G29" i="5" s="1"/>
  <c r="I54" i="14" l="1"/>
  <c r="I53"/>
  <c r="I48"/>
  <c r="G38"/>
  <c r="H40"/>
  <c r="H43" s="1"/>
  <c r="H42" l="1"/>
  <c r="H54"/>
  <c r="H53"/>
  <c r="H48"/>
  <c r="I51"/>
  <c r="I50"/>
  <c r="G39"/>
  <c r="G40"/>
  <c r="G42" s="1"/>
  <c r="M38"/>
  <c r="N39"/>
  <c r="F40" l="1"/>
  <c r="G43"/>
  <c r="G54" s="1"/>
  <c r="H51"/>
  <c r="H50"/>
  <c r="L38"/>
  <c r="M40"/>
  <c r="M43" s="1"/>
  <c r="L39" l="1"/>
  <c r="L40"/>
  <c r="E40"/>
  <c r="F42"/>
  <c r="F43"/>
  <c r="G53"/>
  <c r="M54"/>
  <c r="O38"/>
  <c r="K30" i="4"/>
  <c r="J30"/>
  <c r="I30"/>
  <c r="H30"/>
  <c r="G30"/>
  <c r="G28" i="5" s="1"/>
  <c r="F30" i="4"/>
  <c r="E30"/>
  <c r="D30"/>
  <c r="F27"/>
  <c r="E27"/>
  <c r="D27"/>
  <c r="E43" i="14" l="1"/>
  <c r="F53"/>
  <c r="K40"/>
  <c r="L43"/>
  <c r="L42"/>
  <c r="D40"/>
  <c r="E42"/>
  <c r="F54"/>
  <c r="O39"/>
  <c r="O40"/>
  <c r="I26" i="4"/>
  <c r="H26"/>
  <c r="K26" s="1"/>
  <c r="G26"/>
  <c r="J26" s="1"/>
  <c r="F19"/>
  <c r="E19"/>
  <c r="D19"/>
  <c r="D20" s="1"/>
  <c r="K42" i="14" l="1"/>
  <c r="D43"/>
  <c r="D42"/>
  <c r="L54"/>
  <c r="L53"/>
  <c r="E54"/>
  <c r="E53"/>
  <c r="N40"/>
  <c r="N43" s="1"/>
  <c r="O43"/>
  <c r="J40"/>
  <c r="J43" s="1"/>
  <c r="K43"/>
  <c r="J53" l="1"/>
  <c r="N53"/>
  <c r="M53" s="1"/>
  <c r="N54"/>
  <c r="D54"/>
  <c r="D53"/>
  <c r="D48"/>
  <c r="O53"/>
  <c r="K54"/>
  <c r="J54" s="1"/>
  <c r="K53"/>
  <c r="J42"/>
  <c r="D51" l="1"/>
  <c r="D50"/>
  <c r="G11" i="4" l="1"/>
  <c r="D5"/>
  <c r="G10" i="9" l="1"/>
  <c r="G16" i="5"/>
  <c r="H16" s="1"/>
  <c r="H11" i="4"/>
  <c r="D58" i="1"/>
  <c r="D54"/>
  <c r="H10" i="9" l="1"/>
  <c r="I11" i="4"/>
  <c r="D59" i="1"/>
  <c r="G49"/>
  <c r="H49" s="1"/>
  <c r="H33" i="4" s="1"/>
  <c r="K39" i="1"/>
  <c r="J39"/>
  <c r="I39"/>
  <c r="H39"/>
  <c r="G39"/>
  <c r="F39"/>
  <c r="E39"/>
  <c r="D39"/>
  <c r="F30"/>
  <c r="E30"/>
  <c r="D30"/>
  <c r="F56" i="20" l="1"/>
  <c r="J56"/>
  <c r="G33" i="4"/>
  <c r="I10" i="9"/>
  <c r="J11" i="4"/>
  <c r="F19" i="1"/>
  <c r="E19"/>
  <c r="D19"/>
  <c r="F14"/>
  <c r="E14"/>
  <c r="D14"/>
  <c r="D15" s="1"/>
  <c r="F11"/>
  <c r="G11" s="1"/>
  <c r="E11"/>
  <c r="E16" s="1"/>
  <c r="D11"/>
  <c r="F10"/>
  <c r="E10"/>
  <c r="F8"/>
  <c r="E8"/>
  <c r="E5"/>
  <c r="H11" l="1"/>
  <c r="I11" s="1"/>
  <c r="G14"/>
  <c r="J14" i="20" s="1"/>
  <c r="D16" i="1"/>
  <c r="D21" s="1"/>
  <c r="D24" s="1"/>
  <c r="D31" s="1"/>
  <c r="D35" s="1"/>
  <c r="E20"/>
  <c r="E15"/>
  <c r="D20"/>
  <c r="E21"/>
  <c r="E17"/>
  <c r="E5" i="8"/>
  <c r="E5" i="7"/>
  <c r="E5" i="6"/>
  <c r="E5" i="5"/>
  <c r="E5" i="4"/>
  <c r="G9" i="7"/>
  <c r="G14" i="4" s="1"/>
  <c r="G15" i="7"/>
  <c r="G16" i="4" s="1"/>
  <c r="J10" i="9"/>
  <c r="K11" i="4"/>
  <c r="H7" i="7"/>
  <c r="F16"/>
  <c r="F10"/>
  <c r="G7"/>
  <c r="G13" i="4" s="1"/>
  <c r="G22"/>
  <c r="F8" i="7"/>
  <c r="F23" i="4"/>
  <c r="E23" s="1"/>
  <c r="D23" s="1"/>
  <c r="F19" i="20"/>
  <c r="F12" i="7"/>
  <c r="F18"/>
  <c r="F12" i="1"/>
  <c r="I19"/>
  <c r="E12"/>
  <c r="F15"/>
  <c r="H19"/>
  <c r="F16"/>
  <c r="G19"/>
  <c r="F5"/>
  <c r="F20"/>
  <c r="D34"/>
  <c r="D32"/>
  <c r="J11" l="1"/>
  <c r="J22" i="4" s="1"/>
  <c r="I14" i="1"/>
  <c r="I16" s="1"/>
  <c r="H22" i="4"/>
  <c r="H7" i="6" s="1"/>
  <c r="I7" i="7"/>
  <c r="H14" i="1"/>
  <c r="H16" s="1"/>
  <c r="I22" i="4"/>
  <c r="I7" i="6" s="1"/>
  <c r="G16" i="1"/>
  <c r="G21" s="1"/>
  <c r="D17"/>
  <c r="H9" i="7"/>
  <c r="H14" i="4" s="1"/>
  <c r="F17" i="1"/>
  <c r="F21"/>
  <c r="I27" i="4"/>
  <c r="E24" i="1"/>
  <c r="E22"/>
  <c r="D22" s="1"/>
  <c r="J19" i="20"/>
  <c r="J21" s="1"/>
  <c r="G17" i="7"/>
  <c r="G17" i="4" s="1"/>
  <c r="G11" i="7"/>
  <c r="G13" s="1"/>
  <c r="G17" i="1"/>
  <c r="F5" i="8"/>
  <c r="F5" i="7"/>
  <c r="F5" i="6"/>
  <c r="F5" i="5"/>
  <c r="F5" i="4"/>
  <c r="G5" i="1"/>
  <c r="H11" i="7"/>
  <c r="H17"/>
  <c r="I11"/>
  <c r="I17"/>
  <c r="F21" i="20"/>
  <c r="E21" s="1"/>
  <c r="I19"/>
  <c r="F20"/>
  <c r="J19" i="1"/>
  <c r="I9" i="7"/>
  <c r="I14" i="4" s="1"/>
  <c r="I15" i="7"/>
  <c r="G27" i="4"/>
  <c r="G12" i="9"/>
  <c r="G7" i="6"/>
  <c r="H27" i="4"/>
  <c r="H12" i="9"/>
  <c r="K8" i="4"/>
  <c r="J8" s="1"/>
  <c r="I8" s="1"/>
  <c r="H8" s="1"/>
  <c r="G8" s="1"/>
  <c r="H17" l="1"/>
  <c r="I17" i="1"/>
  <c r="I21"/>
  <c r="I16" i="4"/>
  <c r="H15" i="7"/>
  <c r="H16" i="4" s="1"/>
  <c r="K11" i="1"/>
  <c r="K7" i="7" s="1"/>
  <c r="J7"/>
  <c r="J13" i="4" s="1"/>
  <c r="I13" s="1"/>
  <c r="H13" s="1"/>
  <c r="I12" i="9"/>
  <c r="J14" i="1"/>
  <c r="J16" s="1"/>
  <c r="I29" i="6"/>
  <c r="I14"/>
  <c r="G29"/>
  <c r="J29"/>
  <c r="K29"/>
  <c r="J14"/>
  <c r="H29"/>
  <c r="K14"/>
  <c r="G14"/>
  <c r="G19" s="1"/>
  <c r="H14"/>
  <c r="J11" i="7"/>
  <c r="J17"/>
  <c r="J17" i="4" s="1"/>
  <c r="I21" i="20"/>
  <c r="H21" s="1"/>
  <c r="I20"/>
  <c r="E25" i="1"/>
  <c r="D25" s="1"/>
  <c r="E31"/>
  <c r="F22" i="9"/>
  <c r="F24" i="1"/>
  <c r="F31" s="1"/>
  <c r="F22"/>
  <c r="G5" i="8"/>
  <c r="G5" i="7"/>
  <c r="G5" i="6"/>
  <c r="G5" i="5"/>
  <c r="G5" i="4"/>
  <c r="H5" i="1"/>
  <c r="H21"/>
  <c r="H17"/>
  <c r="I30" i="6"/>
  <c r="H30"/>
  <c r="H15"/>
  <c r="J30"/>
  <c r="J15"/>
  <c r="K15"/>
  <c r="K30"/>
  <c r="I15"/>
  <c r="J15" i="7"/>
  <c r="J16" i="4" s="1"/>
  <c r="J9" i="7"/>
  <c r="J14" i="4" s="1"/>
  <c r="J12" i="9"/>
  <c r="J27" i="4"/>
  <c r="J7" i="6"/>
  <c r="D21" i="20"/>
  <c r="D22" s="1"/>
  <c r="D26" s="1"/>
  <c r="E22"/>
  <c r="E23" s="1"/>
  <c r="J31" i="6"/>
  <c r="I31"/>
  <c r="J16"/>
  <c r="K16"/>
  <c r="K31"/>
  <c r="I16"/>
  <c r="I13" i="7"/>
  <c r="I17" i="4"/>
  <c r="H13" i="7"/>
  <c r="D40" i="1"/>
  <c r="F20" i="4"/>
  <c r="E20"/>
  <c r="G22" i="5"/>
  <c r="H22" s="1"/>
  <c r="G21"/>
  <c r="H21" s="1"/>
  <c r="I21" s="1"/>
  <c r="F39" i="4"/>
  <c r="E39"/>
  <c r="D39"/>
  <c r="D41" s="1"/>
  <c r="K40" s="1"/>
  <c r="J40" s="1"/>
  <c r="I38"/>
  <c r="J38" s="1"/>
  <c r="K38" s="1"/>
  <c r="F32" i="5"/>
  <c r="F39" s="1"/>
  <c r="E32"/>
  <c r="H31"/>
  <c r="I31" s="1"/>
  <c r="J31" s="1"/>
  <c r="K31" s="1"/>
  <c r="F22" i="7"/>
  <c r="E22"/>
  <c r="G12" i="8"/>
  <c r="K45"/>
  <c r="J45"/>
  <c r="I45"/>
  <c r="H45"/>
  <c r="G45"/>
  <c r="G7"/>
  <c r="K10" i="9"/>
  <c r="I41" i="20"/>
  <c r="F35"/>
  <c r="I35" s="1"/>
  <c r="O23" i="19"/>
  <c r="F8" s="1"/>
  <c r="O54" i="14"/>
  <c r="P23" i="19" s="1"/>
  <c r="G8" s="1"/>
  <c r="M6" i="17"/>
  <c r="Q6" s="1"/>
  <c r="L6"/>
  <c r="P6" s="1"/>
  <c r="K6"/>
  <c r="O6" s="1"/>
  <c r="J17" i="1" l="1"/>
  <c r="J21"/>
  <c r="K13" i="4"/>
  <c r="K22"/>
  <c r="K7" i="6" s="1"/>
  <c r="K19" i="1"/>
  <c r="K11" i="7" s="1"/>
  <c r="I22" i="5"/>
  <c r="J22" s="1"/>
  <c r="K14" i="1"/>
  <c r="K9" i="7" s="1"/>
  <c r="K14" i="4" s="1"/>
  <c r="K15" i="7"/>
  <c r="K16" i="4" s="1"/>
  <c r="G21" i="20"/>
  <c r="G22" s="1"/>
  <c r="H22"/>
  <c r="H23" s="1"/>
  <c r="J32" i="6"/>
  <c r="J17"/>
  <c r="K32"/>
  <c r="K17"/>
  <c r="K12" i="9"/>
  <c r="F35" i="1"/>
  <c r="F40" s="1"/>
  <c r="F44" s="1"/>
  <c r="F34"/>
  <c r="L27" i="9" s="1"/>
  <c r="F17" s="1"/>
  <c r="D27" i="20"/>
  <c r="D36"/>
  <c r="H5" i="8"/>
  <c r="H5" i="7"/>
  <c r="H5" i="6"/>
  <c r="H5" i="5"/>
  <c r="H5" i="4"/>
  <c r="I5" i="1"/>
  <c r="K17" i="7"/>
  <c r="K17" i="4" s="1"/>
  <c r="K22" i="5" s="1"/>
  <c r="C14" i="6"/>
  <c r="C29"/>
  <c r="C22"/>
  <c r="E32" i="1"/>
  <c r="E34"/>
  <c r="E35"/>
  <c r="E40" s="1"/>
  <c r="E43" s="1"/>
  <c r="J13" i="7"/>
  <c r="J21" i="5"/>
  <c r="F32" i="1"/>
  <c r="D23" i="20"/>
  <c r="K16" i="1"/>
  <c r="E39" i="5"/>
  <c r="F41"/>
  <c r="F41" i="4"/>
  <c r="D44" i="1"/>
  <c r="D43"/>
  <c r="F43"/>
  <c r="E41" i="4"/>
  <c r="K33" i="6" l="1"/>
  <c r="K18"/>
  <c r="K19" s="1"/>
  <c r="K23" i="1" s="1"/>
  <c r="K27" i="4"/>
  <c r="E44" i="1"/>
  <c r="E46" s="1"/>
  <c r="I5" i="8"/>
  <c r="I5" i="7"/>
  <c r="I5" i="6"/>
  <c r="I5" i="5"/>
  <c r="I5" i="4"/>
  <c r="J5" i="1"/>
  <c r="K21"/>
  <c r="K22" s="1"/>
  <c r="J22" s="1"/>
  <c r="I22" s="1"/>
  <c r="H22" s="1"/>
  <c r="G22" s="1"/>
  <c r="K17"/>
  <c r="C15" i="6"/>
  <c r="C23"/>
  <c r="C30"/>
  <c r="J19"/>
  <c r="K13" i="7"/>
  <c r="K15" i="4"/>
  <c r="J15" s="1"/>
  <c r="I15" s="1"/>
  <c r="H15" s="1"/>
  <c r="G15" s="1"/>
  <c r="G11" i="5" s="1"/>
  <c r="H11" s="1"/>
  <c r="I11" s="1"/>
  <c r="J11" s="1"/>
  <c r="K11" s="1"/>
  <c r="D40" i="20"/>
  <c r="D37"/>
  <c r="D39"/>
  <c r="G26"/>
  <c r="G23"/>
  <c r="K21" i="5"/>
  <c r="F47" i="1"/>
  <c r="F46"/>
  <c r="E41" i="5"/>
  <c r="D46" i="1"/>
  <c r="D47"/>
  <c r="E47" l="1"/>
  <c r="J5" i="8"/>
  <c r="J5" i="7"/>
  <c r="J5" i="6"/>
  <c r="J5" i="5"/>
  <c r="J5" i="4"/>
  <c r="K5" i="1"/>
  <c r="C31" i="6"/>
  <c r="C16"/>
  <c r="C24"/>
  <c r="D43" i="20"/>
  <c r="D42"/>
  <c r="I19" i="6"/>
  <c r="J23" i="1"/>
  <c r="J24" s="1"/>
  <c r="K24"/>
  <c r="G36" i="20"/>
  <c r="G27"/>
  <c r="K9" i="4"/>
  <c r="K8" i="9" s="1"/>
  <c r="K34" i="6"/>
  <c r="K35" s="1"/>
  <c r="K37" s="1"/>
  <c r="K10" i="4" s="1"/>
  <c r="K9" i="9" s="1"/>
  <c r="J34" i="6"/>
  <c r="J35" s="1"/>
  <c r="J37" s="1"/>
  <c r="J10" i="4" s="1"/>
  <c r="J9" i="9" s="1"/>
  <c r="J11" i="20"/>
  <c r="J16" s="1"/>
  <c r="G34" i="6"/>
  <c r="G35" s="1"/>
  <c r="G37" s="1"/>
  <c r="G10" i="4" s="1"/>
  <c r="G40" i="8"/>
  <c r="G43" s="1"/>
  <c r="G33"/>
  <c r="G36" s="1"/>
  <c r="G26"/>
  <c r="G29" s="1"/>
  <c r="H26" s="1"/>
  <c r="G19"/>
  <c r="G22" s="1"/>
  <c r="H34" i="6"/>
  <c r="I34"/>
  <c r="F14" i="20"/>
  <c r="F16" s="1"/>
  <c r="G11" i="17"/>
  <c r="I11" s="1"/>
  <c r="K11" s="1"/>
  <c r="M11" s="1"/>
  <c r="E9"/>
  <c r="G9" s="1"/>
  <c r="I9" s="1"/>
  <c r="K9" s="1"/>
  <c r="M9" s="1"/>
  <c r="I14" i="20"/>
  <c r="I15" s="1"/>
  <c r="D60" i="1"/>
  <c r="D61" s="1"/>
  <c r="G10" i="5"/>
  <c r="H10" s="1"/>
  <c r="I10" s="1"/>
  <c r="J10" s="1"/>
  <c r="K10" s="1"/>
  <c r="G9"/>
  <c r="H9" s="1"/>
  <c r="I9" s="1"/>
  <c r="J9" s="1"/>
  <c r="K9" s="1"/>
  <c r="H12"/>
  <c r="I12" s="1"/>
  <c r="J12" s="1"/>
  <c r="K12" s="1"/>
  <c r="H15"/>
  <c r="I15" s="1"/>
  <c r="J15" s="1"/>
  <c r="K15" s="1"/>
  <c r="G24"/>
  <c r="H24" s="1"/>
  <c r="I24" s="1"/>
  <c r="J24" s="1"/>
  <c r="K24" s="1"/>
  <c r="I16"/>
  <c r="J16" s="1"/>
  <c r="K16" s="1"/>
  <c r="G36"/>
  <c r="H36" s="1"/>
  <c r="I36" s="1"/>
  <c r="J36" s="1"/>
  <c r="K36" s="1"/>
  <c r="G25"/>
  <c r="H25" s="1"/>
  <c r="I25" s="1"/>
  <c r="J25" s="1"/>
  <c r="K25" s="1"/>
  <c r="H26"/>
  <c r="I26" s="1"/>
  <c r="J26" s="1"/>
  <c r="K26" s="1"/>
  <c r="H28"/>
  <c r="I28" s="1"/>
  <c r="J28" s="1"/>
  <c r="K28" s="1"/>
  <c r="H29"/>
  <c r="I29" s="1"/>
  <c r="J29" s="1"/>
  <c r="K29" s="1"/>
  <c r="H38" i="8"/>
  <c r="I38" s="1"/>
  <c r="J38" s="1"/>
  <c r="K38" s="1"/>
  <c r="J15" i="20"/>
  <c r="J20"/>
  <c r="F15"/>
  <c r="E17"/>
  <c r="D17"/>
  <c r="H17"/>
  <c r="J49" i="1"/>
  <c r="J33" i="4" s="1"/>
  <c r="I49" i="1"/>
  <c r="I33" i="4" s="1"/>
  <c r="C7" i="19"/>
  <c r="H26" i="20"/>
  <c r="C22" i="19"/>
  <c r="E22"/>
  <c r="D22"/>
  <c r="E26" i="20"/>
  <c r="E9" i="29"/>
  <c r="E15" s="1"/>
  <c r="I8"/>
  <c r="U31" i="17"/>
  <c r="U10" s="1"/>
  <c r="J22" i="19"/>
  <c r="K49" i="1" l="1"/>
  <c r="K33" i="4" s="1"/>
  <c r="E10" i="17"/>
  <c r="E12" s="1"/>
  <c r="W31" s="1"/>
  <c r="I35" i="6"/>
  <c r="I37" s="1"/>
  <c r="I10" i="4" s="1"/>
  <c r="I9" i="9" s="1"/>
  <c r="J9" i="4"/>
  <c r="J8" i="9" s="1"/>
  <c r="H40" i="8"/>
  <c r="H43" s="1"/>
  <c r="I40" s="1"/>
  <c r="I43" s="1"/>
  <c r="G44"/>
  <c r="K7" i="9"/>
  <c r="K13" s="1"/>
  <c r="K25" i="1"/>
  <c r="D54" i="20"/>
  <c r="D53"/>
  <c r="D48"/>
  <c r="K5" i="8"/>
  <c r="K5" i="7"/>
  <c r="K5" i="6"/>
  <c r="K5" i="5"/>
  <c r="K5" i="4"/>
  <c r="E27" i="20"/>
  <c r="E36"/>
  <c r="G37"/>
  <c r="G39"/>
  <c r="G40"/>
  <c r="C32" i="6"/>
  <c r="C25"/>
  <c r="C17"/>
  <c r="H27" i="20"/>
  <c r="H36"/>
  <c r="J7" i="9"/>
  <c r="J13" s="1"/>
  <c r="J25" i="1"/>
  <c r="E16" i="29"/>
  <c r="E14"/>
  <c r="G9"/>
  <c r="G16" s="1"/>
  <c r="H19" i="6"/>
  <c r="H23" i="1" s="1"/>
  <c r="I23"/>
  <c r="H29" i="8"/>
  <c r="I26" s="1"/>
  <c r="H19"/>
  <c r="H22" s="1"/>
  <c r="I19" s="1"/>
  <c r="I22" s="1"/>
  <c r="J19" s="1"/>
  <c r="J22" s="1"/>
  <c r="K19" s="1"/>
  <c r="K22" s="1"/>
  <c r="G24"/>
  <c r="H24" s="1"/>
  <c r="G9" i="9"/>
  <c r="G30" i="5"/>
  <c r="F22" i="20"/>
  <c r="F17"/>
  <c r="G50" i="1"/>
  <c r="D60" i="20"/>
  <c r="G37" i="8"/>
  <c r="H33"/>
  <c r="H36" s="1"/>
  <c r="J22" i="20"/>
  <c r="J17"/>
  <c r="I16"/>
  <c r="Q9" i="17"/>
  <c r="G30" i="8"/>
  <c r="G14" i="29" l="1"/>
  <c r="H30" i="8"/>
  <c r="G15" i="29"/>
  <c r="F21" i="9"/>
  <c r="F23" s="1"/>
  <c r="F24" s="1"/>
  <c r="E33" s="1"/>
  <c r="G23" i="1"/>
  <c r="H24"/>
  <c r="H9" i="4"/>
  <c r="H8" i="9" s="1"/>
  <c r="G43" i="20"/>
  <c r="G42"/>
  <c r="I24" i="1"/>
  <c r="I7" i="9" s="1"/>
  <c r="I13" s="1"/>
  <c r="I9" i="4"/>
  <c r="I8" i="9" s="1"/>
  <c r="C18" i="6"/>
  <c r="C33"/>
  <c r="C26"/>
  <c r="D51" i="20"/>
  <c r="D50"/>
  <c r="H37"/>
  <c r="H39"/>
  <c r="H40"/>
  <c r="E39"/>
  <c r="E40"/>
  <c r="E37"/>
  <c r="H44" i="8"/>
  <c r="H28" i="1" s="1"/>
  <c r="H35" i="6"/>
  <c r="H37" s="1"/>
  <c r="H10" i="4" s="1"/>
  <c r="H9" i="9" s="1"/>
  <c r="G28" i="1"/>
  <c r="I22" i="20"/>
  <c r="I17"/>
  <c r="J57"/>
  <c r="H50" i="1"/>
  <c r="I50" s="1"/>
  <c r="J50" s="1"/>
  <c r="K50" s="1"/>
  <c r="D68" i="20"/>
  <c r="E7" i="19" s="1"/>
  <c r="D7"/>
  <c r="J40" i="8"/>
  <c r="J43" s="1"/>
  <c r="I44"/>
  <c r="I29"/>
  <c r="J26" s="1"/>
  <c r="J23" i="20"/>
  <c r="N22" i="19"/>
  <c r="C13" i="17"/>
  <c r="L22" i="19"/>
  <c r="F23" i="20"/>
  <c r="F26"/>
  <c r="I33" i="8"/>
  <c r="I36" s="1"/>
  <c r="H37"/>
  <c r="V31" i="17"/>
  <c r="W10"/>
  <c r="H23" i="8"/>
  <c r="I24"/>
  <c r="H30" i="5" l="1"/>
  <c r="I30" s="1"/>
  <c r="J30" s="1"/>
  <c r="K30" s="1"/>
  <c r="H43" i="20"/>
  <c r="H42"/>
  <c r="E43"/>
  <c r="E42"/>
  <c r="G9" i="4"/>
  <c r="J24" i="20"/>
  <c r="G24" i="1"/>
  <c r="H25"/>
  <c r="H7" i="9"/>
  <c r="H13" s="1"/>
  <c r="G54" i="20"/>
  <c r="G53"/>
  <c r="G48"/>
  <c r="I30" i="8"/>
  <c r="I28" i="1" s="1"/>
  <c r="I25"/>
  <c r="I37" i="8"/>
  <c r="J33"/>
  <c r="J36" s="1"/>
  <c r="J44"/>
  <c r="K40"/>
  <c r="K43" s="1"/>
  <c r="K44" s="1"/>
  <c r="M22" i="19"/>
  <c r="P7" s="1"/>
  <c r="I23" i="20"/>
  <c r="I26"/>
  <c r="J24" i="8"/>
  <c r="I23"/>
  <c r="F36" i="20"/>
  <c r="F22" i="19"/>
  <c r="F27" i="20"/>
  <c r="C14" i="17"/>
  <c r="E13"/>
  <c r="J29" i="8"/>
  <c r="K26" s="1"/>
  <c r="I7" i="19"/>
  <c r="Q7"/>
  <c r="O7"/>
  <c r="L7"/>
  <c r="J7"/>
  <c r="K7"/>
  <c r="G25" i="1" l="1"/>
  <c r="F25" s="1"/>
  <c r="G7" i="9"/>
  <c r="E54" i="20"/>
  <c r="E53"/>
  <c r="E48"/>
  <c r="G8" i="9"/>
  <c r="G14" i="5"/>
  <c r="H14" s="1"/>
  <c r="I14" s="1"/>
  <c r="J14" s="1"/>
  <c r="K14" s="1"/>
  <c r="H54" i="20"/>
  <c r="H53"/>
  <c r="H48"/>
  <c r="J25"/>
  <c r="K22" i="19"/>
  <c r="J26" i="20"/>
  <c r="G51"/>
  <c r="G50"/>
  <c r="K29" i="8"/>
  <c r="K30" s="1"/>
  <c r="K24"/>
  <c r="K23" s="1"/>
  <c r="J23"/>
  <c r="K33"/>
  <c r="K36" s="1"/>
  <c r="K37" s="1"/>
  <c r="J37"/>
  <c r="J30"/>
  <c r="J28" i="1" s="1"/>
  <c r="G13" i="17"/>
  <c r="E14"/>
  <c r="F37" i="20"/>
  <c r="F40"/>
  <c r="F39"/>
  <c r="G22" i="19"/>
  <c r="M7" s="1"/>
  <c r="I36" i="20"/>
  <c r="I27"/>
  <c r="H51" l="1"/>
  <c r="H50"/>
  <c r="G13" i="9"/>
  <c r="H22" i="19"/>
  <c r="N7" s="1"/>
  <c r="J27" i="20"/>
  <c r="E51"/>
  <c r="E50"/>
  <c r="K28" i="1"/>
  <c r="F43" i="20"/>
  <c r="F42"/>
  <c r="I39"/>
  <c r="I40"/>
  <c r="I37"/>
  <c r="I13" i="17"/>
  <c r="G12"/>
  <c r="F48" i="20" l="1"/>
  <c r="F54"/>
  <c r="O22" i="19" s="1"/>
  <c r="F7" s="1"/>
  <c r="F53" i="20"/>
  <c r="I12" i="17"/>
  <c r="K13"/>
  <c r="G10"/>
  <c r="G8" s="1"/>
  <c r="U24" s="1"/>
  <c r="U32"/>
  <c r="I43" i="20"/>
  <c r="I42"/>
  <c r="U11" i="17" l="1"/>
  <c r="K12"/>
  <c r="M13"/>
  <c r="F50" i="20"/>
  <c r="F51"/>
  <c r="I48"/>
  <c r="I54"/>
  <c r="P22" i="19" s="1"/>
  <c r="G7" s="1"/>
  <c r="I53" i="20"/>
  <c r="I10" i="17"/>
  <c r="I8" s="1"/>
  <c r="W24" s="1"/>
  <c r="V24" s="1"/>
  <c r="W32"/>
  <c r="W11" l="1"/>
  <c r="V32"/>
  <c r="I50" i="20"/>
  <c r="I51"/>
  <c r="K10" i="17"/>
  <c r="K8" s="1"/>
  <c r="U25" s="1"/>
  <c r="U33"/>
  <c r="M12"/>
  <c r="O13"/>
  <c r="Q13" s="1"/>
  <c r="U12" l="1"/>
  <c r="W33"/>
  <c r="M10"/>
  <c r="M8" s="1"/>
  <c r="W25" s="1"/>
  <c r="V25" s="1"/>
  <c r="W12" l="1"/>
  <c r="V33"/>
  <c r="H38" i="5" l="1"/>
  <c r="I38" s="1"/>
  <c r="J38" s="1"/>
  <c r="K38" s="1"/>
  <c r="F5" i="9"/>
  <c r="G5" s="1"/>
  <c r="H5" s="1"/>
  <c r="I5" s="1"/>
  <c r="J5" s="1"/>
  <c r="K5" s="1"/>
  <c r="D66" i="14"/>
  <c r="D67" s="1"/>
  <c r="D68" s="1"/>
  <c r="D71" s="1"/>
  <c r="D56" i="15"/>
  <c r="D57" s="1"/>
  <c r="D58" s="1"/>
  <c r="D64" i="22"/>
  <c r="D65" s="1"/>
  <c r="D66" s="1"/>
  <c r="D51" i="23"/>
  <c r="D52" s="1"/>
  <c r="D53" s="1"/>
  <c r="D49" i="24"/>
  <c r="D50"/>
  <c r="D51" s="1"/>
  <c r="K9" i="22"/>
  <c r="K14" s="1"/>
  <c r="G27" i="19"/>
  <c r="F25"/>
  <c r="E17" i="24"/>
  <c r="E19" s="1"/>
  <c r="E20" s="1"/>
  <c r="P19"/>
  <c r="P20"/>
  <c r="P24" s="1"/>
  <c r="D27" i="19"/>
  <c r="L24"/>
  <c r="L25"/>
  <c r="P24"/>
  <c r="G9" s="1"/>
  <c r="J32" i="23"/>
  <c r="K32" s="1"/>
  <c r="K29" s="1"/>
  <c r="K33" s="1"/>
  <c r="K36" s="1"/>
  <c r="J29"/>
  <c r="J33" s="1"/>
  <c r="J37" s="1"/>
  <c r="P26" i="19" s="1"/>
  <c r="G11" s="1"/>
  <c r="P27"/>
  <c r="G12" s="1"/>
  <c r="L9" i="28"/>
  <c r="L14" s="1"/>
  <c r="E27" i="19"/>
  <c r="M24"/>
  <c r="M27"/>
  <c r="N24"/>
  <c r="O24"/>
  <c r="F9" s="1"/>
  <c r="O25"/>
  <c r="F10" s="1"/>
  <c r="O26"/>
  <c r="F11" s="1"/>
  <c r="K24"/>
  <c r="J24"/>
  <c r="J25"/>
  <c r="J46" i="14"/>
  <c r="F46"/>
  <c r="F47" s="1"/>
  <c r="F48" s="1"/>
  <c r="K46"/>
  <c r="K47" s="1"/>
  <c r="K48" s="1"/>
  <c r="M47"/>
  <c r="M48" s="1"/>
  <c r="M51" s="1"/>
  <c r="M42"/>
  <c r="P42" s="1"/>
  <c r="O42"/>
  <c r="N42"/>
  <c r="E48"/>
  <c r="E51" s="1"/>
  <c r="K20" i="24"/>
  <c r="K24" s="1"/>
  <c r="J20"/>
  <c r="J21" s="1"/>
  <c r="J24"/>
  <c r="J30" s="1"/>
  <c r="I20"/>
  <c r="I24" s="1"/>
  <c r="K19" i="22"/>
  <c r="K21" i="24"/>
  <c r="H18" i="22"/>
  <c r="F17" i="24"/>
  <c r="D19"/>
  <c r="D20" s="1"/>
  <c r="H33" i="23"/>
  <c r="H36" s="1"/>
  <c r="H37"/>
  <c r="O18" i="24"/>
  <c r="I21"/>
  <c r="I33" i="23"/>
  <c r="I36" s="1"/>
  <c r="I37"/>
  <c r="O23" i="24"/>
  <c r="H24"/>
  <c r="H30" s="1"/>
  <c r="H25"/>
  <c r="K27" i="19"/>
  <c r="R22" i="27"/>
  <c r="R24" s="1"/>
  <c r="Q23"/>
  <c r="R23"/>
  <c r="Q22"/>
  <c r="Q24" s="1"/>
  <c r="P22"/>
  <c r="P24"/>
  <c r="O22"/>
  <c r="O24" s="1"/>
  <c r="N24"/>
  <c r="M24"/>
  <c r="L27" i="28"/>
  <c r="L28" s="1"/>
  <c r="K51" i="14" l="1"/>
  <c r="K50"/>
  <c r="J34" i="24"/>
  <c r="J33"/>
  <c r="J31"/>
  <c r="E18"/>
  <c r="G17"/>
  <c r="G18" s="1"/>
  <c r="L46" i="14"/>
  <c r="L47" s="1"/>
  <c r="L48" s="1"/>
  <c r="L51" s="1"/>
  <c r="J25" i="24"/>
  <c r="D21"/>
  <c r="D24"/>
  <c r="L24"/>
  <c r="L25" s="1"/>
  <c r="K30"/>
  <c r="K25"/>
  <c r="F51" i="14"/>
  <c r="F50"/>
  <c r="P30" i="24"/>
  <c r="P25"/>
  <c r="H27" i="19"/>
  <c r="K41" i="23"/>
  <c r="D56"/>
  <c r="D79" i="14"/>
  <c r="E8" i="19" s="1"/>
  <c r="D8"/>
  <c r="I9" i="29"/>
  <c r="I16" s="1"/>
  <c r="L16" i="28"/>
  <c r="J47" i="15"/>
  <c r="J44" s="1"/>
  <c r="Q24" i="19" s="1"/>
  <c r="H9" s="1"/>
  <c r="D61" i="15"/>
  <c r="E24" i="24"/>
  <c r="E21"/>
  <c r="P40"/>
  <c r="D54"/>
  <c r="H31"/>
  <c r="H33"/>
  <c r="H34"/>
  <c r="I30"/>
  <c r="I25"/>
  <c r="L50" i="14"/>
  <c r="K15" i="22"/>
  <c r="K20"/>
  <c r="D69"/>
  <c r="L55"/>
  <c r="F19" i="24"/>
  <c r="E50" i="14"/>
  <c r="G46"/>
  <c r="D25" i="19"/>
  <c r="L20" i="24"/>
  <c r="L21" s="1"/>
  <c r="M50" i="14"/>
  <c r="J47"/>
  <c r="J48" s="1"/>
  <c r="K37" i="23"/>
  <c r="Q26" i="19" s="1"/>
  <c r="H11" s="1"/>
  <c r="N27"/>
  <c r="K23" i="22"/>
  <c r="L23" s="1"/>
  <c r="L22" s="1"/>
  <c r="K25" i="19" s="1"/>
  <c r="K18" i="22"/>
  <c r="L18" s="1"/>
  <c r="K13"/>
  <c r="L13" s="1"/>
  <c r="N17" i="24"/>
  <c r="P21"/>
  <c r="J36" i="23"/>
  <c r="L9" i="22"/>
  <c r="F18" i="24"/>
  <c r="N47" i="14"/>
  <c r="N48" s="1"/>
  <c r="I14" i="29"/>
  <c r="J36" i="24" l="1"/>
  <c r="J37"/>
  <c r="J50" i="14"/>
  <c r="J51"/>
  <c r="G19" i="24"/>
  <c r="F20"/>
  <c r="D77" i="22"/>
  <c r="E10" i="19" s="1"/>
  <c r="D10"/>
  <c r="I34" i="24"/>
  <c r="I33"/>
  <c r="I31"/>
  <c r="L19" i="28"/>
  <c r="H9" i="29"/>
  <c r="D64" i="23"/>
  <c r="E11" i="19" s="1"/>
  <c r="D11"/>
  <c r="P31" i="24"/>
  <c r="P32"/>
  <c r="P34" s="1"/>
  <c r="D30"/>
  <c r="D25"/>
  <c r="E25" i="19"/>
  <c r="L8"/>
  <c r="N8"/>
  <c r="J8"/>
  <c r="O8"/>
  <c r="P8"/>
  <c r="I8"/>
  <c r="M8"/>
  <c r="Q8"/>
  <c r="K8"/>
  <c r="G47" i="14"/>
  <c r="G48" s="1"/>
  <c r="O46"/>
  <c r="O47" s="1"/>
  <c r="O48" s="1"/>
  <c r="H37" i="24"/>
  <c r="H36"/>
  <c r="D62"/>
  <c r="E12" i="19" s="1"/>
  <c r="D12"/>
  <c r="D69" i="15"/>
  <c r="E9" i="19" s="1"/>
  <c r="D9"/>
  <c r="K33" i="24"/>
  <c r="K31"/>
  <c r="L30"/>
  <c r="K34"/>
  <c r="L17" i="22"/>
  <c r="L19" s="1"/>
  <c r="I15" i="29"/>
  <c r="L12" i="22"/>
  <c r="L14" s="1"/>
  <c r="Q12" i="19"/>
  <c r="N12"/>
  <c r="N51" i="14"/>
  <c r="N50"/>
  <c r="N19" i="24"/>
  <c r="N20" s="1"/>
  <c r="N18"/>
  <c r="K24" i="22"/>
  <c r="M25" i="19"/>
  <c r="K21" i="22"/>
  <c r="E30" i="24"/>
  <c r="E25"/>
  <c r="L20" i="22" l="1"/>
  <c r="L15"/>
  <c r="E31" i="24"/>
  <c r="E34"/>
  <c r="E33"/>
  <c r="L31"/>
  <c r="L33"/>
  <c r="D34"/>
  <c r="D33"/>
  <c r="D31"/>
  <c r="K25" i="22"/>
  <c r="K34"/>
  <c r="G25" i="19"/>
  <c r="M10" s="1"/>
  <c r="N21" i="24"/>
  <c r="L27" i="19"/>
  <c r="O12" s="1"/>
  <c r="N24" i="24"/>
  <c r="K37"/>
  <c r="K36"/>
  <c r="L34"/>
  <c r="P36"/>
  <c r="P37"/>
  <c r="Q27" i="19" s="1"/>
  <c r="H12" s="1"/>
  <c r="L20" i="28"/>
  <c r="L24"/>
  <c r="I12" i="19"/>
  <c r="P12"/>
  <c r="J12"/>
  <c r="K12"/>
  <c r="M12"/>
  <c r="O50" i="14"/>
  <c r="O51"/>
  <c r="H14" i="29"/>
  <c r="H15"/>
  <c r="H16"/>
  <c r="I36" i="24"/>
  <c r="I37"/>
  <c r="I9" i="19"/>
  <c r="M9"/>
  <c r="P9"/>
  <c r="P15" s="1"/>
  <c r="K9"/>
  <c r="N9"/>
  <c r="J9"/>
  <c r="L9"/>
  <c r="O9"/>
  <c r="Q9"/>
  <c r="K10"/>
  <c r="L10"/>
  <c r="P10"/>
  <c r="I10"/>
  <c r="O10"/>
  <c r="J10"/>
  <c r="G51" i="14"/>
  <c r="G50"/>
  <c r="M11" i="19"/>
  <c r="L11"/>
  <c r="K11"/>
  <c r="P11"/>
  <c r="I11"/>
  <c r="J11"/>
  <c r="O11"/>
  <c r="N11"/>
  <c r="Q11"/>
  <c r="G20" i="24"/>
  <c r="G21" s="1"/>
  <c r="F24"/>
  <c r="F21"/>
  <c r="O15" i="19" l="1"/>
  <c r="K13"/>
  <c r="I13"/>
  <c r="I14"/>
  <c r="M13"/>
  <c r="M15"/>
  <c r="M14"/>
  <c r="L36" i="24"/>
  <c r="L37"/>
  <c r="I15" i="19"/>
  <c r="K14"/>
  <c r="O13"/>
  <c r="J14"/>
  <c r="P14"/>
  <c r="F9" i="29"/>
  <c r="L30" i="28"/>
  <c r="L21" i="22"/>
  <c r="L24"/>
  <c r="N25" i="19"/>
  <c r="Q10" s="1"/>
  <c r="Q13" s="1"/>
  <c r="E36" i="24"/>
  <c r="E37"/>
  <c r="F25"/>
  <c r="F30"/>
  <c r="G24"/>
  <c r="G25" s="1"/>
  <c r="J13" i="19"/>
  <c r="J15"/>
  <c r="N25" i="24"/>
  <c r="F27" i="19"/>
  <c r="L12" s="1"/>
  <c r="L14" s="1"/>
  <c r="N30" i="24"/>
  <c r="K35" i="22"/>
  <c r="K37"/>
  <c r="L37" s="1"/>
  <c r="K38"/>
  <c r="D36" i="24"/>
  <c r="D37"/>
  <c r="K15" i="19"/>
  <c r="O14"/>
  <c r="P13"/>
  <c r="L13" l="1"/>
  <c r="L15"/>
  <c r="F33" i="24"/>
  <c r="F31"/>
  <c r="F34"/>
  <c r="G30"/>
  <c r="F15" i="29"/>
  <c r="F16"/>
  <c r="F14"/>
  <c r="K41" i="22"/>
  <c r="K40"/>
  <c r="L40" s="1"/>
  <c r="N34" i="24"/>
  <c r="N31"/>
  <c r="N33"/>
  <c r="L25" i="22"/>
  <c r="H25" i="19"/>
  <c r="N10" s="1"/>
  <c r="L34" i="22"/>
  <c r="L36" s="1"/>
  <c r="Q15" i="19"/>
  <c r="Q14"/>
  <c r="K46" i="22" l="1"/>
  <c r="K51"/>
  <c r="K52"/>
  <c r="P25" i="19" s="1"/>
  <c r="G10" s="1"/>
  <c r="N13"/>
  <c r="N15"/>
  <c r="N14"/>
  <c r="N36" i="24"/>
  <c r="N37"/>
  <c r="O27" i="19" s="1"/>
  <c r="F12" s="1"/>
  <c r="L35" i="22"/>
  <c r="L38"/>
  <c r="L39" s="1"/>
  <c r="F36" i="24"/>
  <c r="F37"/>
  <c r="G34"/>
  <c r="G31"/>
  <c r="G33"/>
  <c r="G36" l="1"/>
  <c r="G37"/>
  <c r="G14" i="19"/>
  <c r="G13"/>
  <c r="G15"/>
  <c r="F13"/>
  <c r="F15"/>
  <c r="F14"/>
  <c r="K49" i="22"/>
  <c r="K48"/>
  <c r="L41"/>
  <c r="L46" l="1"/>
  <c r="L52"/>
  <c r="Q25" i="19" s="1"/>
  <c r="H10" s="1"/>
  <c r="L51" i="22"/>
  <c r="L48" l="1"/>
  <c r="L49"/>
  <c r="G8" i="5"/>
  <c r="H8"/>
  <c r="I8"/>
  <c r="J8"/>
  <c r="K8"/>
  <c r="G13"/>
  <c r="H13"/>
  <c r="I13"/>
  <c r="J13"/>
  <c r="K13"/>
  <c r="G17"/>
  <c r="H17"/>
  <c r="I17"/>
  <c r="J17"/>
  <c r="K17"/>
  <c r="G20"/>
  <c r="H20"/>
  <c r="I20"/>
  <c r="J20"/>
  <c r="K20"/>
  <c r="G23"/>
  <c r="H23"/>
  <c r="I23"/>
  <c r="J23"/>
  <c r="K23"/>
  <c r="G27"/>
  <c r="H27"/>
  <c r="I27"/>
  <c r="J27"/>
  <c r="K27"/>
  <c r="G32"/>
  <c r="H32"/>
  <c r="I32"/>
  <c r="J32"/>
  <c r="K32"/>
  <c r="G35"/>
  <c r="H35"/>
  <c r="I35"/>
  <c r="J35"/>
  <c r="K35"/>
  <c r="G37"/>
  <c r="H37"/>
  <c r="I37"/>
  <c r="J37"/>
  <c r="K37"/>
  <c r="G39"/>
  <c r="H39"/>
  <c r="I39"/>
  <c r="J39"/>
  <c r="K39"/>
  <c r="G41"/>
  <c r="H41"/>
  <c r="I41"/>
  <c r="J41"/>
  <c r="K41"/>
  <c r="G7" i="4"/>
  <c r="H7"/>
  <c r="I7"/>
  <c r="J7"/>
  <c r="K7"/>
  <c r="G18"/>
  <c r="H18"/>
  <c r="I18"/>
  <c r="J18"/>
  <c r="K18"/>
  <c r="G19"/>
  <c r="H19"/>
  <c r="I19"/>
  <c r="J19"/>
  <c r="K19"/>
  <c r="G20"/>
  <c r="H20"/>
  <c r="I20"/>
  <c r="J20"/>
  <c r="K20"/>
  <c r="G29"/>
  <c r="H29"/>
  <c r="I29"/>
  <c r="J29"/>
  <c r="K29"/>
  <c r="G39"/>
  <c r="H39"/>
  <c r="I39"/>
  <c r="J39"/>
  <c r="K39"/>
  <c r="G41"/>
  <c r="H41"/>
  <c r="I41"/>
  <c r="J41"/>
  <c r="K41"/>
  <c r="G43"/>
  <c r="H43"/>
  <c r="I43"/>
  <c r="J43"/>
  <c r="K43"/>
  <c r="H7" i="19"/>
  <c r="H8"/>
  <c r="H13"/>
  <c r="H14"/>
  <c r="H15"/>
  <c r="Q22"/>
  <c r="Q23"/>
  <c r="P41" i="14"/>
  <c r="P43"/>
  <c r="P48"/>
  <c r="P50"/>
  <c r="P51"/>
  <c r="P53"/>
  <c r="P54"/>
  <c r="G11" i="9"/>
  <c r="H11"/>
  <c r="I11"/>
  <c r="J11"/>
  <c r="K11"/>
  <c r="G14"/>
  <c r="H14"/>
  <c r="I14"/>
  <c r="J14"/>
  <c r="K14"/>
  <c r="G17"/>
  <c r="H17"/>
  <c r="I17"/>
  <c r="J17"/>
  <c r="K17"/>
  <c r="G18"/>
  <c r="F26"/>
  <c r="F28"/>
  <c r="F29"/>
  <c r="E32"/>
  <c r="F32"/>
  <c r="F33"/>
  <c r="E34"/>
  <c r="F34"/>
  <c r="E36"/>
  <c r="F36"/>
  <c r="E38"/>
  <c r="F38"/>
  <c r="H7" i="8"/>
  <c r="I7"/>
  <c r="J7"/>
  <c r="K7"/>
  <c r="G8"/>
  <c r="H8"/>
  <c r="I8"/>
  <c r="J8"/>
  <c r="K8"/>
  <c r="G10"/>
  <c r="H10"/>
  <c r="I10"/>
  <c r="J10"/>
  <c r="K10"/>
  <c r="H12"/>
  <c r="I12"/>
  <c r="J12"/>
  <c r="K12"/>
  <c r="G14"/>
  <c r="H14"/>
  <c r="I14"/>
  <c r="J14"/>
  <c r="K14"/>
  <c r="G15"/>
  <c r="H15"/>
  <c r="I15"/>
  <c r="J15"/>
  <c r="K15"/>
  <c r="G16"/>
  <c r="H16"/>
  <c r="I16"/>
  <c r="J16"/>
  <c r="K16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1"/>
  <c r="H51"/>
  <c r="I51"/>
  <c r="J51"/>
  <c r="K51"/>
  <c r="O8" i="17"/>
  <c r="Q8"/>
  <c r="O10"/>
  <c r="Q10"/>
  <c r="O12"/>
  <c r="Q12"/>
  <c r="U13"/>
  <c r="W13"/>
  <c r="O14"/>
  <c r="Q14"/>
  <c r="U26"/>
  <c r="V26"/>
  <c r="W26"/>
  <c r="U34"/>
  <c r="V34"/>
  <c r="W34"/>
  <c r="G27" i="1"/>
  <c r="H27"/>
  <c r="I27"/>
  <c r="J27"/>
  <c r="K27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5"/>
  <c r="H35"/>
  <c r="I35"/>
  <c r="J35"/>
  <c r="K35"/>
  <c r="G40"/>
  <c r="H40"/>
  <c r="I40"/>
  <c r="J40"/>
  <c r="K40"/>
  <c r="G42"/>
  <c r="H42"/>
  <c r="I42"/>
  <c r="J42"/>
  <c r="K42"/>
  <c r="G44"/>
  <c r="H44"/>
  <c r="I44"/>
  <c r="J44"/>
  <c r="K44"/>
  <c r="G46"/>
  <c r="H46"/>
  <c r="I46"/>
  <c r="J46"/>
  <c r="K46"/>
  <c r="G47"/>
  <c r="H47"/>
  <c r="I47"/>
  <c r="J47"/>
  <c r="K47"/>
  <c r="G19" i="7"/>
  <c r="H19"/>
  <c r="I19"/>
  <c r="J19"/>
  <c r="K19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J35" i="20"/>
  <c r="J36"/>
  <c r="J37"/>
  <c r="J38"/>
  <c r="J40"/>
  <c r="J41"/>
  <c r="J42"/>
  <c r="J43"/>
  <c r="J48"/>
  <c r="J50"/>
  <c r="J51"/>
  <c r="J53"/>
  <c r="J54"/>
</calcChain>
</file>

<file path=xl/comments1.xml><?xml version="1.0" encoding="utf-8"?>
<comments xmlns="http://schemas.openxmlformats.org/spreadsheetml/2006/main">
  <authors>
    <author>Paul</author>
  </authors>
  <commentList>
    <comment ref="O26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Shares were not re-adjusted for stock split on 6/2012</t>
        </r>
      </text>
    </comment>
  </commentList>
</comments>
</file>

<file path=xl/comments2.xml><?xml version="1.0" encoding="utf-8"?>
<comments xmlns="http://schemas.openxmlformats.org/spreadsheetml/2006/main">
  <authors>
    <author>Guest</author>
  </authors>
  <commentList>
    <comment ref="H39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</commentList>
</comments>
</file>

<file path=xl/comments3.xml><?xml version="1.0" encoding="utf-8"?>
<comments xmlns="http://schemas.openxmlformats.org/spreadsheetml/2006/main">
  <authors>
    <author>Guest</author>
  </authors>
  <commentList>
    <comment ref="H35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4.xml><?xml version="1.0" encoding="utf-8"?>
<comments xmlns="http://schemas.openxmlformats.org/spreadsheetml/2006/main">
  <authors>
    <author>Mark Bottini</author>
    <author>Guest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This is the net SG&amp;A amount after D&amp;A had been taken out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F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G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K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G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K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Net redemption and repurchase of senior notes</t>
        </r>
      </text>
    </comment>
  </commentList>
</comments>
</file>

<file path=xl/comments5.xml><?xml version="1.0" encoding="utf-8"?>
<comments xmlns="http://schemas.openxmlformats.org/spreadsheetml/2006/main">
  <authors>
    <author>camp0880</author>
  </authors>
  <commentList>
    <comment ref="D48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</commentList>
</comments>
</file>

<file path=xl/comments6.xml><?xml version="1.0" encoding="utf-8"?>
<comments xmlns="http://schemas.openxmlformats.org/spreadsheetml/2006/main">
  <authors>
    <author>Guest</author>
  </authors>
  <commentList>
    <comment ref="J28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7.xml><?xml version="1.0" encoding="utf-8"?>
<comments xmlns="http://schemas.openxmlformats.org/spreadsheetml/2006/main">
  <authors>
    <author>camp0880</author>
  </authors>
  <commentList>
    <comment ref="C22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after taxes and before non-recurring charges or credits directly attributable to the transaction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http://www.sec.gov/Archives/edgar/data/95585/000093041307007842/c50663_defm14a.htm#unaudited1</t>
        </r>
      </text>
    </comment>
  </commentList>
</comments>
</file>

<file path=xl/comments8.xml><?xml version="1.0" encoding="utf-8"?>
<comments xmlns="http://schemas.openxmlformats.org/spreadsheetml/2006/main">
  <authors>
    <author>camp0880</author>
  </authors>
  <commentList>
    <comment ref="K46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Current portion of debt, capital leases and financing obligations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Long-term debt, capital leases and financing obligations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http://www.sec.gov/Archives/edgar/data/909990/000103570407000482/d47515prem14a.htm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http://www.sec.gov/Archives/edgar/data/909990/000136231007000276/0001362310-07-000276-index.htm
- announcement on Feb 2, 2007
- used 10-K year ended Dec 31</t>
        </r>
      </text>
    </comment>
  </commentList>
</comments>
</file>

<file path=xl/sharedStrings.xml><?xml version="1.0" encoding="utf-8"?>
<sst xmlns="http://schemas.openxmlformats.org/spreadsheetml/2006/main" count="976" uniqueCount="428">
  <si>
    <t>Other</t>
  </si>
  <si>
    <t>EBIT</t>
  </si>
  <si>
    <t>EBITDA</t>
  </si>
  <si>
    <t>Depreciation</t>
  </si>
  <si>
    <t>Basic</t>
  </si>
  <si>
    <t>Diluted</t>
  </si>
  <si>
    <t>Assets</t>
  </si>
  <si>
    <t>Goodwill</t>
  </si>
  <si>
    <t>Liabilities</t>
  </si>
  <si>
    <t>Balance? (Y/N)</t>
  </si>
  <si>
    <t>Debt Schedule</t>
  </si>
  <si>
    <t>Existing PP&amp;E</t>
  </si>
  <si>
    <t>Match? (Y/N)</t>
  </si>
  <si>
    <t>Equity in earnings of unconsolidated affiliates</t>
  </si>
  <si>
    <t>Consolidated Statements of Cash Flows</t>
  </si>
  <si>
    <t>Consolidated Income Statements</t>
  </si>
  <si>
    <t>Consolidated Balance Sheets</t>
  </si>
  <si>
    <t>Operating Working Capital Schedule (OWC)</t>
  </si>
  <si>
    <t>SUPPLEMENTAL DATA:</t>
  </si>
  <si>
    <t>Deferred income taxes</t>
  </si>
  <si>
    <t>Cash flows from operating activities</t>
  </si>
  <si>
    <t>Cash flows from investing activities</t>
  </si>
  <si>
    <t>Cash flows from financing activities</t>
  </si>
  <si>
    <t>Changes in accounts receivable</t>
  </si>
  <si>
    <t>Changes in inventory</t>
  </si>
  <si>
    <t>Changes in accounts payable</t>
  </si>
  <si>
    <t>Cash and cash equivalents</t>
  </si>
  <si>
    <t>Accounts payable</t>
  </si>
  <si>
    <t>Total current assets</t>
  </si>
  <si>
    <t>Total current liabilities</t>
  </si>
  <si>
    <t>Property, plant and equipment, net</t>
  </si>
  <si>
    <t>Accumulated other comprehensive income (loss)</t>
  </si>
  <si>
    <t>Actuals</t>
  </si>
  <si>
    <t>Estimates</t>
  </si>
  <si>
    <t>Short-term debt</t>
  </si>
  <si>
    <t>Long-term debt</t>
  </si>
  <si>
    <t>Short-term borrowings (repayments)</t>
  </si>
  <si>
    <t>Long-term borrowings (repayments)</t>
  </si>
  <si>
    <t>Long term debt (beginning of year)</t>
  </si>
  <si>
    <t>Revenue</t>
  </si>
  <si>
    <t>Y/Y revenue growth (%)</t>
  </si>
  <si>
    <t>Cost of goods sold</t>
  </si>
  <si>
    <t>COGS as a % of revenue</t>
  </si>
  <si>
    <t>Gross profit margin (%)</t>
  </si>
  <si>
    <t>Selling, general and administrative</t>
  </si>
  <si>
    <t>EBITDA margin (%)</t>
  </si>
  <si>
    <t>Depreciation and amortization</t>
  </si>
  <si>
    <t>EBIT margin (%)</t>
  </si>
  <si>
    <t>Interest income</t>
  </si>
  <si>
    <t>Operating expenses</t>
  </si>
  <si>
    <t>Total operating expenses</t>
  </si>
  <si>
    <t>Other income</t>
  </si>
  <si>
    <t>Income before tax (IBT)</t>
  </si>
  <si>
    <t>All-in effective tax rate (%)</t>
  </si>
  <si>
    <t>IBT margin (%)</t>
  </si>
  <si>
    <t>Income tax expense</t>
  </si>
  <si>
    <t>Non-recurring events</t>
  </si>
  <si>
    <t>Discontinued operations</t>
  </si>
  <si>
    <t>Other items</t>
  </si>
  <si>
    <t>Net income</t>
  </si>
  <si>
    <t>Earnings per share (EPS)</t>
  </si>
  <si>
    <t xml:space="preserve">Average common shares outstanding </t>
  </si>
  <si>
    <t>Gross profit</t>
  </si>
  <si>
    <t>Total revenue</t>
  </si>
  <si>
    <t>Cash flow before debt paydown</t>
  </si>
  <si>
    <t>Current assets:</t>
  </si>
  <si>
    <t>Total assets</t>
  </si>
  <si>
    <t>Current liabilities:</t>
  </si>
  <si>
    <t>Total liabilities</t>
  </si>
  <si>
    <t>Retained earnings</t>
  </si>
  <si>
    <t>Total book depreciation</t>
  </si>
  <si>
    <t>Accelerated depreciation (%)</t>
  </si>
  <si>
    <t>Total tax depreciation</t>
  </si>
  <si>
    <t>Difference in depreciation</t>
  </si>
  <si>
    <t>Tax rate (%)</t>
  </si>
  <si>
    <t>Deferred taxes</t>
  </si>
  <si>
    <t>Current assets</t>
  </si>
  <si>
    <t>Days receivable</t>
  </si>
  <si>
    <t>Inventory turnover days</t>
  </si>
  <si>
    <t>Current liabilities</t>
  </si>
  <si>
    <t>Days payable</t>
  </si>
  <si>
    <t>Cash at beginning of year</t>
  </si>
  <si>
    <t>Total cash available to pay down debt</t>
  </si>
  <si>
    <t>Long term debt</t>
  </si>
  <si>
    <t>Short term interest expense</t>
  </si>
  <si>
    <t>Long term debt (end of year)</t>
  </si>
  <si>
    <t>Net interest expense</t>
  </si>
  <si>
    <t>Interest</t>
  </si>
  <si>
    <t>Total non-recurring events</t>
  </si>
  <si>
    <t>Days prepaid</t>
  </si>
  <si>
    <t>Total operating working capital</t>
  </si>
  <si>
    <t>Change in total operating working capital</t>
  </si>
  <si>
    <t>Cash available to pay down debt</t>
  </si>
  <si>
    <t>Cash at the end of the year</t>
  </si>
  <si>
    <t>Total interest expense</t>
  </si>
  <si>
    <t xml:space="preserve">Mandatory issuances / (retirements) </t>
  </si>
  <si>
    <t>Non-mandatory issuances / (retirements)</t>
  </si>
  <si>
    <t>Total issuances / (retirements)</t>
  </si>
  <si>
    <t>Short term interest rate</t>
  </si>
  <si>
    <t>Interest rate</t>
  </si>
  <si>
    <t>SG&amp;A as a % of revenue</t>
  </si>
  <si>
    <t>Total change in cash and cash equivalents</t>
  </si>
  <si>
    <t>Minimum cash cushion</t>
  </si>
  <si>
    <t>Common stock par value + additional paid-in-capital</t>
  </si>
  <si>
    <t>Membership and Other Income</t>
  </si>
  <si>
    <t>Interest expense (Debt)</t>
  </si>
  <si>
    <t>Interest expense (Capital Leases)</t>
  </si>
  <si>
    <t>(in US$ millions)</t>
  </si>
  <si>
    <t>Other current assets (discontinued operations)</t>
  </si>
  <si>
    <t>Accrued liabilities</t>
  </si>
  <si>
    <t>Other Operating Activities</t>
  </si>
  <si>
    <t>Changes in accrued liabilities</t>
  </si>
  <si>
    <t>Purchase of redeemable noncontrolling interest</t>
  </si>
  <si>
    <t>Capital Lease Obligations</t>
  </si>
  <si>
    <t>Other assets and deferred charges</t>
  </si>
  <si>
    <t>Long-term obligations under capital leases</t>
  </si>
  <si>
    <t>Deferred income taxes and other</t>
  </si>
  <si>
    <t>Redeemable noncontrolling interest</t>
  </si>
  <si>
    <t>Noncontrolling interest</t>
  </si>
  <si>
    <t>Discounted Cash Flow Analysis</t>
  </si>
  <si>
    <t>Unlevered Free Cash Flow</t>
  </si>
  <si>
    <t>Depreciation &amp; Amortization</t>
  </si>
  <si>
    <t>Deferred Taxes</t>
  </si>
  <si>
    <t>Changes in Working Capital</t>
  </si>
  <si>
    <t>Capital Expenditures</t>
  </si>
  <si>
    <t>Taxes</t>
  </si>
  <si>
    <t>Total Unlevered Free Cash Flow</t>
  </si>
  <si>
    <t>Net Present Value Calulation</t>
  </si>
  <si>
    <t>Period</t>
  </si>
  <si>
    <t>Discounted Cash Flow</t>
  </si>
  <si>
    <t>Total Net Present Value</t>
  </si>
  <si>
    <t>Terminal Value</t>
  </si>
  <si>
    <t>EBITDA Method</t>
  </si>
  <si>
    <t>Exit Year EBITDA</t>
  </si>
  <si>
    <t xml:space="preserve">Risk Free Rate </t>
  </si>
  <si>
    <t>Multiple</t>
  </si>
  <si>
    <t xml:space="preserve">Stock Price </t>
  </si>
  <si>
    <t xml:space="preserve">Beta </t>
  </si>
  <si>
    <t>Shares Outstanding</t>
  </si>
  <si>
    <t>Net Present Value</t>
  </si>
  <si>
    <t xml:space="preserve">Cost of Equity </t>
  </si>
  <si>
    <t>Equity Value</t>
  </si>
  <si>
    <t>Perpetuity Method</t>
  </si>
  <si>
    <t xml:space="preserve">Cost of Debt </t>
  </si>
  <si>
    <t>Growth Rate</t>
  </si>
  <si>
    <t>WACC</t>
  </si>
  <si>
    <t>Comparable Companies Analysis</t>
  </si>
  <si>
    <t>Current Stock Price$</t>
  </si>
  <si>
    <t>Market Capitalization (Value)$</t>
  </si>
  <si>
    <t>Enterprise</t>
  </si>
  <si>
    <t>Price / Earnings</t>
  </si>
  <si>
    <t>Value</t>
  </si>
  <si>
    <t>Company</t>
  </si>
  <si>
    <t>$MM</t>
  </si>
  <si>
    <t>x</t>
  </si>
  <si>
    <t>High</t>
  </si>
  <si>
    <t>Low</t>
  </si>
  <si>
    <t>Operating Statistics</t>
  </si>
  <si>
    <t>Sales</t>
  </si>
  <si>
    <t>D&amp;A</t>
  </si>
  <si>
    <t>EPS</t>
  </si>
  <si>
    <t>LTM</t>
  </si>
  <si>
    <t>1Q2011A</t>
  </si>
  <si>
    <t>2Q2011A</t>
  </si>
  <si>
    <t>Target Income Statement</t>
  </si>
  <si>
    <t>Interest expense</t>
  </si>
  <si>
    <t>E.V. / Revenue</t>
  </si>
  <si>
    <t>E.V. / EBIT</t>
  </si>
  <si>
    <t>E.V. / EBITDA</t>
  </si>
  <si>
    <t>COSTCO</t>
  </si>
  <si>
    <t>$/share</t>
  </si>
  <si>
    <t>Median</t>
  </si>
  <si>
    <t>Effect of Exchange Rate on Cash</t>
  </si>
  <si>
    <t>Long term debt due within one year</t>
  </si>
  <si>
    <t>Capital lease obligations due within one year</t>
  </si>
  <si>
    <t>Share Price</t>
  </si>
  <si>
    <t>Market value</t>
  </si>
  <si>
    <t>Convertible debt</t>
  </si>
  <si>
    <t>Minority interest</t>
  </si>
  <si>
    <t xml:space="preserve">  Less: Cash &amp; equivalents</t>
  </si>
  <si>
    <t>Enterprise value</t>
  </si>
  <si>
    <t>Credit card revenue</t>
  </si>
  <si>
    <t>Cost of Sales</t>
  </si>
  <si>
    <t>Credit card expenses</t>
  </si>
  <si>
    <t>Cost of Sales as a % of revenue</t>
  </si>
  <si>
    <t>Credit Card Expenses as a % of revenue</t>
  </si>
  <si>
    <t>Non-recoursed debt</t>
  </si>
  <si>
    <t>D&amp;A % of Revenue</t>
  </si>
  <si>
    <t>1Q2012A</t>
  </si>
  <si>
    <t>2Q2012A</t>
  </si>
  <si>
    <t>LTM 2012</t>
  </si>
  <si>
    <t>Membership fees</t>
  </si>
  <si>
    <t>Preopening expenses</t>
  </si>
  <si>
    <t xml:space="preserve">Foreign-currency transactions gains (losses), net </t>
  </si>
  <si>
    <t>—</t>
  </si>
  <si>
    <t>52-week</t>
  </si>
  <si>
    <t>Precedent</t>
  </si>
  <si>
    <t xml:space="preserve">Discounted </t>
  </si>
  <si>
    <t>high / low</t>
  </si>
  <si>
    <t>transactions</t>
  </si>
  <si>
    <t>cash flow analysis</t>
  </si>
  <si>
    <t>Share price</t>
  </si>
  <si>
    <t>Shares outstanding</t>
  </si>
  <si>
    <t>Equity value</t>
  </si>
  <si>
    <t>Net debt</t>
  </si>
  <si>
    <t>Category</t>
  </si>
  <si>
    <t>Lower end</t>
  </si>
  <si>
    <t>variance</t>
  </si>
  <si>
    <t>Higher end</t>
  </si>
  <si>
    <t>52-Week high/low</t>
  </si>
  <si>
    <t>Selected companies analysis</t>
  </si>
  <si>
    <t>Precedent transaction</t>
  </si>
  <si>
    <t>Discounted cash flow analysis</t>
  </si>
  <si>
    <t>Current value</t>
  </si>
  <si>
    <t>(in US$ millions except per share amounts)</t>
  </si>
  <si>
    <t>Net Sales</t>
  </si>
  <si>
    <t>% Growth</t>
  </si>
  <si>
    <t>EBT</t>
  </si>
  <si>
    <t>EBT margin (%)</t>
  </si>
  <si>
    <t>Distributions</t>
  </si>
  <si>
    <t>Net Income (as Reported)</t>
  </si>
  <si>
    <t>Net Income (Adjusted)</t>
  </si>
  <si>
    <t>Income attributable to non-controlling interests</t>
  </si>
  <si>
    <t>Non-controlling interests % of Net Income</t>
  </si>
  <si>
    <t>Net Income (After non-recurring events)</t>
  </si>
  <si>
    <t>Total cash flows from operating activities</t>
  </si>
  <si>
    <t>Proceeds from disposal of property and equipment</t>
  </si>
  <si>
    <t>Investments and business acquisitions, net of cash acquired</t>
  </si>
  <si>
    <t>Other investing activities</t>
  </si>
  <si>
    <t>Total cash from investing activities</t>
  </si>
  <si>
    <t>Dividends paid</t>
  </si>
  <si>
    <t>Purchase of common stock [treasury stock]</t>
  </si>
  <si>
    <t>Total cash from financing activities</t>
  </si>
  <si>
    <t>Payments for property and equipment (CAPEX)</t>
  </si>
  <si>
    <t>Dividends paid ($/share)</t>
  </si>
  <si>
    <t>This line is later added</t>
  </si>
  <si>
    <t>Capex as a % of Revenue</t>
  </si>
  <si>
    <t>PP&amp;E Years</t>
  </si>
  <si>
    <t>Book (GAAP) depreciation</t>
  </si>
  <si>
    <t>Useful Life</t>
  </si>
  <si>
    <t>CAPEX Years</t>
  </si>
  <si>
    <t>Accelerated depreciation</t>
  </si>
  <si>
    <t>Receivables, net</t>
  </si>
  <si>
    <t>Inventories</t>
  </si>
  <si>
    <t>Prepaid expenses and other</t>
  </si>
  <si>
    <t>Accrued income taxes</t>
  </si>
  <si>
    <t>Obligations under capital leases due within one year</t>
  </si>
  <si>
    <t>Current liabilities of discontinued operations</t>
  </si>
  <si>
    <t>Accrued taxes</t>
  </si>
  <si>
    <t>Days Payable</t>
  </si>
  <si>
    <t>Changes in operating working capital</t>
  </si>
  <si>
    <t>Net changes in operating working capital</t>
  </si>
  <si>
    <t>Changes in prepaid expenses and other</t>
  </si>
  <si>
    <t>Changes in accrued income taxes</t>
  </si>
  <si>
    <t>Total liabilities &amp; equity</t>
  </si>
  <si>
    <t>Long term obligations under capital leases</t>
  </si>
  <si>
    <t>Long term obligations under capital leases (beginning of year)</t>
  </si>
  <si>
    <t>Long term obligations under capital leases (end of year)</t>
  </si>
  <si>
    <t>Long term debt due within one year (beginning of year)</t>
  </si>
  <si>
    <t>Long term debt due within one year (end of year)</t>
  </si>
  <si>
    <t xml:space="preserve"> </t>
  </si>
  <si>
    <t>2012A</t>
  </si>
  <si>
    <t>Q1 2011A</t>
  </si>
  <si>
    <t>Q2 2011A</t>
  </si>
  <si>
    <t>Q3 2011A</t>
  </si>
  <si>
    <t>Q1 2012A</t>
  </si>
  <si>
    <t>Q2 2012A</t>
  </si>
  <si>
    <t>Q3 2012A</t>
  </si>
  <si>
    <t>2013E</t>
  </si>
  <si>
    <t>YE Adjusted</t>
  </si>
  <si>
    <t>Costco Income Statement</t>
  </si>
  <si>
    <t>Total Other Income</t>
  </si>
  <si>
    <t>Effective tax rate (%)</t>
  </si>
  <si>
    <t>Earnings before tax (EBT)</t>
  </si>
  <si>
    <t>Net income (adjusted)</t>
  </si>
  <si>
    <t>Net income (as reported)</t>
  </si>
  <si>
    <t>Income attributable to noncontrolling interests</t>
  </si>
  <si>
    <t>% of net income</t>
  </si>
  <si>
    <t>Net income (before minority interests)</t>
  </si>
  <si>
    <t>Earnings per share (As reported)</t>
  </si>
  <si>
    <t>Earnings per share (adjusted)</t>
  </si>
  <si>
    <t>Q4 2012E</t>
  </si>
  <si>
    <t>Q4 2011E</t>
  </si>
  <si>
    <t>Average option strike price</t>
  </si>
  <si>
    <t>Total option proceeds</t>
  </si>
  <si>
    <t>Number of outstanding options (in the money)</t>
  </si>
  <si>
    <t>Total diluted shares outstanding</t>
  </si>
  <si>
    <t>Number of basic shares outstanding</t>
  </si>
  <si>
    <t>Treasury stock method shares repurchased</t>
  </si>
  <si>
    <t>Additional shares outstanding</t>
  </si>
  <si>
    <t>Costco Enterprise Value</t>
  </si>
  <si>
    <t>Capital lease obligations</t>
  </si>
  <si>
    <t>Preferred securities</t>
  </si>
  <si>
    <t>Long-term debt (includes current portions)</t>
  </si>
  <si>
    <t>Walmart</t>
  </si>
  <si>
    <t>Debt YE 2012</t>
  </si>
  <si>
    <t>Cost of Capital</t>
  </si>
  <si>
    <t xml:space="preserve">Discounted Cash Flow Total Valuation </t>
  </si>
  <si>
    <t xml:space="preserve">EBITDA Method </t>
  </si>
  <si>
    <t>Total of Present Value of Cash Flows</t>
  </si>
  <si>
    <t>Present Value of Terminal Value</t>
  </si>
  <si>
    <t>Total Enterprise Value</t>
  </si>
  <si>
    <t>Estimated Equity Value per Share</t>
  </si>
  <si>
    <t>Enterprise Value</t>
  </si>
  <si>
    <t>2012A EBITDA</t>
  </si>
  <si>
    <t>Comparable</t>
  </si>
  <si>
    <t>company analysis</t>
  </si>
  <si>
    <t>Comparable company analysis</t>
  </si>
  <si>
    <t>Precedent transactions</t>
  </si>
  <si>
    <t>Loss from discountinued operations</t>
  </si>
  <si>
    <t>Target Enterprise Value</t>
  </si>
  <si>
    <t>Target</t>
  </si>
  <si>
    <t>Target Diluted Shares</t>
  </si>
  <si>
    <t>Costco Diluted Shares</t>
  </si>
  <si>
    <t>Dollar General Diluted Shares</t>
  </si>
  <si>
    <t>Dollar General Enterprise Value</t>
  </si>
  <si>
    <t>Dollar General</t>
  </si>
  <si>
    <t>Dollar Tree Income Statement</t>
  </si>
  <si>
    <t>(in $ millions except for per share data)</t>
  </si>
  <si>
    <t>2011A</t>
  </si>
  <si>
    <t>Net sales</t>
  </si>
  <si>
    <t>Cost of sales</t>
  </si>
  <si>
    <t>Cost of sales as a % of revenue</t>
  </si>
  <si>
    <t>Gross profit as a % of revenue</t>
  </si>
  <si>
    <t>Selling, general and administrative expenses</t>
  </si>
  <si>
    <t>SG&amp;A profit as a % of revenue</t>
  </si>
  <si>
    <t>Depreciation as a % of revenue</t>
  </si>
  <si>
    <t>Interest expense, net</t>
  </si>
  <si>
    <t>Other income, net</t>
  </si>
  <si>
    <t>Income before income taxes (EBT)</t>
  </si>
  <si>
    <t>Provision for income taxes</t>
  </si>
  <si>
    <t>Reported EBT</t>
  </si>
  <si>
    <t>Effective tax rate</t>
  </si>
  <si>
    <t>Net income per share</t>
  </si>
  <si>
    <t>Weighted average shares outstanding (millions)</t>
  </si>
  <si>
    <t>Dollar Tree Diluted Shares</t>
  </si>
  <si>
    <t>Dollar Tree Enterprise Value</t>
  </si>
  <si>
    <t>Dollar Tree</t>
  </si>
  <si>
    <t>YE Adjustments</t>
  </si>
  <si>
    <t>4Q2012E</t>
  </si>
  <si>
    <t>3Q2012A</t>
  </si>
  <si>
    <t>4Q2011E</t>
  </si>
  <si>
    <t>3Q2011A</t>
  </si>
  <si>
    <t>Family Dollar Stores Income Statement</t>
  </si>
  <si>
    <t>Family Dollar Store</t>
  </si>
  <si>
    <t>Short-term borrowings</t>
  </si>
  <si>
    <t>Pre-opening expenses</t>
  </si>
  <si>
    <t>13E</t>
  </si>
  <si>
    <t>12A</t>
  </si>
  <si>
    <t>Period Ending January 31</t>
  </si>
  <si>
    <t>On January 31</t>
  </si>
  <si>
    <t>Diluted Shares</t>
  </si>
  <si>
    <t>10-Q (2007.06.13)</t>
  </si>
  <si>
    <t>10-Q (2007.09.12)</t>
  </si>
  <si>
    <t>DEFM14A (2007.10.10)</t>
  </si>
  <si>
    <t>Sources:</t>
  </si>
  <si>
    <t>Total net debt</t>
  </si>
  <si>
    <t>Less: Cash and cash equivalents</t>
  </si>
  <si>
    <t>Current portion of obligations under capital leases</t>
  </si>
  <si>
    <t>Current portion of long-term debt</t>
  </si>
  <si>
    <t>As of</t>
  </si>
  <si>
    <t>(In $ millions except for per share amounts)</t>
  </si>
  <si>
    <t>Net Debt - Pathmark Stores Inc.</t>
  </si>
  <si>
    <t>Net (loss) income</t>
  </si>
  <si>
    <t>Impariment of a long-lived asset</t>
  </si>
  <si>
    <t>Net (loss) income from continuing operations</t>
  </si>
  <si>
    <t>Benefit from income taxes</t>
  </si>
  <si>
    <t>Loss from continuing operations before income taxes</t>
  </si>
  <si>
    <t>Interest and dividend income</t>
  </si>
  <si>
    <t>Store operating, general and administrative expenses</t>
  </si>
  <si>
    <t>Gross margin</t>
  </si>
  <si>
    <t>Cost of merchandise sold</t>
  </si>
  <si>
    <t>Ended</t>
  </si>
  <si>
    <t>13-Weeks-</t>
  </si>
  <si>
    <t>53-Weeks-</t>
  </si>
  <si>
    <t>Income Statement - Pathmark Stores Inc.</t>
  </si>
  <si>
    <t>10-K (2007.03.15)</t>
  </si>
  <si>
    <t>PREM14A (2007.06.15)</t>
  </si>
  <si>
    <t>Conversion Factor:</t>
  </si>
  <si>
    <t>2006A</t>
  </si>
  <si>
    <t>(In $ thousands except for per share amounts)</t>
  </si>
  <si>
    <t>Net Debt - Wild Oats Markets</t>
  </si>
  <si>
    <t>Net income (loss)</t>
  </si>
  <si>
    <t>Total nonrecurring events</t>
  </si>
  <si>
    <t>Restructuring and asset impairment charges (income), net</t>
  </si>
  <si>
    <t>Loss on disposal of assets, net</t>
  </si>
  <si>
    <t>Nonrecurring events</t>
  </si>
  <si>
    <t>Net income (loss) from continuing operations</t>
  </si>
  <si>
    <t>Income (loss) before income taxes</t>
  </si>
  <si>
    <t>Direct store expenses</t>
  </si>
  <si>
    <t>Cost of goods sold and occupancy costs</t>
  </si>
  <si>
    <t>Year ended December 31</t>
  </si>
  <si>
    <t>Income Statement - Wild Oats Markets</t>
  </si>
  <si>
    <t>Shares repurchased</t>
  </si>
  <si>
    <t>Dollar General Income Statement</t>
  </si>
  <si>
    <t>Net income (before noncontrolling interests)</t>
  </si>
  <si>
    <t>Precedent Transactions</t>
  </si>
  <si>
    <t>Transaction Date</t>
  </si>
  <si>
    <t xml:space="preserve">Purchase Price </t>
  </si>
  <si>
    <t>Equity Value /</t>
  </si>
  <si>
    <t>Enterprise Value /</t>
  </si>
  <si>
    <t>Market Value</t>
  </si>
  <si>
    <t>Earnings</t>
  </si>
  <si>
    <t>Transaction</t>
  </si>
  <si>
    <t>KKR / Dollar General</t>
  </si>
  <si>
    <t>The Great Atlantic &amp; Pacific Tea Co. / Pathmark Stores Inc.</t>
  </si>
  <si>
    <t>N.M.</t>
  </si>
  <si>
    <t>Whole Foods Market Inc. / Wild Oats Markets Inc</t>
  </si>
  <si>
    <t>Rite Aid Corporation / Jean Coutu Group (Brooks-Eckerd)</t>
  </si>
  <si>
    <t>N/A</t>
  </si>
  <si>
    <t>Supervalu Inc., CVS Corporation, Cerberus Capital Management, L.P. / Albertson's, Inc</t>
  </si>
  <si>
    <t>Bon-Ton Stores Inc. / Saks Inc. (Northern)</t>
  </si>
  <si>
    <t>Bain Capital LLC / Dollarama Inc</t>
  </si>
  <si>
    <t>Share Count (millions)</t>
  </si>
  <si>
    <t xml:space="preserve">Shareholders' equity </t>
  </si>
  <si>
    <t>Total shareholders' equity</t>
  </si>
  <si>
    <t>Short term borrowings / revolver</t>
  </si>
  <si>
    <t>Short term borrowings (beginning of year)</t>
  </si>
  <si>
    <t>Short term borrowings (end of year)</t>
  </si>
  <si>
    <t xml:space="preserve">Obligations under capital leases due within one year </t>
  </si>
  <si>
    <t>Obligations under capital leases due within one year  (beginning of year)</t>
  </si>
  <si>
    <t>Obligations under capital leases due within one year  (end of year)</t>
  </si>
  <si>
    <t xml:space="preserve">Market Risk Premium </t>
  </si>
  <si>
    <t>Net Debt, Non-controlling interests, preferred securities</t>
  </si>
  <si>
    <t>Net debt &amp; other</t>
  </si>
  <si>
    <t>Loss (income) from discontinued operations</t>
  </si>
  <si>
    <t>Property, plant &amp; equipment (beg. of year)</t>
  </si>
  <si>
    <t>Capital expenditures (beg. of year)</t>
  </si>
</sst>
</file>

<file path=xl/styles.xml><?xml version="1.0" encoding="utf-8"?>
<styleSheet xmlns="http://schemas.openxmlformats.org/spreadsheetml/2006/main">
  <numFmts count="3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_);[Red]\(#,##0.0\)"/>
    <numFmt numFmtId="165" formatCode="#,##0.0_);\(#,##0.0\)"/>
    <numFmt numFmtId="166" formatCode="#,##0.0000_);[Red]\(#,##0.0000\)"/>
    <numFmt numFmtId="167" formatCode="#,##0.0"/>
    <numFmt numFmtId="168" formatCode="#,##0.0;[Red]#,##0.0"/>
    <numFmt numFmtId="169" formatCode="0.0"/>
    <numFmt numFmtId="170" formatCode="&quot;$&quot;#,##0.00"/>
    <numFmt numFmtId="171" formatCode="[$-409]d\-mmm\-yy;@"/>
    <numFmt numFmtId="172" formatCode="General\A"/>
    <numFmt numFmtId="173" formatCode="General\E"/>
    <numFmt numFmtId="174" formatCode="&quot;$&quot;#,##0.0_);\(&quot;$&quot;#,##0.0\)"/>
    <numFmt numFmtId="175" formatCode="0.0%_);\(0.0%\)"/>
    <numFmt numFmtId="176" formatCode="0.0\x"/>
    <numFmt numFmtId="177" formatCode="#,##0.00_);\(#,##0.00\);#,##0.00_);@_)"/>
    <numFmt numFmtId="178" formatCode="0.0%"/>
    <numFmt numFmtId="179" formatCode="[$-409]mmm\-yy;@"/>
    <numFmt numFmtId="180" formatCode="#,##0.000_);[Red]\(#,##0.000\)"/>
    <numFmt numFmtId="181" formatCode="m/d/yy"/>
    <numFmt numFmtId="182" formatCode="0.000%"/>
    <numFmt numFmtId="183" formatCode="0.0_);\(0.0\)"/>
    <numFmt numFmtId="184" formatCode="0.00_);\(0.00\)"/>
    <numFmt numFmtId="185" formatCode="0_);\(0\)"/>
    <numFmt numFmtId="186" formatCode="_(&quot;$&quot;* #,##0.00_);_(&quot;$&quot;* \(#,##0.00\);_(&quot;$&quot;* &quot;-&quot;_);_(@_)"/>
    <numFmt numFmtId="187" formatCode="_(&quot;$&quot;* #,##0.0_);_(&quot;$&quot;* \(#,##0.0\);_(&quot;$&quot;* &quot;-&quot;_);_(@_)"/>
    <numFmt numFmtId="188" formatCode="_(&quot;$&quot;* #,##0.0_);_(&quot;$&quot;* \(#,##0.0\);_(&quot;$&quot;* &quot;-&quot;?_);_(@_)"/>
    <numFmt numFmtId="189" formatCode="0.00\x"/>
  </numFmts>
  <fonts count="5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indexed="10"/>
      <name val="Arial"/>
      <family val="2"/>
    </font>
    <font>
      <i/>
      <sz val="9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30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sz val="10"/>
      <name val="Arial"/>
      <family val="2"/>
    </font>
    <font>
      <sz val="9"/>
      <color indexed="17"/>
      <name val="Arial"/>
      <family val="2"/>
    </font>
    <font>
      <sz val="9"/>
      <color indexed="8"/>
      <name val="Arial"/>
      <family val="2"/>
    </font>
    <font>
      <i/>
      <sz val="9"/>
      <color indexed="17"/>
      <name val="Arial"/>
      <family val="2"/>
    </font>
    <font>
      <b/>
      <sz val="9"/>
      <color indexed="8"/>
      <name val="Arial"/>
      <family val="2"/>
    </font>
    <font>
      <i/>
      <sz val="9"/>
      <color indexed="3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i/>
      <sz val="9"/>
      <color indexed="56"/>
      <name val="Arial"/>
      <family val="2"/>
    </font>
    <font>
      <sz val="9"/>
      <color indexed="56"/>
      <name val="Arial"/>
      <family val="2"/>
    </font>
    <font>
      <sz val="10"/>
      <name val="Palatino Linotype"/>
      <family val="1"/>
    </font>
    <font>
      <b/>
      <sz val="10"/>
      <color indexed="9"/>
      <name val="Palatino Linotype"/>
      <family val="1"/>
    </font>
    <font>
      <sz val="10"/>
      <color indexed="9"/>
      <name val="Palatino Linotype"/>
      <family val="1"/>
    </font>
    <font>
      <b/>
      <sz val="10"/>
      <name val="Palatino Linotype"/>
      <family val="1"/>
    </font>
    <font>
      <sz val="10"/>
      <color rgb="FF0070C0"/>
      <name val="Palatino Linotype"/>
      <family val="1"/>
    </font>
    <font>
      <i/>
      <sz val="9"/>
      <color rgb="FF0070C0"/>
      <name val="Arial"/>
      <family val="2"/>
    </font>
    <font>
      <sz val="9"/>
      <color theme="3"/>
      <name val="Arial"/>
      <family val="2"/>
    </font>
    <font>
      <sz val="10"/>
      <color theme="4"/>
      <name val="Palatino Linotype"/>
      <family val="1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i/>
      <sz val="10"/>
      <name val="Arial"/>
      <family val="2"/>
    </font>
    <font>
      <u/>
      <sz val="9"/>
      <color indexed="62"/>
      <name val="Arial"/>
      <family val="2"/>
    </font>
    <font>
      <u/>
      <sz val="10"/>
      <name val="Palatino Linotype"/>
      <family val="1"/>
    </font>
    <font>
      <sz val="10"/>
      <color theme="0"/>
      <name val="Palatino Linotype"/>
      <family val="1"/>
    </font>
    <font>
      <sz val="12"/>
      <name val="Palatino Linotype"/>
      <family val="1"/>
    </font>
    <font>
      <i/>
      <sz val="10"/>
      <name val="Palatino Linotype"/>
      <family val="1"/>
    </font>
    <font>
      <i/>
      <sz val="10"/>
      <color rgb="FF0070C0"/>
      <name val="Palatino Linotype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9" fillId="0" borderId="0"/>
    <xf numFmtId="0" fontId="19" fillId="0" borderId="0"/>
    <xf numFmtId="0" fontId="4" fillId="0" borderId="0"/>
    <xf numFmtId="43" fontId="3" fillId="0" borderId="0" applyFon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</cellStyleXfs>
  <cellXfs count="827">
    <xf numFmtId="0" fontId="0" fillId="0" borderId="0" xfId="0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/>
    <xf numFmtId="0" fontId="7" fillId="2" borderId="0" xfId="0" applyFont="1" applyFill="1" applyAlignment="1"/>
    <xf numFmtId="0" fontId="7" fillId="2" borderId="0" xfId="0" quotePrefix="1" applyFont="1" applyFill="1" applyAlignment="1"/>
    <xf numFmtId="164" fontId="7" fillId="2" borderId="0" xfId="0" applyNumberFormat="1" applyFont="1" applyFill="1" applyAlignment="1"/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166" fontId="7" fillId="0" borderId="0" xfId="0" applyNumberFormat="1" applyFont="1" applyAlignment="1"/>
    <xf numFmtId="0" fontId="7" fillId="0" borderId="0" xfId="0" applyFont="1" applyFill="1" applyAlignment="1"/>
    <xf numFmtId="165" fontId="7" fillId="0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Border="1" applyAlignment="1"/>
    <xf numFmtId="4" fontId="6" fillId="0" borderId="0" xfId="0" applyNumberFormat="1" applyFont="1" applyBorder="1" applyAlignment="1"/>
    <xf numFmtId="4" fontId="6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167" fontId="7" fillId="0" borderId="0" xfId="0" applyNumberFormat="1" applyFont="1" applyAlignment="1"/>
    <xf numFmtId="167" fontId="10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9" fontId="9" fillId="0" borderId="0" xfId="0" applyNumberFormat="1" applyFont="1" applyBorder="1" applyAlignment="1"/>
    <xf numFmtId="0" fontId="6" fillId="0" borderId="0" xfId="0" applyFont="1" applyFill="1" applyAlignment="1"/>
    <xf numFmtId="9" fontId="8" fillId="0" borderId="0" xfId="0" applyNumberFormat="1" applyFont="1" applyFill="1" applyAlignment="1">
      <alignment horizontal="right"/>
    </xf>
    <xf numFmtId="0" fontId="8" fillId="0" borderId="0" xfId="0" applyFont="1" applyFill="1" applyAlignment="1"/>
    <xf numFmtId="165" fontId="7" fillId="0" borderId="0" xfId="0" applyNumberFormat="1" applyFont="1" applyAlignment="1"/>
    <xf numFmtId="0" fontId="7" fillId="0" borderId="0" xfId="0" applyFont="1" applyBorder="1" applyAlignment="1">
      <alignment horizontal="center"/>
    </xf>
    <xf numFmtId="167" fontId="7" fillId="0" borderId="0" xfId="0" applyNumberFormat="1" applyFont="1" applyBorder="1" applyAlignment="1"/>
    <xf numFmtId="165" fontId="6" fillId="0" borderId="0" xfId="0" applyNumberFormat="1" applyFont="1" applyFill="1" applyAlignment="1">
      <alignment horizontal="right"/>
    </xf>
    <xf numFmtId="0" fontId="7" fillId="0" borderId="2" xfId="0" applyFont="1" applyBorder="1" applyAlignment="1"/>
    <xf numFmtId="0" fontId="7" fillId="0" borderId="0" xfId="0" applyFont="1" applyBorder="1" applyAlignment="1"/>
    <xf numFmtId="0" fontId="6" fillId="2" borderId="1" xfId="0" applyFont="1" applyFill="1" applyBorder="1" applyAlignment="1"/>
    <xf numFmtId="164" fontId="6" fillId="2" borderId="1" xfId="0" applyNumberFormat="1" applyFont="1" applyFill="1" applyBorder="1" applyAlignment="1"/>
    <xf numFmtId="0" fontId="7" fillId="3" borderId="0" xfId="0" applyFont="1" applyFill="1" applyAlignment="1"/>
    <xf numFmtId="164" fontId="7" fillId="3" borderId="0" xfId="0" applyNumberFormat="1" applyFont="1" applyFill="1" applyAlignment="1"/>
    <xf numFmtId="0" fontId="6" fillId="2" borderId="1" xfId="0" applyFont="1" applyFill="1" applyBorder="1"/>
    <xf numFmtId="0" fontId="6" fillId="2" borderId="0" xfId="0" applyFont="1" applyFill="1" applyAlignment="1">
      <alignment horizontal="centerContinuous"/>
    </xf>
    <xf numFmtId="164" fontId="6" fillId="2" borderId="0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wrapText="1"/>
    </xf>
    <xf numFmtId="171" fontId="6" fillId="2" borderId="2" xfId="0" applyNumberFormat="1" applyFont="1" applyFill="1" applyBorder="1" applyAlignment="1">
      <alignment horizontal="right" wrapText="1"/>
    </xf>
    <xf numFmtId="164" fontId="7" fillId="2" borderId="1" xfId="0" applyNumberFormat="1" applyFont="1" applyFill="1" applyBorder="1" applyAlignment="1"/>
    <xf numFmtId="164" fontId="6" fillId="2" borderId="2" xfId="0" applyNumberFormat="1" applyFont="1" applyFill="1" applyBorder="1" applyAlignment="1">
      <alignment horizontal="centerContinuous"/>
    </xf>
    <xf numFmtId="164" fontId="6" fillId="2" borderId="1" xfId="0" applyNumberFormat="1" applyFont="1" applyFill="1" applyBorder="1" applyAlignment="1">
      <alignment horizontal="centerContinuous"/>
    </xf>
    <xf numFmtId="164" fontId="6" fillId="2" borderId="3" xfId="0" applyNumberFormat="1" applyFont="1" applyFill="1" applyBorder="1" applyAlignment="1">
      <alignment horizontal="centerContinuous"/>
    </xf>
    <xf numFmtId="164" fontId="6" fillId="2" borderId="4" xfId="0" applyNumberFormat="1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172" fontId="6" fillId="2" borderId="2" xfId="0" applyNumberFormat="1" applyFont="1" applyFill="1" applyBorder="1" applyAlignment="1">
      <alignment horizontal="right" wrapText="1"/>
    </xf>
    <xf numFmtId="173" fontId="6" fillId="2" borderId="2" xfId="0" applyNumberFormat="1" applyFont="1" applyFill="1" applyBorder="1" applyAlignment="1">
      <alignment horizontal="right" wrapText="1"/>
    </xf>
    <xf numFmtId="0" fontId="7" fillId="0" borderId="0" xfId="0" applyFont="1"/>
    <xf numFmtId="0" fontId="7" fillId="0" borderId="0" xfId="0" applyFont="1" applyBorder="1"/>
    <xf numFmtId="9" fontId="13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 applyFill="1"/>
    <xf numFmtId="0" fontId="7" fillId="0" borderId="0" xfId="0" applyFont="1" applyFill="1" applyBorder="1" applyAlignment="1"/>
    <xf numFmtId="164" fontId="6" fillId="0" borderId="0" xfId="0" applyNumberFormat="1" applyFont="1" applyFill="1" applyAlignment="1">
      <alignment horizontal="right" wrapText="1"/>
    </xf>
    <xf numFmtId="0" fontId="7" fillId="2" borderId="1" xfId="0" applyFont="1" applyFill="1" applyBorder="1" applyAlignment="1"/>
    <xf numFmtId="164" fontId="7" fillId="2" borderId="2" xfId="0" applyNumberFormat="1" applyFont="1" applyFill="1" applyBorder="1" applyAlignment="1"/>
    <xf numFmtId="175" fontId="7" fillId="0" borderId="0" xfId="0" applyNumberFormat="1" applyFont="1" applyFill="1" applyAlignment="1"/>
    <xf numFmtId="174" fontId="7" fillId="0" borderId="0" xfId="0" applyNumberFormat="1" applyFont="1" applyAlignment="1"/>
    <xf numFmtId="7" fontId="7" fillId="0" borderId="0" xfId="0" applyNumberFormat="1" applyFont="1" applyAlignment="1"/>
    <xf numFmtId="7" fontId="7" fillId="0" borderId="0" xfId="0" applyNumberFormat="1" applyFont="1"/>
    <xf numFmtId="0" fontId="7" fillId="3" borderId="0" xfId="1" applyFont="1" applyFill="1" applyAlignment="1"/>
    <xf numFmtId="164" fontId="7" fillId="3" borderId="0" xfId="1" applyNumberFormat="1" applyFont="1" applyFill="1" applyAlignment="1"/>
    <xf numFmtId="0" fontId="7" fillId="0" borderId="0" xfId="1" applyFont="1" applyAlignment="1"/>
    <xf numFmtId="0" fontId="6" fillId="2" borderId="1" xfId="1" applyFont="1" applyFill="1" applyBorder="1" applyAlignment="1"/>
    <xf numFmtId="164" fontId="7" fillId="2" borderId="1" xfId="1" applyNumberFormat="1" applyFont="1" applyFill="1" applyBorder="1" applyAlignment="1"/>
    <xf numFmtId="164" fontId="6" fillId="2" borderId="1" xfId="1" applyNumberFormat="1" applyFont="1" applyFill="1" applyBorder="1" applyAlignment="1"/>
    <xf numFmtId="0" fontId="7" fillId="2" borderId="0" xfId="1" applyFont="1" applyFill="1" applyAlignment="1"/>
    <xf numFmtId="164" fontId="7" fillId="2" borderId="0" xfId="1" applyNumberFormat="1" applyFont="1" applyFill="1" applyAlignment="1"/>
    <xf numFmtId="0" fontId="7" fillId="2" borderId="0" xfId="1" quotePrefix="1" applyFont="1" applyFill="1" applyAlignment="1"/>
    <xf numFmtId="164" fontId="6" fillId="2" borderId="2" xfId="1" applyNumberFormat="1" applyFont="1" applyFill="1" applyBorder="1" applyAlignment="1">
      <alignment horizontal="centerContinuous"/>
    </xf>
    <xf numFmtId="164" fontId="6" fillId="2" borderId="3" xfId="1" applyNumberFormat="1" applyFont="1" applyFill="1" applyBorder="1" applyAlignment="1">
      <alignment horizontal="centerContinuous"/>
    </xf>
    <xf numFmtId="164" fontId="6" fillId="2" borderId="4" xfId="1" applyNumberFormat="1" applyFont="1" applyFill="1" applyBorder="1" applyAlignment="1">
      <alignment horizontal="centerContinuous"/>
    </xf>
    <xf numFmtId="0" fontId="7" fillId="2" borderId="2" xfId="1" applyFont="1" applyFill="1" applyBorder="1" applyAlignment="1">
      <alignment horizontal="centerContinuous"/>
    </xf>
    <xf numFmtId="0" fontId="6" fillId="2" borderId="2" xfId="1" applyFont="1" applyFill="1" applyBorder="1" applyAlignment="1">
      <alignment horizontal="centerContinuous"/>
    </xf>
    <xf numFmtId="164" fontId="6" fillId="2" borderId="0" xfId="1" applyNumberFormat="1" applyFont="1" applyFill="1" applyBorder="1" applyAlignment="1">
      <alignment horizontal="centerContinuous"/>
    </xf>
    <xf numFmtId="0" fontId="6" fillId="2" borderId="0" xfId="1" applyFont="1" applyFill="1" applyAlignment="1">
      <alignment horizontal="centerContinuous"/>
    </xf>
    <xf numFmtId="0" fontId="6" fillId="2" borderId="2" xfId="1" applyFont="1" applyFill="1" applyBorder="1" applyAlignment="1"/>
    <xf numFmtId="164" fontId="7" fillId="2" borderId="2" xfId="1" applyNumberFormat="1" applyFont="1" applyFill="1" applyBorder="1" applyAlignment="1"/>
    <xf numFmtId="172" fontId="6" fillId="2" borderId="2" xfId="1" applyNumberFormat="1" applyFont="1" applyFill="1" applyBorder="1" applyAlignment="1">
      <alignment horizontal="right"/>
    </xf>
    <xf numFmtId="173" fontId="6" fillId="2" borderId="2" xfId="1" applyNumberFormat="1" applyFont="1" applyFill="1" applyBorder="1" applyAlignment="1">
      <alignment horizontal="right"/>
    </xf>
    <xf numFmtId="0" fontId="7" fillId="0" borderId="0" xfId="1" applyFont="1"/>
    <xf numFmtId="164" fontId="7" fillId="0" borderId="0" xfId="1" applyNumberFormat="1" applyFont="1"/>
    <xf numFmtId="0" fontId="6" fillId="0" borderId="0" xfId="1" applyFont="1"/>
    <xf numFmtId="0" fontId="7" fillId="0" borderId="0" xfId="1" applyFont="1" applyBorder="1"/>
    <xf numFmtId="38" fontId="7" fillId="0" borderId="0" xfId="1" applyNumberFormat="1" applyFont="1"/>
    <xf numFmtId="37" fontId="7" fillId="0" borderId="0" xfId="1" applyNumberFormat="1" applyFont="1"/>
    <xf numFmtId="164" fontId="7" fillId="0" borderId="0" xfId="1" applyNumberFormat="1" applyFont="1" applyAlignment="1"/>
    <xf numFmtId="0" fontId="19" fillId="0" borderId="0" xfId="0" applyFont="1"/>
    <xf numFmtId="0" fontId="19" fillId="0" borderId="0" xfId="0" applyFont="1" applyBorder="1"/>
    <xf numFmtId="0" fontId="19" fillId="0" borderId="0" xfId="0" applyFont="1" applyFill="1" applyAlignment="1">
      <alignment horizontal="left"/>
    </xf>
    <xf numFmtId="0" fontId="26" fillId="0" borderId="0" xfId="0" applyFont="1"/>
    <xf numFmtId="181" fontId="27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 indent="1"/>
    </xf>
    <xf numFmtId="178" fontId="19" fillId="0" borderId="0" xfId="0" applyNumberFormat="1" applyFont="1" applyBorder="1" applyAlignment="1"/>
    <xf numFmtId="0" fontId="33" fillId="0" borderId="0" xfId="0" applyFont="1"/>
    <xf numFmtId="0" fontId="36" fillId="0" borderId="0" xfId="0" applyFont="1"/>
    <xf numFmtId="0" fontId="33" fillId="0" borderId="2" xfId="0" applyFont="1" applyBorder="1"/>
    <xf numFmtId="0" fontId="36" fillId="0" borderId="2" xfId="0" applyFont="1" applyBorder="1"/>
    <xf numFmtId="8" fontId="33" fillId="0" borderId="0" xfId="0" applyNumberFormat="1" applyFont="1"/>
    <xf numFmtId="0" fontId="33" fillId="0" borderId="16" xfId="0" applyFont="1" applyBorder="1"/>
    <xf numFmtId="0" fontId="7" fillId="2" borderId="2" xfId="0" applyFont="1" applyFill="1" applyBorder="1" applyAlignment="1">
      <alignment wrapText="1"/>
    </xf>
    <xf numFmtId="0" fontId="6" fillId="7" borderId="0" xfId="0" applyFont="1" applyFill="1" applyBorder="1" applyAlignment="1"/>
    <xf numFmtId="164" fontId="7" fillId="7" borderId="0" xfId="0" applyNumberFormat="1" applyFont="1" applyFill="1" applyAlignment="1"/>
    <xf numFmtId="0" fontId="7" fillId="7" borderId="0" xfId="0" applyFont="1" applyFill="1" applyBorder="1" applyAlignment="1">
      <alignment wrapText="1"/>
    </xf>
    <xf numFmtId="165" fontId="6" fillId="7" borderId="0" xfId="0" applyNumberFormat="1" applyFont="1" applyFill="1" applyBorder="1" applyAlignment="1">
      <alignment horizontal="right" wrapText="1"/>
    </xf>
    <xf numFmtId="0" fontId="7" fillId="7" borderId="0" xfId="0" applyFont="1" applyFill="1" applyBorder="1" applyAlignment="1"/>
    <xf numFmtId="164" fontId="10" fillId="7" borderId="0" xfId="0" applyNumberFormat="1" applyFont="1" applyFill="1" applyAlignment="1">
      <alignment horizontal="right" wrapText="1"/>
    </xf>
    <xf numFmtId="165" fontId="7" fillId="7" borderId="0" xfId="0" applyNumberFormat="1" applyFont="1" applyFill="1" applyBorder="1" applyAlignment="1">
      <alignment horizontal="right" wrapText="1"/>
    </xf>
    <xf numFmtId="0" fontId="8" fillId="7" borderId="0" xfId="0" applyFont="1" applyFill="1" applyBorder="1" applyAlignment="1">
      <alignment wrapText="1"/>
    </xf>
    <xf numFmtId="165" fontId="17" fillId="7" borderId="0" xfId="0" applyNumberFormat="1" applyFont="1" applyFill="1" applyBorder="1" applyAlignment="1">
      <alignment horizontal="right" wrapText="1"/>
    </xf>
    <xf numFmtId="178" fontId="8" fillId="7" borderId="0" xfId="0" applyNumberFormat="1" applyFont="1" applyFill="1" applyAlignment="1">
      <alignment wrapText="1"/>
    </xf>
    <xf numFmtId="164" fontId="16" fillId="7" borderId="0" xfId="0" applyNumberFormat="1" applyFont="1" applyFill="1" applyAlignment="1">
      <alignment horizontal="right" wrapText="1"/>
    </xf>
    <xf numFmtId="0" fontId="7" fillId="7" borderId="0" xfId="0" applyFont="1" applyFill="1"/>
    <xf numFmtId="0" fontId="6" fillId="7" borderId="0" xfId="0" applyFont="1" applyFill="1" applyAlignment="1"/>
    <xf numFmtId="0" fontId="7" fillId="7" borderId="0" xfId="0" applyFont="1" applyFill="1" applyAlignment="1">
      <alignment wrapText="1"/>
    </xf>
    <xf numFmtId="164" fontId="6" fillId="7" borderId="0" xfId="0" applyNumberFormat="1" applyFont="1" applyFill="1"/>
    <xf numFmtId="0" fontId="7" fillId="7" borderId="0" xfId="0" applyFont="1" applyFill="1" applyAlignment="1"/>
    <xf numFmtId="0" fontId="8" fillId="7" borderId="0" xfId="0" applyFont="1" applyFill="1" applyAlignment="1">
      <alignment wrapText="1"/>
    </xf>
    <xf numFmtId="9" fontId="8" fillId="7" borderId="0" xfId="0" applyNumberFormat="1" applyFont="1" applyFill="1" applyAlignment="1">
      <alignment wrapText="1"/>
    </xf>
    <xf numFmtId="0" fontId="6" fillId="7" borderId="0" xfId="0" applyFont="1" applyFill="1"/>
    <xf numFmtId="9" fontId="11" fillId="7" borderId="0" xfId="0" applyNumberFormat="1" applyFont="1" applyFill="1" applyAlignment="1">
      <alignment wrapText="1"/>
    </xf>
    <xf numFmtId="164" fontId="7" fillId="7" borderId="0" xfId="0" applyNumberFormat="1" applyFont="1" applyFill="1" applyAlignment="1">
      <alignment horizontal="right" wrapText="1"/>
    </xf>
    <xf numFmtId="178" fontId="8" fillId="7" borderId="2" xfId="0" applyNumberFormat="1" applyFont="1" applyFill="1" applyBorder="1" applyAlignment="1">
      <alignment wrapText="1"/>
    </xf>
    <xf numFmtId="178" fontId="38" fillId="7" borderId="17" xfId="0" applyNumberFormat="1" applyFont="1" applyFill="1" applyBorder="1" applyAlignment="1">
      <alignment wrapText="1"/>
    </xf>
    <xf numFmtId="164" fontId="6" fillId="7" borderId="0" xfId="0" applyNumberFormat="1" applyFont="1" applyFill="1" applyAlignment="1">
      <alignment horizontal="right" wrapText="1"/>
    </xf>
    <xf numFmtId="0" fontId="8" fillId="7" borderId="0" xfId="0" applyFont="1" applyFill="1" applyAlignment="1"/>
    <xf numFmtId="178" fontId="8" fillId="7" borderId="0" xfId="0" applyNumberFormat="1" applyFont="1" applyFill="1" applyBorder="1" applyAlignment="1">
      <alignment wrapText="1"/>
    </xf>
    <xf numFmtId="164" fontId="7" fillId="7" borderId="0" xfId="0" applyNumberFormat="1" applyFont="1" applyFill="1" applyAlignment="1">
      <alignment wrapText="1"/>
    </xf>
    <xf numFmtId="180" fontId="7" fillId="7" borderId="0" xfId="0" applyNumberFormat="1" applyFont="1" applyFill="1" applyAlignment="1">
      <alignment wrapText="1"/>
    </xf>
    <xf numFmtId="178" fontId="11" fillId="7" borderId="0" xfId="0" applyNumberFormat="1" applyFont="1" applyFill="1" applyBorder="1" applyAlignment="1">
      <alignment horizontal="right" wrapText="1"/>
    </xf>
    <xf numFmtId="9" fontId="8" fillId="7" borderId="0" xfId="0" applyNumberFormat="1" applyFont="1" applyFill="1" applyBorder="1" applyAlignment="1">
      <alignment wrapText="1"/>
    </xf>
    <xf numFmtId="164" fontId="10" fillId="7" borderId="2" xfId="0" applyNumberFormat="1" applyFont="1" applyFill="1" applyBorder="1" applyAlignment="1">
      <alignment horizontal="right" wrapText="1"/>
    </xf>
    <xf numFmtId="164" fontId="7" fillId="7" borderId="2" xfId="0" applyNumberFormat="1" applyFont="1" applyFill="1" applyBorder="1" applyAlignment="1">
      <alignment horizontal="right" wrapText="1"/>
    </xf>
    <xf numFmtId="165" fontId="10" fillId="7" borderId="2" xfId="0" applyNumberFormat="1" applyFont="1" applyFill="1" applyBorder="1" applyAlignment="1">
      <alignment horizontal="right" wrapText="1"/>
    </xf>
    <xf numFmtId="165" fontId="6" fillId="7" borderId="5" xfId="0" applyNumberFormat="1" applyFont="1" applyFill="1" applyBorder="1" applyAlignment="1">
      <alignment horizontal="right" wrapText="1"/>
    </xf>
    <xf numFmtId="164" fontId="6" fillId="7" borderId="5" xfId="0" applyNumberFormat="1" applyFont="1" applyFill="1" applyBorder="1" applyAlignment="1">
      <alignment horizontal="right" wrapText="1"/>
    </xf>
    <xf numFmtId="164" fontId="6" fillId="7" borderId="0" xfId="0" applyNumberFormat="1" applyFont="1" applyFill="1" applyBorder="1" applyAlignment="1">
      <alignment horizontal="right" wrapText="1"/>
    </xf>
    <xf numFmtId="164" fontId="10" fillId="7" borderId="0" xfId="0" applyNumberFormat="1" applyFont="1" applyFill="1" applyBorder="1" applyAlignment="1">
      <alignment horizontal="right" wrapText="1"/>
    </xf>
    <xf numFmtId="164" fontId="7" fillId="7" borderId="0" xfId="0" applyNumberFormat="1" applyFont="1" applyFill="1" applyBorder="1" applyAlignment="1">
      <alignment horizontal="right" wrapText="1"/>
    </xf>
    <xf numFmtId="164" fontId="6" fillId="7" borderId="6" xfId="0" applyNumberFormat="1" applyFont="1" applyFill="1" applyBorder="1" applyAlignment="1">
      <alignment horizontal="right" wrapText="1"/>
    </xf>
    <xf numFmtId="175" fontId="7" fillId="7" borderId="0" xfId="0" applyNumberFormat="1" applyFont="1" applyFill="1" applyAlignment="1"/>
    <xf numFmtId="40" fontId="7" fillId="7" borderId="0" xfId="0" applyNumberFormat="1" applyFont="1" applyFill="1" applyAlignment="1">
      <alignment horizontal="right" wrapText="1"/>
    </xf>
    <xf numFmtId="38" fontId="10" fillId="7" borderId="0" xfId="0" applyNumberFormat="1" applyFont="1" applyFill="1" applyAlignment="1">
      <alignment horizontal="right" wrapText="1"/>
    </xf>
    <xf numFmtId="0" fontId="7" fillId="7" borderId="2" xfId="0" applyFont="1" applyFill="1" applyBorder="1"/>
    <xf numFmtId="0" fontId="7" fillId="7" borderId="2" xfId="0" applyFont="1" applyFill="1" applyBorder="1" applyAlignment="1"/>
    <xf numFmtId="38" fontId="10" fillId="7" borderId="2" xfId="0" applyNumberFormat="1" applyFont="1" applyFill="1" applyBorder="1" applyAlignment="1">
      <alignment horizontal="right" wrapText="1"/>
    </xf>
    <xf numFmtId="178" fontId="11" fillId="7" borderId="2" xfId="0" applyNumberFormat="1" applyFont="1" applyFill="1" applyBorder="1" applyAlignment="1">
      <alignment wrapText="1"/>
    </xf>
    <xf numFmtId="165" fontId="6" fillId="7" borderId="0" xfId="0" applyNumberFormat="1" applyFont="1" applyFill="1" applyAlignment="1">
      <alignment horizontal="right"/>
    </xf>
    <xf numFmtId="165" fontId="7" fillId="7" borderId="0" xfId="0" applyNumberFormat="1" applyFont="1" applyFill="1" applyAlignment="1"/>
    <xf numFmtId="165" fontId="10" fillId="7" borderId="0" xfId="0" applyNumberFormat="1" applyFont="1" applyFill="1" applyAlignment="1"/>
    <xf numFmtId="165" fontId="10" fillId="7" borderId="0" xfId="0" applyNumberFormat="1" applyFont="1" applyFill="1" applyAlignment="1">
      <alignment horizontal="right"/>
    </xf>
    <xf numFmtId="165" fontId="7" fillId="7" borderId="0" xfId="0" applyNumberFormat="1" applyFont="1" applyFill="1" applyAlignment="1">
      <alignment horizontal="right"/>
    </xf>
    <xf numFmtId="165" fontId="6" fillId="7" borderId="5" xfId="0" applyNumberFormat="1" applyFont="1" applyFill="1" applyBorder="1" applyAlignment="1">
      <alignment horizontal="right"/>
    </xf>
    <xf numFmtId="165" fontId="6" fillId="7" borderId="0" xfId="0" applyNumberFormat="1" applyFont="1" applyFill="1" applyBorder="1" applyAlignment="1">
      <alignment horizontal="right"/>
    </xf>
    <xf numFmtId="165" fontId="6" fillId="7" borderId="0" xfId="0" applyNumberFormat="1" applyFont="1" applyFill="1" applyAlignment="1"/>
    <xf numFmtId="165" fontId="10" fillId="7" borderId="2" xfId="0" applyNumberFormat="1" applyFont="1" applyFill="1" applyBorder="1" applyAlignment="1">
      <alignment horizontal="right"/>
    </xf>
    <xf numFmtId="165" fontId="7" fillId="7" borderId="2" xfId="0" applyNumberFormat="1" applyFont="1" applyFill="1" applyBorder="1" applyAlignment="1"/>
    <xf numFmtId="165" fontId="10" fillId="7" borderId="0" xfId="0" applyNumberFormat="1" applyFont="1" applyFill="1" applyBorder="1" applyAlignment="1">
      <alignment horizontal="right"/>
    </xf>
    <xf numFmtId="39" fontId="11" fillId="7" borderId="0" xfId="0" applyNumberFormat="1" applyFont="1" applyFill="1" applyAlignment="1">
      <alignment horizontal="right"/>
    </xf>
    <xf numFmtId="165" fontId="7" fillId="7" borderId="2" xfId="0" applyNumberFormat="1" applyFont="1" applyFill="1" applyBorder="1" applyAlignment="1">
      <alignment horizontal="right"/>
    </xf>
    <xf numFmtId="178" fontId="8" fillId="7" borderId="0" xfId="0" applyNumberFormat="1" applyFont="1" applyFill="1" applyAlignment="1"/>
    <xf numFmtId="178" fontId="11" fillId="7" borderId="0" xfId="0" applyNumberFormat="1" applyFont="1" applyFill="1" applyBorder="1" applyAlignment="1">
      <alignment horizontal="right"/>
    </xf>
    <xf numFmtId="167" fontId="9" fillId="7" borderId="0" xfId="0" applyNumberFormat="1" applyFont="1" applyFill="1" applyBorder="1" applyAlignment="1"/>
    <xf numFmtId="167" fontId="12" fillId="7" borderId="0" xfId="0" applyNumberFormat="1" applyFont="1" applyFill="1" applyBorder="1" applyAlignment="1"/>
    <xf numFmtId="167" fontId="6" fillId="7" borderId="0" xfId="0" applyNumberFormat="1" applyFont="1" applyFill="1" applyBorder="1" applyAlignment="1"/>
    <xf numFmtId="4" fontId="6" fillId="7" borderId="0" xfId="0" applyNumberFormat="1" applyFont="1" applyFill="1" applyBorder="1" applyAlignment="1"/>
    <xf numFmtId="4" fontId="6" fillId="7" borderId="0" xfId="0" applyNumberFormat="1" applyFont="1" applyFill="1" applyAlignment="1">
      <alignment horizontal="right"/>
    </xf>
    <xf numFmtId="3" fontId="9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8" fontId="7" fillId="7" borderId="0" xfId="0" applyNumberFormat="1" applyFont="1" applyFill="1" applyBorder="1" applyAlignment="1"/>
    <xf numFmtId="0" fontId="7" fillId="7" borderId="0" xfId="0" applyFont="1" applyFill="1" applyAlignment="1">
      <alignment horizontal="left"/>
    </xf>
    <xf numFmtId="167" fontId="10" fillId="7" borderId="0" xfId="0" applyNumberFormat="1" applyFont="1" applyFill="1" applyAlignment="1">
      <alignment horizontal="right"/>
    </xf>
    <xf numFmtId="167" fontId="7" fillId="7" borderId="0" xfId="0" applyNumberFormat="1" applyFont="1" applyFill="1" applyAlignment="1">
      <alignment horizontal="right"/>
    </xf>
    <xf numFmtId="167" fontId="6" fillId="7" borderId="0" xfId="0" applyNumberFormat="1" applyFont="1" applyFill="1" applyAlignment="1">
      <alignment horizontal="right"/>
    </xf>
    <xf numFmtId="167" fontId="10" fillId="7" borderId="0" xfId="0" applyNumberFormat="1" applyFont="1" applyFill="1" applyBorder="1" applyAlignment="1">
      <alignment horizontal="right"/>
    </xf>
    <xf numFmtId="167" fontId="7" fillId="7" borderId="0" xfId="0" applyNumberFormat="1" applyFont="1" applyFill="1" applyBorder="1" applyAlignment="1">
      <alignment horizontal="right"/>
    </xf>
    <xf numFmtId="178" fontId="38" fillId="7" borderId="0" xfId="0" applyNumberFormat="1" applyFont="1" applyFill="1" applyAlignment="1">
      <alignment wrapText="1"/>
    </xf>
    <xf numFmtId="9" fontId="9" fillId="7" borderId="0" xfId="0" applyNumberFormat="1" applyFont="1" applyFill="1" applyBorder="1" applyAlignment="1"/>
    <xf numFmtId="10" fontId="9" fillId="7" borderId="0" xfId="0" applyNumberFormat="1" applyFont="1" applyFill="1" applyBorder="1" applyAlignment="1"/>
    <xf numFmtId="9" fontId="8" fillId="7" borderId="0" xfId="0" applyNumberFormat="1" applyFont="1" applyFill="1" applyBorder="1" applyAlignment="1">
      <alignment horizontal="right"/>
    </xf>
    <xf numFmtId="0" fontId="6" fillId="7" borderId="2" xfId="0" applyFont="1" applyFill="1" applyBorder="1" applyAlignment="1"/>
    <xf numFmtId="165" fontId="6" fillId="7" borderId="2" xfId="0" applyNumberFormat="1" applyFont="1" applyFill="1" applyBorder="1" applyAlignment="1">
      <alignment horizontal="right"/>
    </xf>
    <xf numFmtId="0" fontId="6" fillId="7" borderId="1" xfId="0" applyFont="1" applyFill="1" applyBorder="1" applyAlignment="1"/>
    <xf numFmtId="0" fontId="6" fillId="2" borderId="17" xfId="0" applyFont="1" applyFill="1" applyBorder="1" applyAlignment="1"/>
    <xf numFmtId="0" fontId="7" fillId="2" borderId="17" xfId="0" applyFont="1" applyFill="1" applyBorder="1" applyAlignment="1"/>
    <xf numFmtId="0" fontId="6" fillId="2" borderId="17" xfId="0" applyFont="1" applyFill="1" applyBorder="1" applyAlignment="1">
      <alignment wrapText="1"/>
    </xf>
    <xf numFmtId="172" fontId="6" fillId="2" borderId="17" xfId="0" applyNumberFormat="1" applyFont="1" applyFill="1" applyBorder="1" applyAlignment="1">
      <alignment horizontal="right" wrapText="1"/>
    </xf>
    <xf numFmtId="167" fontId="10" fillId="7" borderId="0" xfId="0" applyNumberFormat="1" applyFont="1" applyFill="1" applyBorder="1" applyAlignment="1"/>
    <xf numFmtId="167" fontId="7" fillId="7" borderId="0" xfId="0" applyNumberFormat="1" applyFont="1" applyFill="1" applyBorder="1" applyAlignment="1"/>
    <xf numFmtId="0" fontId="8" fillId="7" borderId="0" xfId="0" applyFont="1" applyFill="1" applyAlignment="1">
      <alignment horizontal="left"/>
    </xf>
    <xf numFmtId="169" fontId="8" fillId="7" borderId="0" xfId="0" applyNumberFormat="1" applyFont="1" applyFill="1" applyBorder="1" applyAlignment="1"/>
    <xf numFmtId="169" fontId="10" fillId="7" borderId="0" xfId="0" applyNumberFormat="1" applyFont="1" applyFill="1" applyBorder="1" applyAlignment="1"/>
    <xf numFmtId="0" fontId="0" fillId="7" borderId="0" xfId="0" applyFill="1"/>
    <xf numFmtId="169" fontId="11" fillId="7" borderId="17" xfId="0" applyNumberFormat="1" applyFont="1" applyFill="1" applyBorder="1" applyAlignment="1"/>
    <xf numFmtId="0" fontId="6" fillId="7" borderId="0" xfId="0" applyFont="1" applyFill="1" applyAlignment="1">
      <alignment horizontal="left"/>
    </xf>
    <xf numFmtId="0" fontId="8" fillId="7" borderId="0" xfId="0" applyFont="1" applyFill="1" applyAlignment="1">
      <alignment horizontal="left" indent="1"/>
    </xf>
    <xf numFmtId="167" fontId="6" fillId="7" borderId="0" xfId="0" applyNumberFormat="1" applyFont="1" applyFill="1" applyBorder="1" applyAlignment="1">
      <alignment horizontal="right"/>
    </xf>
    <xf numFmtId="167" fontId="23" fillId="7" borderId="0" xfId="0" applyNumberFormat="1" applyFont="1" applyFill="1" applyBorder="1" applyAlignment="1">
      <alignment horizontal="right"/>
    </xf>
    <xf numFmtId="169" fontId="11" fillId="7" borderId="0" xfId="0" applyNumberFormat="1" applyFont="1" applyFill="1" applyBorder="1" applyAlignment="1"/>
    <xf numFmtId="169" fontId="8" fillId="7" borderId="17" xfId="0" applyNumberFormat="1" applyFont="1" applyFill="1" applyBorder="1" applyAlignment="1"/>
    <xf numFmtId="0" fontId="7" fillId="7" borderId="0" xfId="0" applyFont="1" applyFill="1" applyBorder="1" applyAlignment="1">
      <alignment horizontal="center"/>
    </xf>
    <xf numFmtId="168" fontId="20" fillId="7" borderId="0" xfId="0" applyNumberFormat="1" applyFont="1" applyFill="1" applyBorder="1" applyAlignment="1"/>
    <xf numFmtId="165" fontId="20" fillId="7" borderId="0" xfId="0" applyNumberFormat="1" applyFont="1" applyFill="1" applyBorder="1" applyAlignment="1"/>
    <xf numFmtId="169" fontId="22" fillId="7" borderId="0" xfId="0" applyNumberFormat="1" applyFont="1" applyFill="1" applyBorder="1" applyAlignment="1"/>
    <xf numFmtId="167" fontId="6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165" fontId="7" fillId="7" borderId="0" xfId="0" applyNumberFormat="1" applyFont="1" applyFill="1" applyBorder="1" applyAlignment="1">
      <alignment horizontal="right"/>
    </xf>
    <xf numFmtId="164" fontId="6" fillId="7" borderId="2" xfId="0" applyNumberFormat="1" applyFont="1" applyFill="1" applyBorder="1" applyAlignment="1">
      <alignment horizontal="center"/>
    </xf>
    <xf numFmtId="165" fontId="6" fillId="7" borderId="6" xfId="0" applyNumberFormat="1" applyFont="1" applyFill="1" applyBorder="1" applyAlignment="1">
      <alignment horizontal="right"/>
    </xf>
    <xf numFmtId="165" fontId="6" fillId="7" borderId="0" xfId="0" applyNumberFormat="1" applyFont="1" applyFill="1" applyBorder="1" applyAlignment="1"/>
    <xf numFmtId="0" fontId="6" fillId="7" borderId="0" xfId="0" applyFont="1" applyFill="1" applyBorder="1" applyAlignment="1">
      <alignment wrapText="1"/>
    </xf>
    <xf numFmtId="172" fontId="6" fillId="7" borderId="0" xfId="0" applyNumberFormat="1" applyFont="1" applyFill="1" applyBorder="1" applyAlignment="1">
      <alignment horizontal="right" wrapText="1"/>
    </xf>
    <xf numFmtId="173" fontId="6" fillId="7" borderId="0" xfId="0" applyNumberFormat="1" applyFont="1" applyFill="1" applyBorder="1" applyAlignment="1">
      <alignment horizontal="right" wrapText="1"/>
    </xf>
    <xf numFmtId="165" fontId="10" fillId="7" borderId="2" xfId="0" applyNumberFormat="1" applyFont="1" applyFill="1" applyBorder="1" applyAlignment="1"/>
    <xf numFmtId="0" fontId="7" fillId="7" borderId="0" xfId="0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5" fontId="39" fillId="7" borderId="0" xfId="0" applyNumberFormat="1" applyFont="1" applyFill="1" applyAlignment="1">
      <alignment horizontal="right"/>
    </xf>
    <xf numFmtId="0" fontId="7" fillId="7" borderId="0" xfId="0" applyFont="1" applyFill="1" applyBorder="1"/>
    <xf numFmtId="165" fontId="39" fillId="7" borderId="2" xfId="0" applyNumberFormat="1" applyFont="1" applyFill="1" applyBorder="1" applyAlignment="1">
      <alignment horizontal="right"/>
    </xf>
    <xf numFmtId="0" fontId="7" fillId="7" borderId="0" xfId="0" quotePrefix="1" applyFont="1" applyFill="1" applyAlignment="1"/>
    <xf numFmtId="9" fontId="9" fillId="7" borderId="0" xfId="0" applyNumberFormat="1" applyFont="1" applyFill="1" applyBorder="1" applyAlignment="1">
      <alignment horizontal="right"/>
    </xf>
    <xf numFmtId="9" fontId="8" fillId="7" borderId="0" xfId="0" applyNumberFormat="1" applyFont="1" applyFill="1" applyBorder="1" applyAlignment="1">
      <alignment horizontal="left"/>
    </xf>
    <xf numFmtId="9" fontId="13" fillId="7" borderId="0" xfId="0" applyNumberFormat="1" applyFont="1" applyFill="1" applyAlignment="1">
      <alignment horizontal="right"/>
    </xf>
    <xf numFmtId="178" fontId="13" fillId="7" borderId="0" xfId="0" applyNumberFormat="1" applyFont="1" applyFill="1" applyAlignment="1">
      <alignment horizontal="right"/>
    </xf>
    <xf numFmtId="178" fontId="8" fillId="7" borderId="0" xfId="0" applyNumberFormat="1" applyFont="1" applyFill="1" applyAlignment="1">
      <alignment horizontal="right"/>
    </xf>
    <xf numFmtId="9" fontId="13" fillId="7" borderId="0" xfId="0" applyNumberFormat="1" applyFont="1" applyFill="1" applyBorder="1" applyAlignment="1">
      <alignment horizontal="right"/>
    </xf>
    <xf numFmtId="165" fontId="7" fillId="7" borderId="2" xfId="0" applyNumberFormat="1" applyFont="1" applyFill="1" applyBorder="1" applyAlignment="1">
      <alignment horizontal="right" wrapText="1"/>
    </xf>
    <xf numFmtId="164" fontId="7" fillId="7" borderId="0" xfId="0" applyNumberFormat="1" applyFont="1" applyFill="1" applyBorder="1" applyAlignment="1"/>
    <xf numFmtId="165" fontId="7" fillId="7" borderId="5" xfId="0" applyNumberFormat="1" applyFont="1" applyFill="1" applyBorder="1" applyAlignment="1"/>
    <xf numFmtId="164" fontId="6" fillId="7" borderId="0" xfId="0" applyNumberFormat="1" applyFont="1" applyFill="1" applyBorder="1" applyAlignment="1"/>
    <xf numFmtId="164" fontId="6" fillId="7" borderId="0" xfId="0" applyNumberFormat="1" applyFont="1" applyFill="1" applyAlignment="1"/>
    <xf numFmtId="9" fontId="8" fillId="7" borderId="0" xfId="0" applyNumberFormat="1" applyFont="1" applyFill="1" applyBorder="1" applyAlignment="1"/>
    <xf numFmtId="9" fontId="13" fillId="7" borderId="0" xfId="0" applyNumberFormat="1" applyFont="1" applyFill="1" applyAlignment="1"/>
    <xf numFmtId="178" fontId="13" fillId="7" borderId="0" xfId="0" applyNumberFormat="1" applyFont="1" applyFill="1" applyAlignment="1"/>
    <xf numFmtId="164" fontId="6" fillId="2" borderId="17" xfId="0" applyNumberFormat="1" applyFont="1" applyFill="1" applyBorder="1" applyAlignment="1">
      <alignment horizontal="centerContinuous"/>
    </xf>
    <xf numFmtId="0" fontId="6" fillId="7" borderId="0" xfId="0" applyFont="1" applyFill="1" applyAlignment="1">
      <alignment wrapText="1"/>
    </xf>
    <xf numFmtId="9" fontId="8" fillId="7" borderId="2" xfId="0" applyNumberFormat="1" applyFont="1" applyFill="1" applyBorder="1" applyAlignment="1">
      <alignment wrapText="1"/>
    </xf>
    <xf numFmtId="9" fontId="8" fillId="7" borderId="17" xfId="0" applyNumberFormat="1" applyFont="1" applyFill="1" applyBorder="1" applyAlignment="1">
      <alignment wrapText="1"/>
    </xf>
    <xf numFmtId="9" fontId="31" fillId="7" borderId="0" xfId="0" applyNumberFormat="1" applyFont="1" applyFill="1" applyBorder="1" applyAlignment="1">
      <alignment wrapText="1"/>
    </xf>
    <xf numFmtId="9" fontId="31" fillId="7" borderId="2" xfId="0" applyNumberFormat="1" applyFont="1" applyFill="1" applyBorder="1" applyAlignment="1">
      <alignment wrapText="1"/>
    </xf>
    <xf numFmtId="164" fontId="6" fillId="7" borderId="17" xfId="0" applyNumberFormat="1" applyFont="1" applyFill="1" applyBorder="1" applyAlignment="1">
      <alignment horizontal="right" wrapText="1"/>
    </xf>
    <xf numFmtId="0" fontId="8" fillId="7" borderId="0" xfId="0" applyFont="1" applyFill="1" applyBorder="1" applyAlignment="1"/>
    <xf numFmtId="165" fontId="10" fillId="7" borderId="0" xfId="0" applyNumberFormat="1" applyFont="1" applyFill="1" applyBorder="1" applyAlignment="1">
      <alignment horizontal="right" wrapText="1"/>
    </xf>
    <xf numFmtId="165" fontId="10" fillId="7" borderId="17" xfId="0" applyNumberFormat="1" applyFont="1" applyFill="1" applyBorder="1" applyAlignment="1">
      <alignment horizontal="right" wrapText="1"/>
    </xf>
    <xf numFmtId="9" fontId="31" fillId="7" borderId="17" xfId="0" applyNumberFormat="1" applyFont="1" applyFill="1" applyBorder="1" applyAlignment="1">
      <alignment wrapText="1"/>
    </xf>
    <xf numFmtId="9" fontId="30" fillId="7" borderId="2" xfId="0" applyNumberFormat="1" applyFont="1" applyFill="1" applyBorder="1" applyAlignment="1">
      <alignment wrapText="1"/>
    </xf>
    <xf numFmtId="9" fontId="11" fillId="7" borderId="2" xfId="0" applyNumberFormat="1" applyFont="1" applyFill="1" applyBorder="1" applyAlignment="1">
      <alignment wrapText="1"/>
    </xf>
    <xf numFmtId="40" fontId="7" fillId="7" borderId="0" xfId="0" applyNumberFormat="1" applyFont="1" applyFill="1" applyBorder="1" applyAlignment="1">
      <alignment horizontal="right" wrapText="1"/>
    </xf>
    <xf numFmtId="164" fontId="7" fillId="7" borderId="17" xfId="0" applyNumberFormat="1" applyFont="1" applyFill="1" applyBorder="1" applyAlignment="1">
      <alignment horizontal="right" wrapText="1"/>
    </xf>
    <xf numFmtId="165" fontId="7" fillId="7" borderId="17" xfId="0" applyNumberFormat="1" applyFont="1" applyFill="1" applyBorder="1" applyAlignment="1">
      <alignment horizontal="right" wrapText="1"/>
    </xf>
    <xf numFmtId="38" fontId="7" fillId="7" borderId="0" xfId="0" applyNumberFormat="1" applyFont="1" applyFill="1" applyAlignment="1">
      <alignment horizontal="right" wrapText="1"/>
    </xf>
    <xf numFmtId="38" fontId="7" fillId="7" borderId="17" xfId="0" applyNumberFormat="1" applyFont="1" applyFill="1" applyBorder="1" applyAlignment="1">
      <alignment horizontal="right" wrapText="1"/>
    </xf>
    <xf numFmtId="38" fontId="7" fillId="7" borderId="2" xfId="0" applyNumberFormat="1" applyFont="1" applyFill="1" applyBorder="1" applyAlignment="1">
      <alignment horizontal="right" wrapText="1"/>
    </xf>
    <xf numFmtId="9" fontId="18" fillId="7" borderId="17" xfId="0" applyNumberFormat="1" applyFont="1" applyFill="1" applyBorder="1" applyAlignment="1">
      <alignment wrapText="1"/>
    </xf>
    <xf numFmtId="38" fontId="21" fillId="7" borderId="0" xfId="0" applyNumberFormat="1" applyFont="1" applyFill="1" applyAlignment="1">
      <alignment horizontal="right" wrapText="1"/>
    </xf>
    <xf numFmtId="38" fontId="21" fillId="7" borderId="2" xfId="0" applyNumberFormat="1" applyFont="1" applyFill="1" applyBorder="1" applyAlignment="1">
      <alignment horizontal="right" wrapText="1"/>
    </xf>
    <xf numFmtId="178" fontId="18" fillId="7" borderId="0" xfId="0" applyNumberFormat="1" applyFont="1" applyFill="1" applyAlignment="1">
      <alignment wrapText="1"/>
    </xf>
    <xf numFmtId="0" fontId="19" fillId="7" borderId="0" xfId="0" applyFont="1" applyFill="1"/>
    <xf numFmtId="174" fontId="25" fillId="7" borderId="15" xfId="0" applyNumberFormat="1" applyFont="1" applyFill="1" applyBorder="1"/>
    <xf numFmtId="37" fontId="27" fillId="7" borderId="0" xfId="0" applyNumberFormat="1" applyFont="1" applyFill="1" applyBorder="1"/>
    <xf numFmtId="37" fontId="28" fillId="7" borderId="0" xfId="0" applyNumberFormat="1" applyFont="1" applyFill="1" applyBorder="1"/>
    <xf numFmtId="7" fontId="27" fillId="7" borderId="0" xfId="0" applyNumberFormat="1" applyFont="1" applyFill="1" applyBorder="1" applyAlignment="1">
      <alignment horizontal="right"/>
    </xf>
    <xf numFmtId="0" fontId="19" fillId="7" borderId="0" xfId="0" applyFont="1" applyFill="1" applyBorder="1"/>
    <xf numFmtId="0" fontId="25" fillId="7" borderId="0" xfId="0" applyFont="1" applyFill="1" applyBorder="1"/>
    <xf numFmtId="0" fontId="19" fillId="7" borderId="0" xfId="0" quotePrefix="1" applyFont="1" applyFill="1" applyBorder="1"/>
    <xf numFmtId="0" fontId="25" fillId="7" borderId="14" xfId="0" applyFont="1" applyFill="1" applyBorder="1"/>
    <xf numFmtId="0" fontId="25" fillId="7" borderId="5" xfId="0" applyFont="1" applyFill="1" applyBorder="1"/>
    <xf numFmtId="0" fontId="19" fillId="7" borderId="5" xfId="0" applyFont="1" applyFill="1" applyBorder="1"/>
    <xf numFmtId="165" fontId="25" fillId="7" borderId="15" xfId="0" applyNumberFormat="1" applyFont="1" applyFill="1" applyBorder="1" applyAlignment="1"/>
    <xf numFmtId="0" fontId="25" fillId="7" borderId="17" xfId="0" applyFont="1" applyFill="1" applyBorder="1"/>
    <xf numFmtId="0" fontId="19" fillId="7" borderId="17" xfId="0" applyFont="1" applyFill="1" applyBorder="1"/>
    <xf numFmtId="37" fontId="19" fillId="7" borderId="17" xfId="0" applyNumberFormat="1" applyFont="1" applyFill="1" applyBorder="1"/>
    <xf numFmtId="37" fontId="25" fillId="7" borderId="15" xfId="0" applyNumberFormat="1" applyFont="1" applyFill="1" applyBorder="1"/>
    <xf numFmtId="165" fontId="27" fillId="7" borderId="0" xfId="0" applyNumberFormat="1" applyFont="1" applyFill="1" applyBorder="1"/>
    <xf numFmtId="7" fontId="7" fillId="4" borderId="5" xfId="1" applyNumberFormat="1" applyFont="1" applyFill="1" applyBorder="1"/>
    <xf numFmtId="167" fontId="7" fillId="4" borderId="5" xfId="1" applyNumberFormat="1" applyFont="1" applyFill="1" applyBorder="1"/>
    <xf numFmtId="0" fontId="7" fillId="4" borderId="5" xfId="1" applyFont="1" applyFill="1" applyBorder="1" applyAlignment="1"/>
    <xf numFmtId="179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 applyAlignment="1"/>
    <xf numFmtId="179" fontId="6" fillId="2" borderId="0" xfId="1" applyNumberFormat="1" applyFont="1" applyFill="1" applyBorder="1" applyAlignment="1">
      <alignment horizontal="right" wrapText="1"/>
    </xf>
    <xf numFmtId="179" fontId="6" fillId="2" borderId="0" xfId="1" quotePrefix="1" applyNumberFormat="1" applyFont="1" applyFill="1" applyBorder="1" applyAlignment="1">
      <alignment horizontal="right" wrapText="1"/>
    </xf>
    <xf numFmtId="0" fontId="6" fillId="2" borderId="0" xfId="1" applyFont="1" applyFill="1" applyBorder="1" applyAlignment="1"/>
    <xf numFmtId="0" fontId="6" fillId="2" borderId="17" xfId="1" applyFont="1" applyFill="1" applyBorder="1" applyAlignment="1">
      <alignment horizontal="centerContinuous"/>
    </xf>
    <xf numFmtId="0" fontId="6" fillId="2" borderId="17" xfId="1" applyNumberFormat="1" applyFont="1" applyFill="1" applyBorder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6" fillId="2" borderId="0" xfId="1" applyFont="1" applyFill="1" applyBorder="1" applyAlignment="1">
      <alignment horizontal="centerContinuous"/>
    </xf>
    <xf numFmtId="0" fontId="7" fillId="2" borderId="0" xfId="1" applyFont="1" applyFill="1" applyBorder="1"/>
    <xf numFmtId="0" fontId="7" fillId="2" borderId="0" xfId="1" applyFont="1" applyFill="1" applyBorder="1" applyAlignment="1"/>
    <xf numFmtId="0" fontId="6" fillId="2" borderId="1" xfId="1" applyFont="1" applyFill="1" applyBorder="1"/>
    <xf numFmtId="0" fontId="8" fillId="0" borderId="0" xfId="1" applyFont="1" applyFill="1"/>
    <xf numFmtId="167" fontId="7" fillId="0" borderId="0" xfId="1" applyNumberFormat="1" applyFont="1" applyFill="1" applyBorder="1" applyAlignment="1"/>
    <xf numFmtId="0" fontId="6" fillId="0" borderId="0" xfId="1" applyFont="1" applyFill="1" applyBorder="1" applyAlignment="1"/>
    <xf numFmtId="0" fontId="7" fillId="0" borderId="0" xfId="1" applyFont="1" applyFill="1" applyBorder="1" applyAlignment="1"/>
    <xf numFmtId="0" fontId="8" fillId="3" borderId="0" xfId="1" applyFont="1" applyFill="1"/>
    <xf numFmtId="176" fontId="7" fillId="5" borderId="3" xfId="1" applyNumberFormat="1" applyFont="1" applyFill="1" applyBorder="1" applyAlignment="1">
      <alignment horizontal="center"/>
    </xf>
    <xf numFmtId="176" fontId="7" fillId="5" borderId="17" xfId="1" applyNumberFormat="1" applyFont="1" applyFill="1" applyBorder="1" applyAlignment="1">
      <alignment horizontal="center"/>
    </xf>
    <xf numFmtId="167" fontId="7" fillId="5" borderId="17" xfId="1" applyNumberFormat="1" applyFont="1" applyFill="1" applyBorder="1" applyAlignment="1">
      <alignment horizontal="center"/>
    </xf>
    <xf numFmtId="0" fontId="6" fillId="5" borderId="17" xfId="1" applyFont="1" applyFill="1" applyBorder="1" applyAlignment="1"/>
    <xf numFmtId="0" fontId="7" fillId="5" borderId="17" xfId="1" applyFont="1" applyFill="1" applyBorder="1" applyAlignment="1"/>
    <xf numFmtId="176" fontId="7" fillId="5" borderId="11" xfId="1" applyNumberFormat="1" applyFont="1" applyFill="1" applyBorder="1" applyAlignment="1">
      <alignment horizontal="center"/>
    </xf>
    <xf numFmtId="176" fontId="7" fillId="5" borderId="0" xfId="1" applyNumberFormat="1" applyFont="1" applyFill="1" applyAlignment="1">
      <alignment horizontal="center"/>
    </xf>
    <xf numFmtId="167" fontId="7" fillId="5" borderId="0" xfId="1" applyNumberFormat="1" applyFont="1" applyFill="1" applyAlignment="1">
      <alignment horizontal="center"/>
    </xf>
    <xf numFmtId="0" fontId="6" fillId="5" borderId="0" xfId="1" applyFont="1" applyFill="1" applyAlignment="1"/>
    <xf numFmtId="0" fontId="7" fillId="5" borderId="0" xfId="1" applyFont="1" applyFill="1" applyAlignment="1"/>
    <xf numFmtId="0" fontId="7" fillId="3" borderId="0" xfId="1" applyFont="1" applyFill="1"/>
    <xf numFmtId="176" fontId="7" fillId="4" borderId="15" xfId="1" applyNumberFormat="1" applyFont="1" applyFill="1" applyBorder="1" applyAlignment="1">
      <alignment horizontal="center"/>
    </xf>
    <xf numFmtId="176" fontId="7" fillId="4" borderId="5" xfId="1" applyNumberFormat="1" applyFont="1" applyFill="1" applyBorder="1" applyAlignment="1">
      <alignment horizontal="center"/>
    </xf>
    <xf numFmtId="167" fontId="7" fillId="4" borderId="5" xfId="1" applyNumberFormat="1" applyFont="1" applyFill="1" applyBorder="1" applyAlignment="1">
      <alignment horizontal="center"/>
    </xf>
    <xf numFmtId="170" fontId="7" fillId="4" borderId="5" xfId="1" applyNumberFormat="1" applyFont="1" applyFill="1" applyBorder="1" applyAlignment="1">
      <alignment horizontal="center"/>
    </xf>
    <xf numFmtId="179" fontId="6" fillId="2" borderId="3" xfId="1" applyNumberFormat="1" applyFont="1" applyFill="1" applyBorder="1" applyAlignment="1">
      <alignment horizontal="right" wrapText="1"/>
    </xf>
    <xf numFmtId="179" fontId="6" fillId="2" borderId="4" xfId="1" applyNumberFormat="1" applyFont="1" applyFill="1" applyBorder="1" applyAlignment="1">
      <alignment horizontal="right" wrapText="1"/>
    </xf>
    <xf numFmtId="179" fontId="6" fillId="2" borderId="13" xfId="1" applyNumberFormat="1" applyFont="1" applyFill="1" applyBorder="1" applyAlignment="1">
      <alignment horizontal="left" wrapText="1"/>
    </xf>
    <xf numFmtId="179" fontId="6" fillId="2" borderId="11" xfId="1" applyNumberFormat="1" applyFont="1" applyFill="1" applyBorder="1" applyAlignment="1">
      <alignment horizontal="right" wrapText="1"/>
    </xf>
    <xf numFmtId="0" fontId="6" fillId="2" borderId="8" xfId="1" applyNumberFormat="1" applyFont="1" applyFill="1" applyBorder="1" applyAlignment="1">
      <alignment horizontal="right" wrapText="1"/>
    </xf>
    <xf numFmtId="179" fontId="6" fillId="2" borderId="9" xfId="1" quotePrefix="1" applyNumberFormat="1" applyFont="1" applyFill="1" applyBorder="1" applyAlignment="1">
      <alignment horizontal="right" wrapText="1"/>
    </xf>
    <xf numFmtId="179" fontId="6" fillId="2" borderId="9" xfId="1" applyNumberFormat="1" applyFont="1" applyFill="1" applyBorder="1" applyAlignment="1">
      <alignment horizontal="right" wrapText="1"/>
    </xf>
    <xf numFmtId="179" fontId="6" fillId="2" borderId="10" xfId="1" applyNumberFormat="1" applyFont="1" applyFill="1" applyBorder="1" applyAlignment="1">
      <alignment horizontal="right" wrapText="1"/>
    </xf>
    <xf numFmtId="179" fontId="6" fillId="2" borderId="12" xfId="1" applyNumberFormat="1" applyFont="1" applyFill="1" applyBorder="1" applyAlignment="1">
      <alignment horizontal="left" wrapText="1"/>
    </xf>
    <xf numFmtId="0" fontId="7" fillId="9" borderId="15" xfId="1" applyNumberFormat="1" applyFont="1" applyFill="1" applyBorder="1" applyAlignment="1">
      <alignment horizontal="centerContinuous" wrapText="1"/>
    </xf>
    <xf numFmtId="0" fontId="6" fillId="9" borderId="5" xfId="1" applyNumberFormat="1" applyFont="1" applyFill="1" applyBorder="1" applyAlignment="1">
      <alignment horizontal="centerContinuous" wrapText="1"/>
    </xf>
    <xf numFmtId="0" fontId="6" fillId="9" borderId="8" xfId="1" applyNumberFormat="1" applyFont="1" applyFill="1" applyBorder="1" applyAlignment="1">
      <alignment horizontal="centerContinuous" wrapText="1"/>
    </xf>
    <xf numFmtId="0" fontId="7" fillId="9" borderId="9" xfId="1" applyNumberFormat="1" applyFont="1" applyFill="1" applyBorder="1" applyAlignment="1">
      <alignment horizontal="centerContinuous" wrapText="1"/>
    </xf>
    <xf numFmtId="0" fontId="7" fillId="2" borderId="15" xfId="1" applyFont="1" applyFill="1" applyBorder="1" applyAlignment="1">
      <alignment horizontal="centerContinuous"/>
    </xf>
    <xf numFmtId="0" fontId="7" fillId="2" borderId="5" xfId="1" applyFont="1" applyFill="1" applyBorder="1" applyAlignment="1">
      <alignment horizontal="centerContinuous"/>
    </xf>
    <xf numFmtId="0" fontId="6" fillId="2" borderId="14" xfId="1" applyNumberFormat="1" applyFont="1" applyFill="1" applyBorder="1" applyAlignment="1">
      <alignment horizontal="centerContinuous" wrapText="1"/>
    </xf>
    <xf numFmtId="0" fontId="6" fillId="2" borderId="12" xfId="1" applyFont="1" applyFill="1" applyBorder="1" applyAlignment="1">
      <alignment horizontal="left"/>
    </xf>
    <xf numFmtId="0" fontId="19" fillId="10" borderId="11" xfId="1" applyFill="1" applyBorder="1"/>
    <xf numFmtId="0" fontId="19" fillId="10" borderId="17" xfId="1" applyFill="1" applyBorder="1"/>
    <xf numFmtId="0" fontId="6" fillId="2" borderId="9" xfId="1" applyFont="1" applyFill="1" applyBorder="1"/>
    <xf numFmtId="0" fontId="7" fillId="3" borderId="19" xfId="1" applyFont="1" applyFill="1" applyBorder="1" applyAlignment="1"/>
    <xf numFmtId="170" fontId="7" fillId="7" borderId="19" xfId="1" applyNumberFormat="1" applyFont="1" applyFill="1" applyBorder="1" applyAlignment="1">
      <alignment horizontal="center"/>
    </xf>
    <xf numFmtId="167" fontId="7" fillId="7" borderId="19" xfId="1" applyNumberFormat="1" applyFont="1" applyFill="1" applyBorder="1" applyAlignment="1">
      <alignment horizontal="center"/>
    </xf>
    <xf numFmtId="167" fontId="7" fillId="3" borderId="19" xfId="1" applyNumberFormat="1" applyFont="1" applyFill="1" applyBorder="1" applyAlignment="1">
      <alignment horizontal="center"/>
    </xf>
    <xf numFmtId="176" fontId="7" fillId="3" borderId="19" xfId="1" applyNumberFormat="1" applyFont="1" applyFill="1" applyBorder="1" applyAlignment="1">
      <alignment horizontal="center"/>
    </xf>
    <xf numFmtId="176" fontId="7" fillId="3" borderId="18" xfId="1" applyNumberFormat="1" applyFont="1" applyFill="1" applyBorder="1" applyAlignment="1">
      <alignment horizontal="center"/>
    </xf>
    <xf numFmtId="0" fontId="7" fillId="7" borderId="19" xfId="1" applyFont="1" applyFill="1" applyBorder="1" applyAlignment="1"/>
    <xf numFmtId="167" fontId="7" fillId="7" borderId="19" xfId="1" applyNumberFormat="1" applyFont="1" applyFill="1" applyBorder="1"/>
    <xf numFmtId="7" fontId="7" fillId="7" borderId="19" xfId="1" applyNumberFormat="1" applyFont="1" applyFill="1" applyBorder="1"/>
    <xf numFmtId="0" fontId="7" fillId="3" borderId="20" xfId="1" applyFont="1" applyFill="1" applyBorder="1" applyAlignment="1"/>
    <xf numFmtId="167" fontId="7" fillId="7" borderId="20" xfId="1" applyNumberFormat="1" applyFont="1" applyFill="1" applyBorder="1"/>
    <xf numFmtId="37" fontId="7" fillId="7" borderId="20" xfId="1" applyNumberFormat="1" applyFont="1" applyFill="1" applyBorder="1"/>
    <xf numFmtId="7" fontId="7" fillId="7" borderId="20" xfId="1" applyNumberFormat="1" applyFont="1" applyFill="1" applyBorder="1"/>
    <xf numFmtId="170" fontId="7" fillId="7" borderId="20" xfId="1" applyNumberFormat="1" applyFont="1" applyFill="1" applyBorder="1" applyAlignment="1">
      <alignment horizontal="center"/>
    </xf>
    <xf numFmtId="167" fontId="7" fillId="7" borderId="20" xfId="1" applyNumberFormat="1" applyFont="1" applyFill="1" applyBorder="1" applyAlignment="1">
      <alignment horizontal="center"/>
    </xf>
    <xf numFmtId="167" fontId="7" fillId="3" borderId="20" xfId="1" applyNumberFormat="1" applyFont="1" applyFill="1" applyBorder="1" applyAlignment="1">
      <alignment horizontal="center"/>
    </xf>
    <xf numFmtId="176" fontId="7" fillId="3" borderId="20" xfId="1" applyNumberFormat="1" applyFont="1" applyFill="1" applyBorder="1" applyAlignment="1">
      <alignment horizontal="center"/>
    </xf>
    <xf numFmtId="0" fontId="7" fillId="3" borderId="22" xfId="1" applyFont="1" applyFill="1" applyBorder="1" applyAlignment="1"/>
    <xf numFmtId="170" fontId="7" fillId="7" borderId="22" xfId="1" applyNumberFormat="1" applyFont="1" applyFill="1" applyBorder="1" applyAlignment="1">
      <alignment horizontal="center"/>
    </xf>
    <xf numFmtId="167" fontId="7" fillId="7" borderId="22" xfId="1" applyNumberFormat="1" applyFont="1" applyFill="1" applyBorder="1" applyAlignment="1">
      <alignment horizontal="center"/>
    </xf>
    <xf numFmtId="167" fontId="7" fillId="3" borderId="22" xfId="1" applyNumberFormat="1" applyFont="1" applyFill="1" applyBorder="1" applyAlignment="1">
      <alignment horizontal="center"/>
    </xf>
    <xf numFmtId="176" fontId="7" fillId="3" borderId="23" xfId="1" applyNumberFormat="1" applyFont="1" applyFill="1" applyBorder="1" applyAlignment="1">
      <alignment horizontal="center"/>
    </xf>
    <xf numFmtId="0" fontId="7" fillId="4" borderId="14" xfId="1" applyFont="1" applyFill="1" applyBorder="1" applyAlignment="1"/>
    <xf numFmtId="0" fontId="7" fillId="3" borderId="25" xfId="1" applyFont="1" applyFill="1" applyBorder="1" applyAlignment="1"/>
    <xf numFmtId="0" fontId="7" fillId="3" borderId="26" xfId="1" applyFont="1" applyFill="1" applyBorder="1" applyAlignment="1"/>
    <xf numFmtId="0" fontId="7" fillId="3" borderId="27" xfId="1" applyFont="1" applyFill="1" applyBorder="1" applyAlignment="1"/>
    <xf numFmtId="7" fontId="7" fillId="4" borderId="15" xfId="1" applyNumberFormat="1" applyFont="1" applyFill="1" applyBorder="1"/>
    <xf numFmtId="0" fontId="7" fillId="7" borderId="25" xfId="1" applyFont="1" applyFill="1" applyBorder="1" applyAlignment="1"/>
    <xf numFmtId="7" fontId="7" fillId="7" borderId="18" xfId="1" applyNumberFormat="1" applyFont="1" applyFill="1" applyBorder="1"/>
    <xf numFmtId="7" fontId="7" fillId="7" borderId="23" xfId="1" applyNumberFormat="1" applyFont="1" applyFill="1" applyBorder="1"/>
    <xf numFmtId="0" fontId="6" fillId="2" borderId="8" xfId="1" applyFont="1" applyFill="1" applyBorder="1" applyAlignment="1"/>
    <xf numFmtId="0" fontId="7" fillId="2" borderId="10" xfId="1" applyFont="1" applyFill="1" applyBorder="1" applyAlignment="1"/>
    <xf numFmtId="0" fontId="7" fillId="2" borderId="0" xfId="1" quotePrefix="1" applyFont="1" applyFill="1" applyBorder="1" applyAlignment="1"/>
    <xf numFmtId="0" fontId="7" fillId="2" borderId="11" xfId="1" applyFont="1" applyFill="1" applyBorder="1" applyAlignment="1">
      <alignment horizontal="centerContinuous"/>
    </xf>
    <xf numFmtId="0" fontId="6" fillId="2" borderId="3" xfId="1" applyFont="1" applyFill="1" applyBorder="1" applyAlignment="1">
      <alignment horizontal="centerContinuous"/>
    </xf>
    <xf numFmtId="0" fontId="6" fillId="2" borderId="10" xfId="1" applyFont="1" applyFill="1" applyBorder="1" applyAlignment="1"/>
    <xf numFmtId="0" fontId="6" fillId="2" borderId="4" xfId="1" applyFont="1" applyFill="1" applyBorder="1" applyAlignment="1"/>
    <xf numFmtId="0" fontId="19" fillId="10" borderId="0" xfId="1" applyFill="1" applyBorder="1"/>
    <xf numFmtId="0" fontId="6" fillId="7" borderId="0" xfId="1" applyFont="1" applyFill="1" applyAlignment="1"/>
    <xf numFmtId="0" fontId="7" fillId="7" borderId="0" xfId="1" applyFont="1" applyFill="1" applyAlignment="1"/>
    <xf numFmtId="0" fontId="7" fillId="7" borderId="0" xfId="1" applyFont="1" applyFill="1"/>
    <xf numFmtId="164" fontId="7" fillId="7" borderId="0" xfId="1" applyNumberFormat="1" applyFont="1" applyFill="1"/>
    <xf numFmtId="0" fontId="7" fillId="7" borderId="0" xfId="1" applyFont="1" applyFill="1" applyBorder="1" applyAlignment="1"/>
    <xf numFmtId="164" fontId="7" fillId="7" borderId="2" xfId="1" applyNumberFormat="1" applyFont="1" applyFill="1" applyBorder="1"/>
    <xf numFmtId="0" fontId="6" fillId="7" borderId="0" xfId="1" applyFont="1" applyFill="1"/>
    <xf numFmtId="164" fontId="6" fillId="7" borderId="0" xfId="1" applyNumberFormat="1" applyFont="1" applyFill="1"/>
    <xf numFmtId="0" fontId="7" fillId="2" borderId="5" xfId="1" applyFont="1" applyFill="1" applyBorder="1"/>
    <xf numFmtId="0" fontId="7" fillId="2" borderId="15" xfId="1" applyFont="1" applyFill="1" applyBorder="1"/>
    <xf numFmtId="0" fontId="7" fillId="7" borderId="10" xfId="1" applyFont="1" applyFill="1" applyBorder="1" applyAlignment="1">
      <alignment horizontal="left"/>
    </xf>
    <xf numFmtId="0" fontId="7" fillId="7" borderId="0" xfId="1" applyFont="1" applyFill="1" applyBorder="1"/>
    <xf numFmtId="10" fontId="32" fillId="7" borderId="0" xfId="1" applyNumberFormat="1" applyFont="1" applyFill="1" applyBorder="1"/>
    <xf numFmtId="0" fontId="6" fillId="7" borderId="10" xfId="1" applyFont="1" applyFill="1" applyBorder="1"/>
    <xf numFmtId="37" fontId="7" fillId="7" borderId="11" xfId="1" applyNumberFormat="1" applyFont="1" applyFill="1" applyBorder="1"/>
    <xf numFmtId="0" fontId="7" fillId="7" borderId="11" xfId="1" applyFont="1" applyFill="1" applyBorder="1"/>
    <xf numFmtId="177" fontId="32" fillId="7" borderId="0" xfId="1" applyNumberFormat="1" applyFont="1" applyFill="1" applyBorder="1"/>
    <xf numFmtId="38" fontId="7" fillId="7" borderId="11" xfId="1" applyNumberFormat="1" applyFont="1" applyFill="1" applyBorder="1"/>
    <xf numFmtId="10" fontId="7" fillId="7" borderId="0" xfId="1" applyNumberFormat="1" applyFont="1" applyFill="1" applyBorder="1"/>
    <xf numFmtId="0" fontId="7" fillId="7" borderId="10" xfId="1" applyFont="1" applyFill="1" applyBorder="1"/>
    <xf numFmtId="182" fontId="32" fillId="7" borderId="0" xfId="1" applyNumberFormat="1" applyFont="1" applyFill="1" applyBorder="1"/>
    <xf numFmtId="0" fontId="6" fillId="7" borderId="4" xfId="1" applyFont="1" applyFill="1" applyBorder="1"/>
    <xf numFmtId="0" fontId="7" fillId="7" borderId="2" xfId="1" applyFont="1" applyFill="1" applyBorder="1"/>
    <xf numFmtId="0" fontId="7" fillId="7" borderId="4" xfId="1" applyFont="1" applyFill="1" applyBorder="1"/>
    <xf numFmtId="0" fontId="7" fillId="7" borderId="3" xfId="1" applyFont="1" applyFill="1" applyBorder="1"/>
    <xf numFmtId="0" fontId="6" fillId="2" borderId="14" xfId="1" applyFont="1" applyFill="1" applyBorder="1"/>
    <xf numFmtId="10" fontId="6" fillId="7" borderId="2" xfId="1" applyNumberFormat="1" applyFont="1" applyFill="1" applyBorder="1"/>
    <xf numFmtId="39" fontId="7" fillId="7" borderId="11" xfId="1" applyNumberFormat="1" applyFont="1" applyFill="1" applyBorder="1"/>
    <xf numFmtId="0" fontId="7" fillId="7" borderId="0" xfId="2" applyFont="1" applyFill="1"/>
    <xf numFmtId="10" fontId="10" fillId="7" borderId="7" xfId="2" applyNumberFormat="1" applyFont="1" applyFill="1" applyBorder="1"/>
    <xf numFmtId="0" fontId="19" fillId="7" borderId="0" xfId="1" applyFill="1"/>
    <xf numFmtId="0" fontId="7" fillId="7" borderId="1" xfId="1" applyFont="1" applyFill="1" applyBorder="1"/>
    <xf numFmtId="0" fontId="7" fillId="7" borderId="0" xfId="1" applyFont="1" applyFill="1" applyBorder="1" applyAlignment="1">
      <alignment horizontal="left"/>
    </xf>
    <xf numFmtId="164" fontId="7" fillId="7" borderId="11" xfId="1" applyNumberFormat="1" applyFont="1" applyFill="1" applyBorder="1"/>
    <xf numFmtId="176" fontId="10" fillId="7" borderId="29" xfId="2" applyNumberFormat="1" applyFont="1" applyFill="1" applyBorder="1"/>
    <xf numFmtId="165" fontId="7" fillId="7" borderId="11" xfId="2" applyNumberFormat="1" applyFont="1" applyFill="1" applyBorder="1"/>
    <xf numFmtId="0" fontId="6" fillId="7" borderId="2" xfId="1" applyFont="1" applyFill="1" applyBorder="1" applyAlignment="1">
      <alignment horizontal="left"/>
    </xf>
    <xf numFmtId="165" fontId="6" fillId="7" borderId="3" xfId="2" applyNumberFormat="1" applyFont="1" applyFill="1" applyBorder="1"/>
    <xf numFmtId="0" fontId="6" fillId="2" borderId="5" xfId="1" applyFont="1" applyFill="1" applyBorder="1"/>
    <xf numFmtId="0" fontId="6" fillId="2" borderId="15" xfId="1" applyFont="1" applyFill="1" applyBorder="1"/>
    <xf numFmtId="0" fontId="7" fillId="7" borderId="8" xfId="1" applyFont="1" applyFill="1" applyBorder="1"/>
    <xf numFmtId="0" fontId="7" fillId="7" borderId="1" xfId="1" applyFont="1" applyFill="1" applyBorder="1" applyAlignment="1">
      <alignment horizontal="left"/>
    </xf>
    <xf numFmtId="164" fontId="7" fillId="7" borderId="9" xfId="1" applyNumberFormat="1" applyFont="1" applyFill="1" applyBorder="1"/>
    <xf numFmtId="9" fontId="10" fillId="7" borderId="29" xfId="2" applyNumberFormat="1" applyFont="1" applyFill="1" applyBorder="1"/>
    <xf numFmtId="164" fontId="7" fillId="7" borderId="11" xfId="2" applyNumberFormat="1" applyFont="1" applyFill="1" applyBorder="1" applyAlignment="1"/>
    <xf numFmtId="164" fontId="6" fillId="7" borderId="3" xfId="2" applyNumberFormat="1" applyFont="1" applyFill="1" applyBorder="1" applyAlignment="1"/>
    <xf numFmtId="0" fontId="7" fillId="7" borderId="10" xfId="1" applyFont="1" applyFill="1" applyBorder="1" applyAlignment="1"/>
    <xf numFmtId="164" fontId="7" fillId="7" borderId="0" xfId="1" applyNumberFormat="1" applyFont="1" applyFill="1" applyBorder="1"/>
    <xf numFmtId="165" fontId="7" fillId="7" borderId="0" xfId="1" applyNumberFormat="1" applyFont="1" applyFill="1" applyBorder="1"/>
    <xf numFmtId="0" fontId="6" fillId="7" borderId="10" xfId="1" applyFont="1" applyFill="1" applyBorder="1" applyAlignment="1"/>
    <xf numFmtId="0" fontId="6" fillId="7" borderId="0" xfId="1" applyFont="1" applyFill="1" applyBorder="1"/>
    <xf numFmtId="164" fontId="6" fillId="7" borderId="0" xfId="1" applyNumberFormat="1" applyFont="1" applyFill="1" applyBorder="1"/>
    <xf numFmtId="164" fontId="6" fillId="7" borderId="11" xfId="1" applyNumberFormat="1" applyFont="1" applyFill="1" applyBorder="1"/>
    <xf numFmtId="0" fontId="6" fillId="7" borderId="4" xfId="1" applyFont="1" applyFill="1" applyBorder="1" applyAlignment="1"/>
    <xf numFmtId="0" fontId="6" fillId="7" borderId="2" xfId="1" applyFont="1" applyFill="1" applyBorder="1"/>
    <xf numFmtId="7" fontId="6" fillId="7" borderId="2" xfId="1" applyNumberFormat="1" applyFont="1" applyFill="1" applyBorder="1"/>
    <xf numFmtId="7" fontId="6" fillId="7" borderId="3" xfId="1" applyNumberFormat="1" applyFont="1" applyFill="1" applyBorder="1"/>
    <xf numFmtId="0" fontId="6" fillId="2" borderId="5" xfId="1" applyFont="1" applyFill="1" applyBorder="1" applyAlignment="1">
      <alignment horizontal="right"/>
    </xf>
    <xf numFmtId="0" fontId="6" fillId="2" borderId="15" xfId="1" applyFont="1" applyFill="1" applyBorder="1" applyAlignment="1">
      <alignment horizontal="right"/>
    </xf>
    <xf numFmtId="39" fontId="36" fillId="0" borderId="0" xfId="0" applyNumberFormat="1" applyFont="1" applyAlignment="1">
      <alignment horizontal="left"/>
    </xf>
    <xf numFmtId="0" fontId="34" fillId="6" borderId="0" xfId="0" applyFont="1" applyFill="1" applyBorder="1" applyAlignment="1">
      <alignment horizontal="centerContinuous"/>
    </xf>
    <xf numFmtId="0" fontId="35" fillId="6" borderId="0" xfId="0" applyFont="1" applyFill="1" applyBorder="1" applyAlignment="1">
      <alignment horizontal="centerContinuous"/>
    </xf>
    <xf numFmtId="0" fontId="35" fillId="6" borderId="0" xfId="0" applyFont="1" applyFill="1" applyBorder="1"/>
    <xf numFmtId="0" fontId="34" fillId="6" borderId="0" xfId="0" applyFont="1" applyFill="1" applyBorder="1" applyAlignment="1">
      <alignment horizontal="center"/>
    </xf>
    <xf numFmtId="0" fontId="34" fillId="6" borderId="0" xfId="0" applyFont="1" applyFill="1" applyBorder="1"/>
    <xf numFmtId="0" fontId="33" fillId="0" borderId="0" xfId="0" applyFont="1" applyBorder="1"/>
    <xf numFmtId="8" fontId="37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7" fontId="33" fillId="0" borderId="0" xfId="0" applyNumberFormat="1" applyFont="1" applyBorder="1" applyAlignment="1">
      <alignment horizontal="center" vertical="center"/>
    </xf>
    <xf numFmtId="8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6" fontId="33" fillId="0" borderId="0" xfId="0" applyNumberFormat="1" applyFont="1" applyBorder="1" applyAlignment="1">
      <alignment horizontal="center" vertical="center"/>
    </xf>
    <xf numFmtId="165" fontId="33" fillId="0" borderId="0" xfId="0" applyNumberFormat="1" applyFont="1" applyBorder="1" applyAlignment="1">
      <alignment horizontal="center" vertical="center"/>
    </xf>
    <xf numFmtId="6" fontId="36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36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/>
    </xf>
    <xf numFmtId="167" fontId="33" fillId="0" borderId="0" xfId="0" applyNumberFormat="1" applyFont="1" applyBorder="1" applyAlignment="1">
      <alignment horizontal="center" vertical="center"/>
    </xf>
    <xf numFmtId="176" fontId="33" fillId="0" borderId="0" xfId="0" applyNumberFormat="1" applyFont="1" applyBorder="1" applyAlignment="1">
      <alignment horizontal="center" vertical="center"/>
    </xf>
    <xf numFmtId="176" fontId="40" fillId="0" borderId="0" xfId="0" applyNumberFormat="1" applyFont="1" applyBorder="1" applyAlignment="1">
      <alignment horizontal="center" vertical="center"/>
    </xf>
    <xf numFmtId="0" fontId="36" fillId="0" borderId="0" xfId="0" applyFont="1" applyBorder="1"/>
    <xf numFmtId="4" fontId="33" fillId="0" borderId="0" xfId="0" applyNumberFormat="1" applyFont="1" applyBorder="1" applyAlignment="1">
      <alignment horizontal="center" vertical="center"/>
    </xf>
    <xf numFmtId="5" fontId="33" fillId="0" borderId="0" xfId="0" applyNumberFormat="1" applyFont="1" applyBorder="1" applyAlignment="1">
      <alignment horizontal="center" vertical="center"/>
    </xf>
    <xf numFmtId="164" fontId="41" fillId="7" borderId="0" xfId="0" applyNumberFormat="1" applyFont="1" applyFill="1" applyAlignment="1">
      <alignment horizontal="right" wrapText="1"/>
    </xf>
    <xf numFmtId="164" fontId="41" fillId="7" borderId="0" xfId="0" applyNumberFormat="1" applyFont="1" applyFill="1" applyBorder="1" applyAlignment="1">
      <alignment horizontal="right" wrapText="1"/>
    </xf>
    <xf numFmtId="165" fontId="41" fillId="7" borderId="0" xfId="0" applyNumberFormat="1" applyFont="1" applyFill="1" applyBorder="1" applyAlignment="1">
      <alignment horizontal="right" wrapText="1"/>
    </xf>
    <xf numFmtId="165" fontId="41" fillId="7" borderId="2" xfId="0" applyNumberFormat="1" applyFont="1" applyFill="1" applyBorder="1" applyAlignment="1">
      <alignment horizontal="right" wrapText="1"/>
    </xf>
    <xf numFmtId="165" fontId="41" fillId="7" borderId="17" xfId="0" applyNumberFormat="1" applyFont="1" applyFill="1" applyBorder="1" applyAlignment="1">
      <alignment horizontal="right" wrapText="1"/>
    </xf>
    <xf numFmtId="165" fontId="42" fillId="7" borderId="5" xfId="0" applyNumberFormat="1" applyFont="1" applyFill="1" applyBorder="1" applyAlignment="1">
      <alignment horizontal="right" wrapText="1"/>
    </xf>
    <xf numFmtId="164" fontId="41" fillId="7" borderId="2" xfId="0" applyNumberFormat="1" applyFont="1" applyFill="1" applyBorder="1" applyAlignment="1">
      <alignment horizontal="right" wrapText="1"/>
    </xf>
    <xf numFmtId="164" fontId="41" fillId="7" borderId="17" xfId="0" applyNumberFormat="1" applyFont="1" applyFill="1" applyBorder="1" applyAlignment="1">
      <alignment horizontal="right" wrapText="1"/>
    </xf>
    <xf numFmtId="0" fontId="43" fillId="0" borderId="0" xfId="0" applyFont="1"/>
    <xf numFmtId="38" fontId="41" fillId="7" borderId="0" xfId="0" applyNumberFormat="1" applyFont="1" applyFill="1" applyAlignment="1">
      <alignment horizontal="right" wrapText="1"/>
    </xf>
    <xf numFmtId="38" fontId="41" fillId="7" borderId="17" xfId="0" applyNumberFormat="1" applyFont="1" applyFill="1" applyBorder="1" applyAlignment="1">
      <alignment horizontal="right" wrapText="1"/>
    </xf>
    <xf numFmtId="38" fontId="41" fillId="7" borderId="2" xfId="0" applyNumberFormat="1" applyFont="1" applyFill="1" applyBorder="1" applyAlignment="1">
      <alignment horizontal="right" wrapText="1"/>
    </xf>
    <xf numFmtId="7" fontId="19" fillId="7" borderId="0" xfId="0" applyNumberFormat="1" applyFont="1" applyFill="1" applyBorder="1" applyAlignment="1">
      <alignment horizontal="right"/>
    </xf>
    <xf numFmtId="165" fontId="7" fillId="7" borderId="19" xfId="1" applyNumberFormat="1" applyFont="1" applyFill="1" applyBorder="1"/>
    <xf numFmtId="165" fontId="7" fillId="4" borderId="5" xfId="1" applyNumberFormat="1" applyFont="1" applyFill="1" applyBorder="1"/>
    <xf numFmtId="165" fontId="7" fillId="4" borderId="5" xfId="1" applyNumberFormat="1" applyFont="1" applyFill="1" applyBorder="1" applyAlignment="1"/>
    <xf numFmtId="38" fontId="7" fillId="0" borderId="0" xfId="0" applyNumberFormat="1" applyFont="1" applyAlignment="1"/>
    <xf numFmtId="178" fontId="7" fillId="0" borderId="0" xfId="0" applyNumberFormat="1" applyFont="1" applyFill="1" applyAlignment="1"/>
    <xf numFmtId="0" fontId="6" fillId="7" borderId="0" xfId="0" applyNumberFormat="1" applyFont="1" applyFill="1" applyAlignment="1">
      <alignment horizontal="right" wrapText="1"/>
    </xf>
    <xf numFmtId="38" fontId="7" fillId="0" borderId="0" xfId="0" applyNumberFormat="1" applyFont="1"/>
    <xf numFmtId="9" fontId="18" fillId="7" borderId="0" xfId="0" applyNumberFormat="1" applyFont="1" applyFill="1" applyAlignment="1">
      <alignment wrapText="1"/>
    </xf>
    <xf numFmtId="0" fontId="8" fillId="7" borderId="0" xfId="0" applyFont="1" applyFill="1" applyAlignment="1">
      <alignment horizontal="left" wrapText="1" indent="1"/>
    </xf>
    <xf numFmtId="9" fontId="24" fillId="7" borderId="0" xfId="0" applyNumberFormat="1" applyFont="1" applyFill="1" applyBorder="1" applyAlignment="1">
      <alignment wrapText="1"/>
    </xf>
    <xf numFmtId="165" fontId="7" fillId="7" borderId="0" xfId="0" applyNumberFormat="1" applyFont="1" applyFill="1" applyAlignment="1">
      <alignment wrapText="1"/>
    </xf>
    <xf numFmtId="165" fontId="7" fillId="7" borderId="0" xfId="0" applyNumberFormat="1" applyFont="1" applyFill="1" applyAlignment="1">
      <alignment horizontal="right" wrapText="1"/>
    </xf>
    <xf numFmtId="164" fontId="29" fillId="7" borderId="0" xfId="0" applyNumberFormat="1" applyFont="1" applyFill="1" applyAlignment="1">
      <alignment horizontal="right" wrapText="1"/>
    </xf>
    <xf numFmtId="0" fontId="29" fillId="7" borderId="0" xfId="0" applyFont="1" applyFill="1"/>
    <xf numFmtId="0" fontId="7" fillId="0" borderId="0" xfId="3" applyFont="1"/>
    <xf numFmtId="0" fontId="7" fillId="3" borderId="0" xfId="3" applyFont="1" applyFill="1" applyAlignment="1"/>
    <xf numFmtId="164" fontId="7" fillId="3" borderId="0" xfId="3" applyNumberFormat="1" applyFont="1" applyFill="1" applyAlignment="1"/>
    <xf numFmtId="0" fontId="7" fillId="3" borderId="0" xfId="3" applyFont="1" applyFill="1"/>
    <xf numFmtId="0" fontId="4" fillId="0" borderId="0" xfId="3"/>
    <xf numFmtId="0" fontId="6" fillId="10" borderId="1" xfId="3" applyFont="1" applyFill="1" applyBorder="1" applyAlignment="1"/>
    <xf numFmtId="164" fontId="7" fillId="10" borderId="1" xfId="3" applyNumberFormat="1" applyFont="1" applyFill="1" applyBorder="1" applyAlignment="1"/>
    <xf numFmtId="164" fontId="6" fillId="10" borderId="1" xfId="3" applyNumberFormat="1" applyFont="1" applyFill="1" applyBorder="1" applyAlignment="1"/>
    <xf numFmtId="0" fontId="6" fillId="10" borderId="1" xfId="3" applyFont="1" applyFill="1" applyBorder="1"/>
    <xf numFmtId="0" fontId="7" fillId="10" borderId="0" xfId="3" applyFont="1" applyFill="1" applyAlignment="1"/>
    <xf numFmtId="164" fontId="7" fillId="10" borderId="0" xfId="3" applyNumberFormat="1" applyFont="1" applyFill="1" applyAlignment="1"/>
    <xf numFmtId="0" fontId="7" fillId="10" borderId="0" xfId="3" quotePrefix="1" applyFont="1" applyFill="1" applyAlignment="1"/>
    <xf numFmtId="164" fontId="6" fillId="10" borderId="17" xfId="3" applyNumberFormat="1" applyFont="1" applyFill="1" applyBorder="1" applyAlignment="1">
      <alignment horizontal="centerContinuous"/>
    </xf>
    <xf numFmtId="164" fontId="6" fillId="10" borderId="4" xfId="3" applyNumberFormat="1" applyFont="1" applyFill="1" applyBorder="1" applyAlignment="1">
      <alignment horizontal="centerContinuous"/>
    </xf>
    <xf numFmtId="164" fontId="6" fillId="10" borderId="0" xfId="3" applyNumberFormat="1" applyFont="1" applyFill="1" applyBorder="1" applyAlignment="1">
      <alignment horizontal="centerContinuous"/>
    </xf>
    <xf numFmtId="0" fontId="6" fillId="10" borderId="0" xfId="3" applyFont="1" applyFill="1" applyAlignment="1">
      <alignment horizontal="centerContinuous"/>
    </xf>
    <xf numFmtId="0" fontId="6" fillId="10" borderId="17" xfId="3" applyFont="1" applyFill="1" applyBorder="1" applyAlignment="1"/>
    <xf numFmtId="164" fontId="7" fillId="10" borderId="17" xfId="3" applyNumberFormat="1" applyFont="1" applyFill="1" applyBorder="1" applyAlignment="1"/>
    <xf numFmtId="0" fontId="6" fillId="10" borderId="17" xfId="3" applyFont="1" applyFill="1" applyBorder="1" applyAlignment="1">
      <alignment wrapText="1"/>
    </xf>
    <xf numFmtId="172" fontId="6" fillId="10" borderId="17" xfId="3" applyNumberFormat="1" applyFont="1" applyFill="1" applyBorder="1" applyAlignment="1">
      <alignment horizontal="right" wrapText="1"/>
    </xf>
    <xf numFmtId="173" fontId="6" fillId="10" borderId="17" xfId="3" applyNumberFormat="1" applyFont="1" applyFill="1" applyBorder="1" applyAlignment="1">
      <alignment horizontal="right" wrapText="1"/>
    </xf>
    <xf numFmtId="0" fontId="6" fillId="7" borderId="0" xfId="3" applyFont="1" applyFill="1" applyBorder="1" applyAlignment="1"/>
    <xf numFmtId="164" fontId="7" fillId="7" borderId="0" xfId="3" applyNumberFormat="1" applyFont="1" applyFill="1" applyAlignment="1"/>
    <xf numFmtId="0" fontId="6" fillId="7" borderId="0" xfId="3" applyFont="1" applyFill="1" applyBorder="1" applyAlignment="1">
      <alignment wrapText="1"/>
    </xf>
    <xf numFmtId="165" fontId="6" fillId="7" borderId="0" xfId="3" applyNumberFormat="1" applyFont="1" applyFill="1" applyBorder="1" applyAlignment="1">
      <alignment horizontal="right" wrapText="1"/>
    </xf>
    <xf numFmtId="0" fontId="7" fillId="0" borderId="0" xfId="3" applyFont="1" applyFill="1"/>
    <xf numFmtId="0" fontId="7" fillId="7" borderId="0" xfId="3" applyFont="1" applyFill="1" applyBorder="1" applyAlignment="1"/>
    <xf numFmtId="0" fontId="7" fillId="7" borderId="0" xfId="3" applyFont="1" applyFill="1" applyBorder="1" applyAlignment="1">
      <alignment wrapText="1"/>
    </xf>
    <xf numFmtId="164" fontId="10" fillId="7" borderId="0" xfId="3" applyNumberFormat="1" applyFont="1" applyFill="1" applyBorder="1" applyAlignment="1">
      <alignment horizontal="right" wrapText="1"/>
    </xf>
    <xf numFmtId="164" fontId="10" fillId="7" borderId="0" xfId="3" applyNumberFormat="1" applyFont="1" applyFill="1" applyAlignment="1">
      <alignment horizontal="right" wrapText="1"/>
    </xf>
    <xf numFmtId="165" fontId="7" fillId="7" borderId="0" xfId="3" applyNumberFormat="1" applyFont="1" applyFill="1" applyBorder="1" applyAlignment="1">
      <alignment horizontal="right" wrapText="1"/>
    </xf>
    <xf numFmtId="164" fontId="7" fillId="7" borderId="0" xfId="3" applyNumberFormat="1" applyFont="1" applyFill="1" applyAlignment="1">
      <alignment horizontal="right" wrapText="1"/>
    </xf>
    <xf numFmtId="9" fontId="8" fillId="7" borderId="0" xfId="3" applyNumberFormat="1" applyFont="1" applyFill="1" applyAlignment="1">
      <alignment wrapText="1"/>
    </xf>
    <xf numFmtId="165" fontId="17" fillId="7" borderId="0" xfId="3" applyNumberFormat="1" applyFont="1" applyFill="1" applyBorder="1" applyAlignment="1">
      <alignment horizontal="right" wrapText="1"/>
    </xf>
    <xf numFmtId="178" fontId="18" fillId="7" borderId="0" xfId="3" applyNumberFormat="1" applyFont="1" applyFill="1" applyAlignment="1">
      <alignment wrapText="1"/>
    </xf>
    <xf numFmtId="0" fontId="7" fillId="7" borderId="0" xfId="3" applyFont="1" applyFill="1"/>
    <xf numFmtId="0" fontId="6" fillId="7" borderId="0" xfId="3" applyFont="1" applyFill="1" applyAlignment="1"/>
    <xf numFmtId="0" fontId="6" fillId="7" borderId="0" xfId="3" applyFont="1" applyFill="1" applyAlignment="1">
      <alignment wrapText="1"/>
    </xf>
    <xf numFmtId="164" fontId="6" fillId="7" borderId="0" xfId="3" applyNumberFormat="1" applyFont="1" applyFill="1" applyAlignment="1">
      <alignment horizontal="right" wrapText="1"/>
    </xf>
    <xf numFmtId="0" fontId="7" fillId="7" borderId="0" xfId="3" applyFont="1" applyFill="1" applyAlignment="1"/>
    <xf numFmtId="0" fontId="8" fillId="7" borderId="0" xfId="3" applyFont="1" applyFill="1" applyAlignment="1">
      <alignment wrapText="1"/>
    </xf>
    <xf numFmtId="178" fontId="8" fillId="7" borderId="0" xfId="3" applyNumberFormat="1" applyFont="1" applyFill="1" applyAlignment="1">
      <alignment wrapText="1"/>
    </xf>
    <xf numFmtId="0" fontId="6" fillId="7" borderId="0" xfId="3" applyFont="1" applyFill="1"/>
    <xf numFmtId="9" fontId="11" fillId="7" borderId="0" xfId="3" applyNumberFormat="1" applyFont="1" applyFill="1" applyAlignment="1">
      <alignment wrapText="1"/>
    </xf>
    <xf numFmtId="0" fontId="7" fillId="7" borderId="0" xfId="3" applyFont="1" applyFill="1" applyAlignment="1">
      <alignment wrapText="1"/>
    </xf>
    <xf numFmtId="0" fontId="8" fillId="7" borderId="0" xfId="3" applyFont="1" applyFill="1" applyBorder="1" applyAlignment="1"/>
    <xf numFmtId="0" fontId="8" fillId="7" borderId="0" xfId="3" applyFont="1" applyFill="1" applyBorder="1" applyAlignment="1">
      <alignment wrapText="1"/>
    </xf>
    <xf numFmtId="9" fontId="8" fillId="7" borderId="17" xfId="3" applyNumberFormat="1" applyFont="1" applyFill="1" applyBorder="1" applyAlignment="1">
      <alignment wrapText="1"/>
    </xf>
    <xf numFmtId="9" fontId="18" fillId="7" borderId="17" xfId="3" applyNumberFormat="1" applyFont="1" applyFill="1" applyBorder="1" applyAlignment="1">
      <alignment wrapText="1"/>
    </xf>
    <xf numFmtId="164" fontId="6" fillId="7" borderId="0" xfId="3" applyNumberFormat="1" applyFont="1" applyFill="1" applyBorder="1" applyAlignment="1">
      <alignment horizontal="right" wrapText="1"/>
    </xf>
    <xf numFmtId="0" fontId="8" fillId="7" borderId="0" xfId="3" applyFont="1" applyFill="1" applyAlignment="1"/>
    <xf numFmtId="164" fontId="7" fillId="7" borderId="0" xfId="3" applyNumberFormat="1" applyFont="1" applyFill="1" applyAlignment="1">
      <alignment wrapText="1"/>
    </xf>
    <xf numFmtId="9" fontId="8" fillId="7" borderId="0" xfId="3" applyNumberFormat="1" applyFont="1" applyFill="1" applyBorder="1" applyAlignment="1">
      <alignment wrapText="1"/>
    </xf>
    <xf numFmtId="9" fontId="31" fillId="7" borderId="0" xfId="3" applyNumberFormat="1" applyFont="1" applyFill="1" applyBorder="1" applyAlignment="1">
      <alignment wrapText="1"/>
    </xf>
    <xf numFmtId="164" fontId="6" fillId="7" borderId="17" xfId="3" applyNumberFormat="1" applyFont="1" applyFill="1" applyBorder="1" applyAlignment="1">
      <alignment horizontal="right" wrapText="1"/>
    </xf>
    <xf numFmtId="3" fontId="7" fillId="0" borderId="0" xfId="3" applyNumberFormat="1" applyFont="1"/>
    <xf numFmtId="165" fontId="10" fillId="7" borderId="0" xfId="3" applyNumberFormat="1" applyFont="1" applyFill="1" applyBorder="1" applyAlignment="1">
      <alignment horizontal="right" wrapText="1"/>
    </xf>
    <xf numFmtId="164" fontId="10" fillId="7" borderId="17" xfId="3" applyNumberFormat="1" applyFont="1" applyFill="1" applyBorder="1" applyAlignment="1">
      <alignment horizontal="right" wrapText="1"/>
    </xf>
    <xf numFmtId="165" fontId="10" fillId="7" borderId="17" xfId="3" applyNumberFormat="1" applyFont="1" applyFill="1" applyBorder="1" applyAlignment="1">
      <alignment horizontal="right" wrapText="1"/>
    </xf>
    <xf numFmtId="165" fontId="7" fillId="7" borderId="17" xfId="3" applyNumberFormat="1" applyFont="1" applyFill="1" applyBorder="1" applyAlignment="1">
      <alignment horizontal="right" wrapText="1"/>
    </xf>
    <xf numFmtId="164" fontId="7" fillId="7" borderId="17" xfId="3" applyNumberFormat="1" applyFont="1" applyFill="1" applyBorder="1" applyAlignment="1">
      <alignment horizontal="right" wrapText="1"/>
    </xf>
    <xf numFmtId="165" fontId="6" fillId="7" borderId="5" xfId="3" applyNumberFormat="1" applyFont="1" applyFill="1" applyBorder="1" applyAlignment="1">
      <alignment horizontal="right" wrapText="1"/>
    </xf>
    <xf numFmtId="9" fontId="31" fillId="7" borderId="17" xfId="3" applyNumberFormat="1" applyFont="1" applyFill="1" applyBorder="1" applyAlignment="1">
      <alignment wrapText="1"/>
    </xf>
    <xf numFmtId="9" fontId="7" fillId="0" borderId="0" xfId="3" applyNumberFormat="1" applyFont="1"/>
    <xf numFmtId="164" fontId="7" fillId="7" borderId="0" xfId="3" applyNumberFormat="1" applyFont="1" applyFill="1" applyBorder="1" applyAlignment="1">
      <alignment horizontal="right" wrapText="1"/>
    </xf>
    <xf numFmtId="9" fontId="11" fillId="7" borderId="17" xfId="3" applyNumberFormat="1" applyFont="1" applyFill="1" applyBorder="1" applyAlignment="1">
      <alignment wrapText="1"/>
    </xf>
    <xf numFmtId="164" fontId="7" fillId="0" borderId="0" xfId="3" applyNumberFormat="1" applyFont="1"/>
    <xf numFmtId="164" fontId="6" fillId="7" borderId="5" xfId="3" applyNumberFormat="1" applyFont="1" applyFill="1" applyBorder="1" applyAlignment="1">
      <alignment horizontal="right" wrapText="1"/>
    </xf>
    <xf numFmtId="183" fontId="7" fillId="0" borderId="0" xfId="3" applyNumberFormat="1" applyFont="1"/>
    <xf numFmtId="175" fontId="7" fillId="7" borderId="0" xfId="3" applyNumberFormat="1" applyFont="1" applyFill="1" applyAlignment="1"/>
    <xf numFmtId="184" fontId="7" fillId="0" borderId="0" xfId="3" applyNumberFormat="1" applyFont="1"/>
    <xf numFmtId="40" fontId="7" fillId="7" borderId="0" xfId="3" applyNumberFormat="1" applyFont="1" applyFill="1" applyAlignment="1">
      <alignment horizontal="right" wrapText="1"/>
    </xf>
    <xf numFmtId="40" fontId="7" fillId="7" borderId="0" xfId="3" applyNumberFormat="1" applyFont="1" applyFill="1" applyBorder="1" applyAlignment="1">
      <alignment horizontal="right" wrapText="1"/>
    </xf>
    <xf numFmtId="38" fontId="10" fillId="7" borderId="0" xfId="3" applyNumberFormat="1" applyFont="1" applyFill="1" applyAlignment="1">
      <alignment horizontal="right" wrapText="1"/>
    </xf>
    <xf numFmtId="38" fontId="7" fillId="7" borderId="0" xfId="3" applyNumberFormat="1" applyFont="1" applyFill="1" applyAlignment="1">
      <alignment horizontal="right" wrapText="1"/>
    </xf>
    <xf numFmtId="38" fontId="21" fillId="7" borderId="0" xfId="3" applyNumberFormat="1" applyFont="1" applyFill="1" applyAlignment="1">
      <alignment horizontal="right" wrapText="1"/>
    </xf>
    <xf numFmtId="185" fontId="7" fillId="0" borderId="0" xfId="3" applyNumberFormat="1" applyFont="1"/>
    <xf numFmtId="0" fontId="7" fillId="7" borderId="17" xfId="3" applyFont="1" applyFill="1" applyBorder="1"/>
    <xf numFmtId="0" fontId="7" fillId="7" borderId="17" xfId="3" applyFont="1" applyFill="1" applyBorder="1" applyAlignment="1"/>
    <xf numFmtId="38" fontId="10" fillId="7" borderId="17" xfId="3" applyNumberFormat="1" applyFont="1" applyFill="1" applyBorder="1" applyAlignment="1">
      <alignment horizontal="right" wrapText="1"/>
    </xf>
    <xf numFmtId="38" fontId="7" fillId="7" borderId="17" xfId="3" applyNumberFormat="1" applyFont="1" applyFill="1" applyBorder="1" applyAlignment="1">
      <alignment horizontal="right" wrapText="1"/>
    </xf>
    <xf numFmtId="38" fontId="21" fillId="7" borderId="17" xfId="3" applyNumberFormat="1" applyFont="1" applyFill="1" applyBorder="1" applyAlignment="1">
      <alignment horizontal="right" wrapText="1"/>
    </xf>
    <xf numFmtId="0" fontId="7" fillId="0" borderId="0" xfId="3" applyFont="1" applyAlignment="1"/>
    <xf numFmtId="164" fontId="7" fillId="0" borderId="0" xfId="3" applyNumberFormat="1" applyFont="1" applyAlignment="1"/>
    <xf numFmtId="0" fontId="19" fillId="0" borderId="0" xfId="3" applyFont="1" applyFill="1" applyAlignment="1">
      <alignment horizontal="left"/>
    </xf>
    <xf numFmtId="0" fontId="19" fillId="0" borderId="0" xfId="3" applyFont="1"/>
    <xf numFmtId="7" fontId="7" fillId="0" borderId="0" xfId="3" applyNumberFormat="1" applyFont="1"/>
    <xf numFmtId="181" fontId="27" fillId="0" borderId="0" xfId="3" applyNumberFormat="1" applyFont="1" applyBorder="1" applyAlignment="1">
      <alignment horizontal="left"/>
    </xf>
    <xf numFmtId="165" fontId="7" fillId="0" borderId="0" xfId="3" applyNumberFormat="1" applyFont="1" applyAlignment="1"/>
    <xf numFmtId="0" fontId="19" fillId="7" borderId="0" xfId="3" applyFont="1" applyFill="1"/>
    <xf numFmtId="0" fontId="19" fillId="0" borderId="0" xfId="3" applyFont="1" applyBorder="1" applyAlignment="1">
      <alignment horizontal="left" indent="1"/>
    </xf>
    <xf numFmtId="7" fontId="7" fillId="0" borderId="0" xfId="3" applyNumberFormat="1" applyFont="1" applyAlignment="1"/>
    <xf numFmtId="0" fontId="19" fillId="7" borderId="0" xfId="3" applyFont="1" applyFill="1" applyBorder="1"/>
    <xf numFmtId="0" fontId="25" fillId="7" borderId="0" xfId="3" applyFont="1" applyFill="1" applyBorder="1"/>
    <xf numFmtId="0" fontId="19" fillId="0" borderId="0" xfId="3" applyFont="1" applyBorder="1"/>
    <xf numFmtId="174" fontId="7" fillId="0" borderId="0" xfId="3" applyNumberFormat="1" applyFont="1" applyAlignment="1"/>
    <xf numFmtId="0" fontId="19" fillId="7" borderId="0" xfId="3" quotePrefix="1" applyFont="1" applyFill="1" applyBorder="1"/>
    <xf numFmtId="178" fontId="19" fillId="0" borderId="0" xfId="3" applyNumberFormat="1" applyFont="1" applyBorder="1" applyAlignment="1"/>
    <xf numFmtId="0" fontId="19" fillId="7" borderId="17" xfId="3" applyFont="1" applyFill="1" applyBorder="1"/>
    <xf numFmtId="0" fontId="25" fillId="7" borderId="17" xfId="3" applyFont="1" applyFill="1" applyBorder="1"/>
    <xf numFmtId="0" fontId="25" fillId="7" borderId="14" xfId="3" applyFont="1" applyFill="1" applyBorder="1"/>
    <xf numFmtId="0" fontId="25" fillId="7" borderId="5" xfId="3" applyFont="1" applyFill="1" applyBorder="1"/>
    <xf numFmtId="0" fontId="19" fillId="7" borderId="5" xfId="3" applyFont="1" applyFill="1" applyBorder="1"/>
    <xf numFmtId="0" fontId="7" fillId="0" borderId="0" xfId="1" applyFont="1" applyFill="1"/>
    <xf numFmtId="0" fontId="7" fillId="0" borderId="0" xfId="1" applyFont="1" applyFill="1" applyAlignment="1"/>
    <xf numFmtId="164" fontId="7" fillId="0" borderId="0" xfId="1" applyNumberFormat="1" applyFont="1" applyFill="1" applyAlignment="1"/>
    <xf numFmtId="0" fontId="19" fillId="0" borderId="0" xfId="1" applyFill="1"/>
    <xf numFmtId="0" fontId="6" fillId="11" borderId="1" xfId="1" applyFont="1" applyFill="1" applyBorder="1" applyAlignment="1"/>
    <xf numFmtId="164" fontId="7" fillId="11" borderId="1" xfId="1" applyNumberFormat="1" applyFont="1" applyFill="1" applyBorder="1" applyAlignment="1"/>
    <xf numFmtId="164" fontId="6" fillId="11" borderId="1" xfId="1" applyNumberFormat="1" applyFont="1" applyFill="1" applyBorder="1" applyAlignment="1"/>
    <xf numFmtId="0" fontId="6" fillId="11" borderId="1" xfId="1" applyFont="1" applyFill="1" applyBorder="1"/>
    <xf numFmtId="0" fontId="7" fillId="11" borderId="0" xfId="1" applyFont="1" applyFill="1" applyAlignment="1"/>
    <xf numFmtId="164" fontId="7" fillId="11" borderId="0" xfId="1" applyNumberFormat="1" applyFont="1" applyFill="1" applyAlignment="1"/>
    <xf numFmtId="0" fontId="7" fillId="11" borderId="0" xfId="1" quotePrefix="1" applyFont="1" applyFill="1" applyAlignment="1"/>
    <xf numFmtId="164" fontId="6" fillId="11" borderId="17" xfId="1" applyNumberFormat="1" applyFont="1" applyFill="1" applyBorder="1" applyAlignment="1">
      <alignment horizontal="centerContinuous"/>
    </xf>
    <xf numFmtId="164" fontId="6" fillId="11" borderId="4" xfId="1" applyNumberFormat="1" applyFont="1" applyFill="1" applyBorder="1" applyAlignment="1">
      <alignment horizontal="centerContinuous"/>
    </xf>
    <xf numFmtId="164" fontId="6" fillId="11" borderId="0" xfId="1" applyNumberFormat="1" applyFont="1" applyFill="1" applyBorder="1" applyAlignment="1">
      <alignment horizontal="centerContinuous"/>
    </xf>
    <xf numFmtId="0" fontId="6" fillId="11" borderId="0" xfId="1" applyFont="1" applyFill="1" applyAlignment="1">
      <alignment horizontal="centerContinuous"/>
    </xf>
    <xf numFmtId="0" fontId="6" fillId="11" borderId="17" xfId="1" applyFont="1" applyFill="1" applyBorder="1" applyAlignment="1"/>
    <xf numFmtId="164" fontId="7" fillId="11" borderId="17" xfId="1" applyNumberFormat="1" applyFont="1" applyFill="1" applyBorder="1" applyAlignment="1"/>
    <xf numFmtId="0" fontId="6" fillId="11" borderId="17" xfId="1" applyFont="1" applyFill="1" applyBorder="1" applyAlignment="1">
      <alignment wrapText="1"/>
    </xf>
    <xf numFmtId="172" fontId="6" fillId="11" borderId="17" xfId="1" applyNumberFormat="1" applyFont="1" applyFill="1" applyBorder="1" applyAlignment="1">
      <alignment horizontal="right" wrapText="1"/>
    </xf>
    <xf numFmtId="173" fontId="6" fillId="11" borderId="17" xfId="1" applyNumberFormat="1" applyFont="1" applyFill="1" applyBorder="1" applyAlignment="1">
      <alignment horizontal="right" wrapText="1"/>
    </xf>
    <xf numFmtId="0" fontId="7" fillId="0" borderId="0" xfId="1" applyFont="1" applyFill="1" applyBorder="1" applyAlignment="1">
      <alignment wrapText="1"/>
    </xf>
    <xf numFmtId="37" fontId="7" fillId="0" borderId="1" xfId="1" applyNumberFormat="1" applyFont="1" applyFill="1" applyBorder="1"/>
    <xf numFmtId="0" fontId="19" fillId="0" borderId="0" xfId="1" applyFont="1" applyFill="1"/>
    <xf numFmtId="37" fontId="7" fillId="0" borderId="0" xfId="1" applyNumberFormat="1" applyFont="1" applyFill="1" applyBorder="1"/>
    <xf numFmtId="42" fontId="44" fillId="0" borderId="0" xfId="1" applyNumberFormat="1" applyFont="1" applyFill="1" applyBorder="1"/>
    <xf numFmtId="42" fontId="7" fillId="0" borderId="0" xfId="1" applyNumberFormat="1" applyFont="1" applyFill="1" applyBorder="1"/>
    <xf numFmtId="0" fontId="8" fillId="0" borderId="0" xfId="1" applyFont="1" applyFill="1" applyBorder="1" applyAlignment="1"/>
    <xf numFmtId="164" fontId="8" fillId="0" borderId="0" xfId="1" applyNumberFormat="1" applyFont="1" applyFill="1" applyAlignment="1"/>
    <xf numFmtId="0" fontId="8" fillId="0" borderId="0" xfId="1" applyFont="1" applyFill="1" applyBorder="1" applyAlignment="1">
      <alignment wrapText="1"/>
    </xf>
    <xf numFmtId="37" fontId="8" fillId="0" borderId="0" xfId="1" applyNumberFormat="1" applyFont="1" applyFill="1" applyBorder="1"/>
    <xf numFmtId="42" fontId="38" fillId="0" borderId="0" xfId="1" applyNumberFormat="1" applyFont="1" applyFill="1" applyBorder="1"/>
    <xf numFmtId="178" fontId="38" fillId="0" borderId="0" xfId="1" applyNumberFormat="1" applyFont="1" applyFill="1" applyBorder="1"/>
    <xf numFmtId="0" fontId="45" fillId="0" borderId="0" xfId="1" applyFont="1" applyFill="1"/>
    <xf numFmtId="37" fontId="44" fillId="0" borderId="0" xfId="1" applyNumberFormat="1" applyFont="1" applyFill="1" applyBorder="1"/>
    <xf numFmtId="178" fontId="8" fillId="0" borderId="0" xfId="1" applyNumberFormat="1" applyFont="1" applyFill="1" applyBorder="1"/>
    <xf numFmtId="0" fontId="6" fillId="0" borderId="0" xfId="1" applyFont="1" applyFill="1"/>
    <xf numFmtId="0" fontId="6" fillId="0" borderId="0" xfId="1" applyFont="1" applyFill="1" applyAlignment="1"/>
    <xf numFmtId="0" fontId="6" fillId="0" borderId="0" xfId="1" applyFont="1" applyFill="1" applyAlignment="1">
      <alignment wrapText="1"/>
    </xf>
    <xf numFmtId="42" fontId="6" fillId="0" borderId="1" xfId="1" applyNumberFormat="1" applyFont="1" applyFill="1" applyBorder="1"/>
    <xf numFmtId="0" fontId="25" fillId="0" borderId="0" xfId="1" applyFont="1" applyFill="1"/>
    <xf numFmtId="0" fontId="7" fillId="0" borderId="0" xfId="1" applyFont="1" applyFill="1" applyAlignment="1">
      <alignment wrapText="1"/>
    </xf>
    <xf numFmtId="37" fontId="6" fillId="0" borderId="0" xfId="1" applyNumberFormat="1" applyFont="1" applyFill="1" applyBorder="1"/>
    <xf numFmtId="0" fontId="6" fillId="0" borderId="0" xfId="1" applyFont="1" applyFill="1" applyBorder="1" applyAlignment="1">
      <alignment wrapText="1"/>
    </xf>
    <xf numFmtId="37" fontId="6" fillId="0" borderId="1" xfId="1" applyNumberFormat="1" applyFont="1" applyFill="1" applyBorder="1"/>
    <xf numFmtId="43" fontId="0" fillId="0" borderId="0" xfId="4" applyFont="1" applyFill="1"/>
    <xf numFmtId="186" fontId="7" fillId="0" borderId="0" xfId="1" applyNumberFormat="1" applyFont="1" applyFill="1" applyBorder="1"/>
    <xf numFmtId="165" fontId="44" fillId="0" borderId="0" xfId="1" applyNumberFormat="1" applyFont="1" applyFill="1" applyBorder="1"/>
    <xf numFmtId="0" fontId="7" fillId="0" borderId="17" xfId="1" applyFont="1" applyFill="1" applyBorder="1"/>
    <xf numFmtId="0" fontId="7" fillId="0" borderId="17" xfId="1" applyFont="1" applyFill="1" applyBorder="1" applyAlignment="1"/>
    <xf numFmtId="37" fontId="7" fillId="0" borderId="17" xfId="1" applyNumberFormat="1" applyFont="1" applyFill="1" applyBorder="1"/>
    <xf numFmtId="0" fontId="19" fillId="0" borderId="0" xfId="1" applyFont="1" applyFill="1" applyAlignment="1">
      <alignment horizontal="left"/>
    </xf>
    <xf numFmtId="7" fontId="7" fillId="0" borderId="0" xfId="1" applyNumberFormat="1" applyFont="1" applyFill="1"/>
    <xf numFmtId="165" fontId="7" fillId="0" borderId="0" xfId="1" applyNumberFormat="1" applyFont="1" applyFill="1" applyAlignment="1"/>
    <xf numFmtId="7" fontId="27" fillId="0" borderId="0" xfId="1" applyNumberFormat="1" applyFont="1" applyFill="1" applyBorder="1" applyAlignment="1">
      <alignment horizontal="right"/>
    </xf>
    <xf numFmtId="7" fontId="7" fillId="0" borderId="0" xfId="1" applyNumberFormat="1" applyFont="1" applyFill="1" applyAlignment="1"/>
    <xf numFmtId="0" fontId="19" fillId="0" borderId="0" xfId="1" applyFont="1" applyFill="1" applyBorder="1"/>
    <xf numFmtId="0" fontId="25" fillId="0" borderId="0" xfId="1" applyFont="1" applyFill="1" applyBorder="1"/>
    <xf numFmtId="37" fontId="27" fillId="0" borderId="0" xfId="1" applyNumberFormat="1" applyFont="1" applyFill="1" applyBorder="1"/>
    <xf numFmtId="174" fontId="7" fillId="0" borderId="0" xfId="1" applyNumberFormat="1" applyFont="1" applyFill="1" applyAlignment="1"/>
    <xf numFmtId="0" fontId="19" fillId="0" borderId="0" xfId="1" quotePrefix="1" applyFont="1" applyFill="1" applyBorder="1"/>
    <xf numFmtId="37" fontId="28" fillId="0" borderId="0" xfId="1" applyNumberFormat="1" applyFont="1" applyFill="1" applyBorder="1"/>
    <xf numFmtId="0" fontId="19" fillId="0" borderId="17" xfId="1" applyFont="1" applyFill="1" applyBorder="1"/>
    <xf numFmtId="0" fontId="25" fillId="0" borderId="17" xfId="1" applyFont="1" applyFill="1" applyBorder="1"/>
    <xf numFmtId="37" fontId="19" fillId="0" borderId="17" xfId="1" applyNumberFormat="1" applyFont="1" applyFill="1" applyBorder="1"/>
    <xf numFmtId="0" fontId="25" fillId="0" borderId="14" xfId="1" applyFont="1" applyFill="1" applyBorder="1"/>
    <xf numFmtId="37" fontId="25" fillId="0" borderId="15" xfId="1" applyNumberFormat="1" applyFont="1" applyFill="1" applyBorder="1"/>
    <xf numFmtId="0" fontId="25" fillId="0" borderId="5" xfId="1" applyFont="1" applyFill="1" applyBorder="1"/>
    <xf numFmtId="165" fontId="25" fillId="0" borderId="15" xfId="1" applyNumberFormat="1" applyFont="1" applyFill="1" applyBorder="1" applyAlignment="1"/>
    <xf numFmtId="165" fontId="27" fillId="0" borderId="0" xfId="1" applyNumberFormat="1" applyFont="1" applyFill="1" applyBorder="1"/>
    <xf numFmtId="0" fontId="19" fillId="0" borderId="5" xfId="1" applyFont="1" applyFill="1" applyBorder="1"/>
    <xf numFmtId="174" fontId="25" fillId="0" borderId="15" xfId="1" applyNumberFormat="1" applyFont="1" applyFill="1" applyBorder="1"/>
    <xf numFmtId="0" fontId="19" fillId="0" borderId="0" xfId="1"/>
    <xf numFmtId="174" fontId="25" fillId="7" borderId="15" xfId="1" applyNumberFormat="1" applyFont="1" applyFill="1" applyBorder="1"/>
    <xf numFmtId="0" fontId="19" fillId="7" borderId="5" xfId="1" applyFont="1" applyFill="1" applyBorder="1"/>
    <xf numFmtId="0" fontId="25" fillId="7" borderId="14" xfId="1" applyFont="1" applyFill="1" applyBorder="1"/>
    <xf numFmtId="165" fontId="27" fillId="7" borderId="0" xfId="1" applyNumberFormat="1" applyFont="1" applyFill="1" applyBorder="1"/>
    <xf numFmtId="0" fontId="19" fillId="7" borderId="0" xfId="1" applyFont="1" applyFill="1"/>
    <xf numFmtId="165" fontId="25" fillId="7" borderId="15" xfId="1" applyNumberFormat="1" applyFont="1" applyFill="1" applyBorder="1" applyAlignment="1"/>
    <xf numFmtId="0" fontId="25" fillId="7" borderId="5" xfId="1" applyFont="1" applyFill="1" applyBorder="1"/>
    <xf numFmtId="37" fontId="25" fillId="7" borderId="15" xfId="1" applyNumberFormat="1" applyFont="1" applyFill="1" applyBorder="1"/>
    <xf numFmtId="0" fontId="25" fillId="7" borderId="17" xfId="1" applyFont="1" applyFill="1" applyBorder="1"/>
    <xf numFmtId="37" fontId="19" fillId="7" borderId="17" xfId="1" applyNumberFormat="1" applyFont="1" applyFill="1" applyBorder="1"/>
    <xf numFmtId="0" fontId="19" fillId="7" borderId="17" xfId="1" applyFont="1" applyFill="1" applyBorder="1"/>
    <xf numFmtId="37" fontId="28" fillId="7" borderId="0" xfId="1" applyNumberFormat="1" applyFont="1" applyFill="1" applyBorder="1"/>
    <xf numFmtId="0" fontId="19" fillId="7" borderId="0" xfId="1" quotePrefix="1" applyFont="1" applyFill="1" applyBorder="1"/>
    <xf numFmtId="0" fontId="19" fillId="7" borderId="0" xfId="1" applyFont="1" applyFill="1" applyBorder="1"/>
    <xf numFmtId="7" fontId="27" fillId="7" borderId="0" xfId="1" applyNumberFormat="1" applyFont="1" applyFill="1" applyBorder="1" applyAlignment="1">
      <alignment horizontal="right"/>
    </xf>
    <xf numFmtId="37" fontId="27" fillId="7" borderId="0" xfId="1" applyNumberFormat="1" applyFont="1" applyFill="1" applyBorder="1"/>
    <xf numFmtId="0" fontId="25" fillId="7" borderId="0" xfId="1" applyFont="1" applyFill="1" applyBorder="1"/>
    <xf numFmtId="165" fontId="7" fillId="0" borderId="0" xfId="1" applyNumberFormat="1" applyFont="1" applyAlignment="1"/>
    <xf numFmtId="7" fontId="7" fillId="0" borderId="0" xfId="1" applyNumberFormat="1" applyFont="1"/>
    <xf numFmtId="164" fontId="43" fillId="7" borderId="0" xfId="1" applyNumberFormat="1" applyFont="1" applyFill="1" applyAlignment="1"/>
    <xf numFmtId="164" fontId="7" fillId="7" borderId="0" xfId="1" applyNumberFormat="1" applyFont="1" applyFill="1" applyAlignment="1"/>
    <xf numFmtId="38" fontId="10" fillId="7" borderId="17" xfId="1" applyNumberFormat="1" applyFont="1" applyFill="1" applyBorder="1" applyAlignment="1">
      <alignment horizontal="right" wrapText="1"/>
    </xf>
    <xf numFmtId="0" fontId="7" fillId="7" borderId="17" xfId="1" applyFont="1" applyFill="1" applyBorder="1" applyAlignment="1"/>
    <xf numFmtId="0" fontId="7" fillId="7" borderId="17" xfId="1" applyFont="1" applyFill="1" applyBorder="1"/>
    <xf numFmtId="38" fontId="10" fillId="7" borderId="0" xfId="1" applyNumberFormat="1" applyFont="1" applyFill="1" applyAlignment="1">
      <alignment horizontal="right" wrapText="1"/>
    </xf>
    <xf numFmtId="164" fontId="6" fillId="7" borderId="0" xfId="1" applyNumberFormat="1" applyFont="1" applyFill="1" applyAlignment="1">
      <alignment horizontal="right" wrapText="1"/>
    </xf>
    <xf numFmtId="0" fontId="6" fillId="7" borderId="0" xfId="1" applyFont="1" applyFill="1" applyAlignment="1">
      <alignment wrapText="1"/>
    </xf>
    <xf numFmtId="40" fontId="7" fillId="7" borderId="0" xfId="1" applyNumberFormat="1" applyFont="1" applyFill="1" applyBorder="1" applyAlignment="1">
      <alignment horizontal="right" wrapText="1"/>
    </xf>
    <xf numFmtId="40" fontId="7" fillId="7" borderId="0" xfId="1" applyNumberFormat="1" applyFont="1" applyFill="1" applyAlignment="1">
      <alignment horizontal="right" wrapText="1"/>
    </xf>
    <xf numFmtId="175" fontId="7" fillId="7" borderId="0" xfId="1" applyNumberFormat="1" applyFont="1" applyFill="1" applyAlignment="1"/>
    <xf numFmtId="9" fontId="11" fillId="7" borderId="17" xfId="1" applyNumberFormat="1" applyFont="1" applyFill="1" applyBorder="1" applyAlignment="1">
      <alignment wrapText="1"/>
    </xf>
    <xf numFmtId="9" fontId="8" fillId="7" borderId="17" xfId="1" applyNumberFormat="1" applyFont="1" applyFill="1" applyBorder="1" applyAlignment="1">
      <alignment wrapText="1"/>
    </xf>
    <xf numFmtId="0" fontId="8" fillId="7" borderId="0" xfId="1" applyFont="1" applyFill="1" applyAlignment="1">
      <alignment wrapText="1"/>
    </xf>
    <xf numFmtId="0" fontId="8" fillId="7" borderId="0" xfId="1" applyFont="1" applyFill="1" applyAlignment="1"/>
    <xf numFmtId="164" fontId="7" fillId="7" borderId="0" xfId="1" applyNumberFormat="1" applyFont="1" applyFill="1" applyAlignment="1">
      <alignment horizontal="right" wrapText="1"/>
    </xf>
    <xf numFmtId="165" fontId="7" fillId="7" borderId="0" xfId="1" applyNumberFormat="1" applyFont="1" applyFill="1" applyBorder="1" applyAlignment="1">
      <alignment horizontal="right" wrapText="1"/>
    </xf>
    <xf numFmtId="164" fontId="17" fillId="7" borderId="0" xfId="1" applyNumberFormat="1" applyFont="1" applyFill="1" applyAlignment="1">
      <alignment horizontal="right" wrapText="1"/>
    </xf>
    <xf numFmtId="9" fontId="8" fillId="7" borderId="0" xfId="1" applyNumberFormat="1" applyFont="1" applyFill="1" applyAlignment="1">
      <alignment wrapText="1"/>
    </xf>
    <xf numFmtId="165" fontId="6" fillId="7" borderId="5" xfId="1" applyNumberFormat="1" applyFont="1" applyFill="1" applyBorder="1" applyAlignment="1">
      <alignment horizontal="right" wrapText="1"/>
    </xf>
    <xf numFmtId="165" fontId="7" fillId="7" borderId="17" xfId="1" applyNumberFormat="1" applyFont="1" applyFill="1" applyBorder="1" applyAlignment="1">
      <alignment horizontal="right" wrapText="1"/>
    </xf>
    <xf numFmtId="165" fontId="10" fillId="7" borderId="17" xfId="1" applyNumberFormat="1" applyFont="1" applyFill="1" applyBorder="1" applyAlignment="1">
      <alignment horizontal="right" wrapText="1"/>
    </xf>
    <xf numFmtId="165" fontId="7" fillId="7" borderId="0" xfId="1" applyNumberFormat="1" applyFont="1" applyFill="1" applyAlignment="1">
      <alignment horizontal="right" wrapText="1"/>
    </xf>
    <xf numFmtId="164" fontId="10" fillId="7" borderId="0" xfId="1" applyNumberFormat="1" applyFont="1" applyFill="1" applyAlignment="1">
      <alignment horizontal="right" wrapText="1"/>
    </xf>
    <xf numFmtId="164" fontId="7" fillId="7" borderId="0" xfId="1" applyNumberFormat="1" applyFont="1" applyFill="1" applyBorder="1" applyAlignment="1">
      <alignment horizontal="right" wrapText="1"/>
    </xf>
    <xf numFmtId="164" fontId="10" fillId="7" borderId="0" xfId="1" applyNumberFormat="1" applyFont="1" applyFill="1" applyBorder="1" applyAlignment="1">
      <alignment horizontal="right" wrapText="1"/>
    </xf>
    <xf numFmtId="9" fontId="24" fillId="7" borderId="0" xfId="1" applyNumberFormat="1" applyFont="1" applyFill="1" applyBorder="1" applyAlignment="1">
      <alignment wrapText="1"/>
    </xf>
    <xf numFmtId="9" fontId="8" fillId="7" borderId="0" xfId="1" applyNumberFormat="1" applyFont="1" applyFill="1" applyBorder="1" applyAlignment="1">
      <alignment wrapText="1"/>
    </xf>
    <xf numFmtId="178" fontId="8" fillId="7" borderId="0" xfId="1" applyNumberFormat="1" applyFont="1" applyFill="1" applyBorder="1" applyAlignment="1">
      <alignment wrapText="1"/>
    </xf>
    <xf numFmtId="164" fontId="7" fillId="7" borderId="0" xfId="1" applyNumberFormat="1" applyFont="1" applyFill="1" applyAlignment="1">
      <alignment wrapText="1"/>
    </xf>
    <xf numFmtId="164" fontId="6" fillId="7" borderId="1" xfId="1" applyNumberFormat="1" applyFont="1" applyFill="1" applyBorder="1" applyAlignment="1">
      <alignment horizontal="right" wrapText="1"/>
    </xf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/>
    <xf numFmtId="9" fontId="11" fillId="7" borderId="0" xfId="1" applyNumberFormat="1" applyFont="1" applyFill="1" applyAlignment="1">
      <alignment wrapText="1"/>
    </xf>
    <xf numFmtId="0" fontId="8" fillId="7" borderId="0" xfId="1" applyFont="1" applyFill="1" applyAlignment="1">
      <alignment horizontal="left" wrapText="1" indent="1"/>
    </xf>
    <xf numFmtId="165" fontId="17" fillId="7" borderId="0" xfId="1" applyNumberFormat="1" applyFont="1" applyFill="1" applyBorder="1" applyAlignment="1">
      <alignment horizontal="right" wrapText="1"/>
    </xf>
    <xf numFmtId="0" fontId="7" fillId="7" borderId="0" xfId="1" applyFont="1" applyFill="1" applyAlignment="1">
      <alignment wrapText="1"/>
    </xf>
    <xf numFmtId="9" fontId="18" fillId="7" borderId="0" xfId="1" applyNumberFormat="1" applyFont="1" applyFill="1" applyAlignment="1">
      <alignment wrapText="1"/>
    </xf>
    <xf numFmtId="165" fontId="46" fillId="7" borderId="0" xfId="1" applyNumberFormat="1" applyFont="1" applyFill="1" applyBorder="1" applyAlignment="1">
      <alignment horizontal="right" wrapText="1"/>
    </xf>
    <xf numFmtId="0" fontId="7" fillId="7" borderId="0" xfId="1" applyFont="1" applyFill="1" applyBorder="1" applyAlignment="1">
      <alignment wrapText="1"/>
    </xf>
    <xf numFmtId="165" fontId="6" fillId="7" borderId="0" xfId="1" applyNumberFormat="1" applyFont="1" applyFill="1" applyBorder="1" applyAlignment="1">
      <alignment horizontal="right" wrapText="1"/>
    </xf>
    <xf numFmtId="0" fontId="6" fillId="7" borderId="0" xfId="1" applyFont="1" applyFill="1" applyBorder="1" applyAlignment="1">
      <alignment wrapText="1"/>
    </xf>
    <xf numFmtId="0" fontId="6" fillId="7" borderId="0" xfId="1" applyFont="1" applyFill="1" applyBorder="1" applyAlignment="1"/>
    <xf numFmtId="173" fontId="6" fillId="2" borderId="17" xfId="1" applyNumberFormat="1" applyFont="1" applyFill="1" applyBorder="1" applyAlignment="1">
      <alignment horizontal="right" wrapText="1"/>
    </xf>
    <xf numFmtId="172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 applyAlignment="1">
      <alignment wrapText="1"/>
    </xf>
    <xf numFmtId="164" fontId="7" fillId="2" borderId="17" xfId="1" applyNumberFormat="1" applyFont="1" applyFill="1" applyBorder="1" applyAlignment="1"/>
    <xf numFmtId="164" fontId="6" fillId="2" borderId="17" xfId="1" applyNumberFormat="1" applyFont="1" applyFill="1" applyBorder="1" applyAlignment="1">
      <alignment horizontal="centerContinuous"/>
    </xf>
    <xf numFmtId="38" fontId="7" fillId="7" borderId="0" xfId="1" applyNumberFormat="1" applyFont="1" applyFill="1" applyBorder="1" applyAlignment="1">
      <alignment horizontal="right" wrapText="1"/>
    </xf>
    <xf numFmtId="38" fontId="7" fillId="7" borderId="17" xfId="1" applyNumberFormat="1" applyFont="1" applyFill="1" applyBorder="1" applyAlignment="1">
      <alignment horizontal="right" wrapText="1"/>
    </xf>
    <xf numFmtId="0" fontId="33" fillId="0" borderId="0" xfId="1" applyFont="1"/>
    <xf numFmtId="0" fontId="47" fillId="0" borderId="0" xfId="1" applyFont="1"/>
    <xf numFmtId="0" fontId="48" fillId="0" borderId="16" xfId="1" applyFont="1" applyBorder="1"/>
    <xf numFmtId="0" fontId="33" fillId="0" borderId="16" xfId="1" applyFont="1" applyBorder="1"/>
    <xf numFmtId="0" fontId="48" fillId="0" borderId="0" xfId="1" applyFont="1" applyBorder="1"/>
    <xf numFmtId="0" fontId="36" fillId="0" borderId="0" xfId="1" applyFont="1"/>
    <xf numFmtId="187" fontId="36" fillId="0" borderId="0" xfId="1" applyNumberFormat="1" applyFont="1" applyBorder="1"/>
    <xf numFmtId="187" fontId="36" fillId="0" borderId="1" xfId="1" applyNumberFormat="1" applyFont="1" applyBorder="1"/>
    <xf numFmtId="165" fontId="37" fillId="0" borderId="0" xfId="1" applyNumberFormat="1" applyFont="1"/>
    <xf numFmtId="187" fontId="37" fillId="0" borderId="0" xfId="1" applyNumberFormat="1" applyFont="1"/>
    <xf numFmtId="165" fontId="36" fillId="0" borderId="0" xfId="1" applyNumberFormat="1" applyFont="1"/>
    <xf numFmtId="15" fontId="48" fillId="6" borderId="0" xfId="1" applyNumberFormat="1" applyFont="1" applyFill="1" applyAlignment="1">
      <alignment horizontal="center"/>
    </xf>
    <xf numFmtId="0" fontId="48" fillId="6" borderId="0" xfId="1" applyFont="1" applyFill="1"/>
    <xf numFmtId="0" fontId="48" fillId="6" borderId="0" xfId="1" applyFont="1" applyFill="1" applyAlignment="1">
      <alignment horizontal="center"/>
    </xf>
    <xf numFmtId="0" fontId="48" fillId="0" borderId="0" xfId="1" applyFont="1"/>
    <xf numFmtId="0" fontId="49" fillId="0" borderId="0" xfId="1" applyFont="1"/>
    <xf numFmtId="188" fontId="33" fillId="0" borderId="0" xfId="1" applyNumberFormat="1" applyFont="1"/>
    <xf numFmtId="43" fontId="33" fillId="0" borderId="16" xfId="6" applyFont="1" applyBorder="1"/>
    <xf numFmtId="165" fontId="33" fillId="0" borderId="0" xfId="1" applyNumberFormat="1" applyFont="1"/>
    <xf numFmtId="165" fontId="37" fillId="0" borderId="0" xfId="1" applyNumberFormat="1" applyFont="1" applyFill="1"/>
    <xf numFmtId="0" fontId="50" fillId="0" borderId="0" xfId="1" applyFont="1"/>
    <xf numFmtId="165" fontId="50" fillId="0" borderId="0" xfId="1" applyNumberFormat="1" applyFont="1"/>
    <xf numFmtId="178" fontId="51" fillId="0" borderId="0" xfId="1" applyNumberFormat="1" applyFont="1"/>
    <xf numFmtId="178" fontId="50" fillId="0" borderId="0" xfId="1" applyNumberFormat="1" applyFont="1"/>
    <xf numFmtId="165" fontId="36" fillId="0" borderId="1" xfId="1" applyNumberFormat="1" applyFont="1" applyBorder="1"/>
    <xf numFmtId="187" fontId="33" fillId="0" borderId="0" xfId="1" applyNumberFormat="1" applyFont="1"/>
    <xf numFmtId="0" fontId="33" fillId="0" borderId="0" xfId="1" applyFont="1" applyAlignment="1">
      <alignment horizontal="center"/>
    </xf>
    <xf numFmtId="37" fontId="37" fillId="0" borderId="0" xfId="1" applyNumberFormat="1" applyFont="1"/>
    <xf numFmtId="42" fontId="36" fillId="0" borderId="0" xfId="1" applyNumberFormat="1" applyFont="1" applyBorder="1"/>
    <xf numFmtId="42" fontId="36" fillId="0" borderId="0" xfId="1" applyNumberFormat="1" applyFont="1"/>
    <xf numFmtId="42" fontId="36" fillId="0" borderId="1" xfId="1" applyNumberFormat="1" applyFont="1" applyBorder="1"/>
    <xf numFmtId="37" fontId="36" fillId="0" borderId="1" xfId="1" applyNumberFormat="1" applyFont="1" applyBorder="1"/>
    <xf numFmtId="37" fontId="33" fillId="0" borderId="0" xfId="1" applyNumberFormat="1" applyFont="1"/>
    <xf numFmtId="37" fontId="37" fillId="0" borderId="0" xfId="1" applyNumberFormat="1" applyFont="1" applyBorder="1"/>
    <xf numFmtId="42" fontId="37" fillId="0" borderId="0" xfId="1" applyNumberFormat="1" applyFont="1"/>
    <xf numFmtId="165" fontId="10" fillId="7" borderId="17" xfId="0" applyNumberFormat="1" applyFont="1" applyFill="1" applyBorder="1" applyAlignment="1">
      <alignment horizontal="right"/>
    </xf>
    <xf numFmtId="0" fontId="7" fillId="7" borderId="5" xfId="0" applyFont="1" applyFill="1" applyBorder="1"/>
    <xf numFmtId="0" fontId="7" fillId="7" borderId="5" xfId="0" applyFont="1" applyFill="1" applyBorder="1" applyAlignment="1"/>
    <xf numFmtId="38" fontId="10" fillId="7" borderId="5" xfId="0" applyNumberFormat="1" applyFont="1" applyFill="1" applyBorder="1" applyAlignment="1">
      <alignment horizontal="right" wrapText="1"/>
    </xf>
    <xf numFmtId="165" fontId="7" fillId="7" borderId="11" xfId="1" applyNumberFormat="1" applyFont="1" applyFill="1" applyBorder="1"/>
    <xf numFmtId="0" fontId="7" fillId="3" borderId="28" xfId="1" applyFont="1" applyFill="1" applyBorder="1" applyAlignment="1"/>
    <xf numFmtId="0" fontId="7" fillId="3" borderId="21" xfId="1" applyFont="1" applyFill="1" applyBorder="1" applyAlignment="1"/>
    <xf numFmtId="170" fontId="7" fillId="7" borderId="21" xfId="1" applyNumberFormat="1" applyFont="1" applyFill="1" applyBorder="1" applyAlignment="1">
      <alignment horizontal="center"/>
    </xf>
    <xf numFmtId="167" fontId="7" fillId="7" borderId="21" xfId="1" applyNumberFormat="1" applyFont="1" applyFill="1" applyBorder="1" applyAlignment="1">
      <alignment horizontal="center"/>
    </xf>
    <xf numFmtId="167" fontId="7" fillId="3" borderId="21" xfId="1" applyNumberFormat="1" applyFont="1" applyFill="1" applyBorder="1" applyAlignment="1">
      <alignment horizontal="center"/>
    </xf>
    <xf numFmtId="176" fontId="7" fillId="3" borderId="21" xfId="1" applyNumberFormat="1" applyFont="1" applyFill="1" applyBorder="1" applyAlignment="1">
      <alignment horizontal="center"/>
    </xf>
    <xf numFmtId="176" fontId="7" fillId="3" borderId="24" xfId="1" applyNumberFormat="1" applyFont="1" applyFill="1" applyBorder="1" applyAlignment="1">
      <alignment horizontal="center"/>
    </xf>
    <xf numFmtId="167" fontId="7" fillId="7" borderId="21" xfId="1" applyNumberFormat="1" applyFont="1" applyFill="1" applyBorder="1"/>
    <xf numFmtId="37" fontId="7" fillId="7" borderId="21" xfId="1" applyNumberFormat="1" applyFont="1" applyFill="1" applyBorder="1"/>
    <xf numFmtId="7" fontId="7" fillId="7" borderId="21" xfId="1" applyNumberFormat="1" applyFont="1" applyFill="1" applyBorder="1"/>
    <xf numFmtId="7" fontId="7" fillId="7" borderId="24" xfId="1" applyNumberFormat="1" applyFont="1" applyFill="1" applyBorder="1"/>
    <xf numFmtId="0" fontId="6" fillId="9" borderId="12" xfId="1" applyFont="1" applyFill="1" applyBorder="1" applyAlignment="1">
      <alignment horizontal="left" vertical="top" wrapText="1"/>
    </xf>
    <xf numFmtId="0" fontId="6" fillId="2" borderId="30" xfId="1" applyNumberFormat="1" applyFont="1" applyFill="1" applyBorder="1" applyAlignment="1">
      <alignment horizontal="centerContinuous" wrapText="1"/>
    </xf>
    <xf numFmtId="0" fontId="6" fillId="9" borderId="30" xfId="1" applyNumberFormat="1" applyFont="1" applyFill="1" applyBorder="1" applyAlignment="1">
      <alignment horizontal="centerContinuous" wrapText="1"/>
    </xf>
    <xf numFmtId="0" fontId="6" fillId="9" borderId="13" xfId="1" applyFont="1" applyFill="1" applyBorder="1" applyAlignment="1">
      <alignment horizontal="left" vertical="top" wrapText="1"/>
    </xf>
    <xf numFmtId="179" fontId="6" fillId="2" borderId="13" xfId="1" applyNumberFormat="1" applyFont="1" applyFill="1" applyBorder="1" applyAlignment="1">
      <alignment horizontal="right" wrapText="1"/>
    </xf>
    <xf numFmtId="0" fontId="7" fillId="3" borderId="19" xfId="1" applyFont="1" applyFill="1" applyBorder="1" applyAlignment="1">
      <alignment wrapText="1"/>
    </xf>
    <xf numFmtId="14" fontId="7" fillId="7" borderId="19" xfId="1" applyNumberFormat="1" applyFont="1" applyFill="1" applyBorder="1" applyAlignment="1">
      <alignment horizontal="left"/>
    </xf>
    <xf numFmtId="0" fontId="7" fillId="3" borderId="20" xfId="1" applyFont="1" applyFill="1" applyBorder="1" applyAlignment="1">
      <alignment wrapText="1"/>
    </xf>
    <xf numFmtId="14" fontId="7" fillId="7" borderId="20" xfId="1" applyNumberFormat="1" applyFont="1" applyFill="1" applyBorder="1" applyAlignment="1">
      <alignment horizontal="left"/>
    </xf>
    <xf numFmtId="189" fontId="7" fillId="3" borderId="20" xfId="1" applyNumberFormat="1" applyFont="1" applyFill="1" applyBorder="1" applyAlignment="1">
      <alignment horizontal="center"/>
    </xf>
    <xf numFmtId="0" fontId="7" fillId="3" borderId="21" xfId="1" applyFont="1" applyFill="1" applyBorder="1" applyAlignment="1">
      <alignment wrapText="1"/>
    </xf>
    <xf numFmtId="14" fontId="7" fillId="7" borderId="21" xfId="1" applyNumberFormat="1" applyFont="1" applyFill="1" applyBorder="1" applyAlignment="1">
      <alignment horizontal="left"/>
    </xf>
    <xf numFmtId="0" fontId="7" fillId="5" borderId="10" xfId="1" applyFont="1" applyFill="1" applyBorder="1" applyAlignment="1"/>
    <xf numFmtId="0" fontId="6" fillId="5" borderId="0" xfId="1" applyFont="1" applyFill="1" applyBorder="1" applyAlignment="1"/>
    <xf numFmtId="167" fontId="7" fillId="5" borderId="0" xfId="1" applyNumberFormat="1" applyFont="1" applyFill="1" applyBorder="1" applyAlignment="1">
      <alignment horizontal="center"/>
    </xf>
    <xf numFmtId="176" fontId="7" fillId="5" borderId="0" xfId="1" applyNumberFormat="1" applyFont="1" applyFill="1" applyBorder="1" applyAlignment="1">
      <alignment horizontal="center"/>
    </xf>
    <xf numFmtId="0" fontId="7" fillId="5" borderId="4" xfId="1" applyFont="1" applyFill="1" applyBorder="1" applyAlignment="1"/>
    <xf numFmtId="167" fontId="7" fillId="0" borderId="21" xfId="1" applyNumberFormat="1" applyFont="1" applyFill="1" applyBorder="1" applyAlignment="1">
      <alignment horizontal="center"/>
    </xf>
    <xf numFmtId="189" fontId="7" fillId="3" borderId="21" xfId="1" applyNumberFormat="1" applyFont="1" applyFill="1" applyBorder="1" applyAlignment="1">
      <alignment horizontal="center"/>
    </xf>
    <xf numFmtId="7" fontId="27" fillId="7" borderId="0" xfId="3" applyNumberFormat="1" applyFont="1" applyFill="1" applyBorder="1" applyAlignment="1">
      <alignment horizontal="right"/>
    </xf>
    <xf numFmtId="37" fontId="27" fillId="7" borderId="0" xfId="3" applyNumberFormat="1" applyFont="1" applyFill="1" applyBorder="1"/>
    <xf numFmtId="37" fontId="28" fillId="7" borderId="0" xfId="3" applyNumberFormat="1" applyFont="1" applyFill="1" applyBorder="1"/>
    <xf numFmtId="37" fontId="19" fillId="7" borderId="17" xfId="3" applyNumberFormat="1" applyFont="1" applyFill="1" applyBorder="1"/>
    <xf numFmtId="37" fontId="25" fillId="7" borderId="15" xfId="3" applyNumberFormat="1" applyFont="1" applyFill="1" applyBorder="1"/>
    <xf numFmtId="165" fontId="25" fillId="7" borderId="15" xfId="3" applyNumberFormat="1" applyFont="1" applyFill="1" applyBorder="1" applyAlignment="1"/>
    <xf numFmtId="165" fontId="27" fillId="7" borderId="0" xfId="3" applyNumberFormat="1" applyFont="1" applyFill="1" applyBorder="1"/>
    <xf numFmtId="174" fontId="25" fillId="7" borderId="15" xfId="3" applyNumberFormat="1" applyFont="1" applyFill="1" applyBorder="1"/>
    <xf numFmtId="0" fontId="19" fillId="8" borderId="14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0" fillId="0" borderId="15" xfId="0" applyBorder="1" applyAlignment="1"/>
    <xf numFmtId="164" fontId="6" fillId="2" borderId="12" xfId="1" applyNumberFormat="1" applyFont="1" applyFill="1" applyBorder="1" applyAlignment="1">
      <alignment horizontal="left" wrapText="1"/>
    </xf>
    <xf numFmtId="0" fontId="7" fillId="0" borderId="12" xfId="1" applyFont="1" applyBorder="1" applyAlignment="1">
      <alignment horizontal="left" wrapText="1"/>
    </xf>
    <xf numFmtId="0" fontId="7" fillId="0" borderId="13" xfId="1" applyFont="1" applyBorder="1" applyAlignment="1">
      <alignment horizontal="left" wrapText="1"/>
    </xf>
    <xf numFmtId="164" fontId="6" fillId="2" borderId="12" xfId="1" applyNumberFormat="1" applyFont="1" applyFill="1" applyBorder="1" applyAlignment="1">
      <alignment horizontal="left" vertical="top" wrapText="1"/>
    </xf>
    <xf numFmtId="0" fontId="7" fillId="0" borderId="12" xfId="1" applyFont="1" applyBorder="1" applyAlignment="1">
      <alignment horizontal="left" vertical="top" wrapText="1"/>
    </xf>
    <xf numFmtId="0" fontId="7" fillId="0" borderId="13" xfId="1" applyFont="1" applyBorder="1" applyAlignment="1">
      <alignment horizontal="left" vertical="top" wrapText="1"/>
    </xf>
    <xf numFmtId="0" fontId="19" fillId="8" borderId="14" xfId="3" applyFont="1" applyFill="1" applyBorder="1" applyAlignment="1">
      <alignment horizontal="center" vertical="center" wrapText="1"/>
    </xf>
    <xf numFmtId="0" fontId="4" fillId="0" borderId="5" xfId="3" applyBorder="1" applyAlignment="1"/>
    <xf numFmtId="0" fontId="4" fillId="0" borderId="15" xfId="3" applyBorder="1" applyAlignment="1"/>
    <xf numFmtId="0" fontId="19" fillId="0" borderId="14" xfId="1" applyFill="1" applyBorder="1" applyAlignment="1">
      <alignment horizontal="center" vertical="center" wrapText="1"/>
    </xf>
    <xf numFmtId="0" fontId="19" fillId="0" borderId="5" xfId="1" applyFill="1" applyBorder="1" applyAlignment="1"/>
    <xf numFmtId="0" fontId="19" fillId="0" borderId="15" xfId="1" applyFill="1" applyBorder="1" applyAlignment="1"/>
    <xf numFmtId="0" fontId="19" fillId="8" borderId="14" xfId="1" applyFont="1" applyFill="1" applyBorder="1" applyAlignment="1">
      <alignment horizontal="center" vertical="center" wrapText="1"/>
    </xf>
    <xf numFmtId="0" fontId="19" fillId="0" borderId="5" xfId="1" applyBorder="1" applyAlignment="1"/>
    <xf numFmtId="0" fontId="19" fillId="0" borderId="15" xfId="1" applyBorder="1" applyAlignment="1"/>
    <xf numFmtId="164" fontId="6" fillId="2" borderId="14" xfId="1" applyNumberFormat="1" applyFont="1" applyFill="1" applyBorder="1" applyAlignment="1">
      <alignment horizontal="center" vertical="top" wrapText="1"/>
    </xf>
    <xf numFmtId="164" fontId="6" fillId="2" borderId="15" xfId="1" applyNumberFormat="1" applyFont="1" applyFill="1" applyBorder="1" applyAlignment="1">
      <alignment horizontal="center" vertical="top" wrapText="1"/>
    </xf>
    <xf numFmtId="0" fontId="6" fillId="9" borderId="14" xfId="1" applyNumberFormat="1" applyFont="1" applyFill="1" applyBorder="1" applyAlignment="1">
      <alignment horizontal="center" wrapText="1"/>
    </xf>
    <xf numFmtId="0" fontId="19" fillId="0" borderId="5" xfId="1" applyBorder="1" applyAlignment="1">
      <alignment horizontal="center" wrapText="1"/>
    </xf>
    <xf numFmtId="0" fontId="19" fillId="0" borderId="15" xfId="1" applyBorder="1" applyAlignment="1">
      <alignment horizontal="center" wrapText="1"/>
    </xf>
  </cellXfs>
  <cellStyles count="9">
    <cellStyle name="Comma 2" xfId="4"/>
    <cellStyle name="Comma 3" xfId="6"/>
    <cellStyle name="Normal" xfId="0" builtinId="0"/>
    <cellStyle name="Normal 2" xfId="1"/>
    <cellStyle name="Normal 3" xfId="3"/>
    <cellStyle name="Normal 4" xfId="5"/>
    <cellStyle name="Normal 5" xfId="7"/>
    <cellStyle name="Normal 6" xfId="8"/>
    <cellStyle name="Normal_DCF analysis" xfId="2"/>
  </cellStyles>
  <dxfs count="0"/>
  <tableStyles count="0" defaultTableStyle="TableStyleMedium9" defaultPivotStyle="PivotStyleLight16"/>
  <colors>
    <mruColors>
      <color rgb="FF66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6936106749117864E-2"/>
          <c:y val="0"/>
          <c:w val="0.96612778650176534"/>
          <c:h val="0.93406764249718865"/>
        </c:manualLayout>
      </c:layout>
      <c:barChart>
        <c:barDir val="col"/>
        <c:grouping val="stacked"/>
        <c:ser>
          <c:idx val="0"/>
          <c:order val="0"/>
          <c:tx>
            <c:strRef>
              <c:f>'Football field'!$U$22</c:f>
              <c:strCache>
                <c:ptCount val="1"/>
                <c:pt idx="0">
                  <c:v>Lower end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0"/>
                  <c:y val="-4.6033685369340084E-2"/>
                </c:manualLayout>
              </c:layout>
              <c:tx>
                <c:strRef>
                  <c:f>'Football field'!$U$10</c:f>
                  <c:strCache>
                    <c:ptCount val="1"/>
                    <c:pt idx="0">
                      <c:v>$241,084 / $56.26</c:v>
                    </c:pt>
                  </c:strCache>
                </c:strRef>
              </c:tx>
              <c:showVal val="1"/>
            </c:dLbl>
            <c:dLbl>
              <c:idx val="1"/>
              <c:layout>
                <c:manualLayout>
                  <c:x val="0"/>
                  <c:y val="-8.0206712153957249E-2"/>
                </c:manualLayout>
              </c:layout>
              <c:tx>
                <c:strRef>
                  <c:f>'Football field'!$U$11</c:f>
                  <c:strCache>
                    <c:ptCount val="1"/>
                    <c:pt idx="0">
                      <c:v>$277,504 / $67.08</c:v>
                    </c:pt>
                  </c:strCache>
                </c:strRef>
              </c:tx>
              <c:showVal val="1"/>
            </c:dLbl>
            <c:dLbl>
              <c:idx val="2"/>
              <c:layout>
                <c:manualLayout>
                  <c:x val="0"/>
                  <c:y val="-0.17167374238845487"/>
                </c:manualLayout>
              </c:layout>
              <c:tx>
                <c:strRef>
                  <c:f>'Football field'!$U$12</c:f>
                  <c:strCache>
                    <c:ptCount val="1"/>
                    <c:pt idx="0">
                      <c:v>$416,256 / $108.31</c:v>
                    </c:pt>
                  </c:strCache>
                </c:strRef>
              </c:tx>
              <c:showVal val="1"/>
            </c:dLbl>
            <c:dLbl>
              <c:idx val="3"/>
              <c:layout>
                <c:manualLayout>
                  <c:x val="-2.6660005164064315E-3"/>
                  <c:y val="-0.12569444686892448"/>
                </c:manualLayout>
              </c:layout>
              <c:tx>
                <c:strRef>
                  <c:f>'Football field'!$U$13</c:f>
                  <c:strCache>
                    <c:ptCount val="1"/>
                    <c:pt idx="0">
                      <c:v>$349,484 / $88.47</c:v>
                    </c:pt>
                  </c:strCache>
                </c:strRef>
              </c:tx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field'!$U$23:$U$26</c:f>
              <c:numCache>
                <c:formatCode>"$"#,##0.00_);[Red]\("$"#,##0.00\)</c:formatCode>
                <c:ptCount val="4"/>
                <c:pt idx="0">
                  <c:v>56.26</c:v>
                </c:pt>
                <c:pt idx="1">
                  <c:v>67.080915711553772</c:v>
                </c:pt>
                <c:pt idx="2">
                  <c:v>108.30571370607716</c:v>
                </c:pt>
                <c:pt idx="3">
                  <c:v>88.466922274781354</c:v>
                </c:pt>
              </c:numCache>
            </c:numRef>
          </c:val>
        </c:ser>
        <c:ser>
          <c:idx val="1"/>
          <c:order val="1"/>
          <c:tx>
            <c:strRef>
              <c:f>'Football field'!$V$22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field'!$V$23:$V$26</c:f>
              <c:numCache>
                <c:formatCode>"$"#,##0.00_);[Red]\("$"#,##0.00\)</c:formatCode>
                <c:ptCount val="4"/>
                <c:pt idx="0">
                  <c:v>21.339999999999996</c:v>
                </c:pt>
                <c:pt idx="1">
                  <c:v>30.918598495892539</c:v>
                </c:pt>
                <c:pt idx="2">
                  <c:v>41.224797994523399</c:v>
                </c:pt>
                <c:pt idx="3">
                  <c:v>7.8750230963342176</c:v>
                </c:pt>
              </c:numCache>
            </c:numRef>
          </c:val>
        </c:ser>
        <c:ser>
          <c:idx val="2"/>
          <c:order val="2"/>
          <c:tx>
            <c:strRef>
              <c:f>'Football field'!$W$22</c:f>
              <c:strCache>
                <c:ptCount val="1"/>
                <c:pt idx="0">
                  <c:v>Higher end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2.6660005164064315E-3"/>
                  <c:y val="0.11423691517212109"/>
                </c:manualLayout>
              </c:layout>
              <c:tx>
                <c:strRef>
                  <c:f>'Football field'!$W$10</c:f>
                  <c:strCache>
                    <c:ptCount val="1"/>
                    <c:pt idx="0">
                      <c:v>$312,909 / $77.60</c:v>
                    </c:pt>
                  </c:strCache>
                </c:strRef>
              </c:tx>
              <c:showVal val="1"/>
            </c:dLbl>
            <c:dLbl>
              <c:idx val="1"/>
              <c:layout>
                <c:manualLayout>
                  <c:x val="0"/>
                  <c:y val="0.16916648420733646"/>
                </c:manualLayout>
              </c:layout>
              <c:tx>
                <c:strRef>
                  <c:f>'Football field'!$W$11</c:f>
                  <c:strCache>
                    <c:ptCount val="1"/>
                    <c:pt idx="0">
                      <c:v>$381,568 / $98.00</c:v>
                    </c:pt>
                  </c:strCache>
                </c:strRef>
              </c:tx>
            </c:dLbl>
            <c:dLbl>
              <c:idx val="2"/>
              <c:layout>
                <c:manualLayout>
                  <c:x val="-6.3060358671534057E-4"/>
                  <c:y val="0.25526585220337211"/>
                </c:manualLayout>
              </c:layout>
              <c:tx>
                <c:strRef>
                  <c:f>'Football field'!$W$12</c:f>
                  <c:strCache>
                    <c:ptCount val="1"/>
                    <c:pt idx="0">
                      <c:v>$555,008 / $149.53</c:v>
                    </c:pt>
                  </c:strCache>
                </c:strRef>
              </c:tx>
              <c:showVal val="1"/>
            </c:dLbl>
            <c:dLbl>
              <c:idx val="3"/>
              <c:layout>
                <c:manualLayout>
                  <c:x val="-2.5191605667034492E-3"/>
                  <c:y val="0.15589275481007012"/>
                </c:manualLayout>
              </c:layout>
              <c:tx>
                <c:strRef>
                  <c:f>'Football field'!$W$13</c:f>
                  <c:strCache>
                    <c:ptCount val="1"/>
                    <c:pt idx="0">
                      <c:v>$375,989 / $96.34</c:v>
                    </c:pt>
                  </c:strCache>
                </c:strRef>
              </c:tx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field'!$W$23:$W$26</c:f>
              <c:numCache>
                <c:formatCode>"$"#,##0.00_);[Red]\("$"#,##0.00\)</c:formatCode>
                <c:ptCount val="4"/>
                <c:pt idx="0">
                  <c:v>77.599999999999994</c:v>
                </c:pt>
                <c:pt idx="1">
                  <c:v>97.99951420744631</c:v>
                </c:pt>
                <c:pt idx="2">
                  <c:v>149.53051170060056</c:v>
                </c:pt>
                <c:pt idx="3">
                  <c:v>96.341945371115571</c:v>
                </c:pt>
              </c:numCache>
            </c:numRef>
          </c:val>
        </c:ser>
        <c:gapWidth val="52"/>
        <c:overlap val="100"/>
        <c:axId val="86395520"/>
        <c:axId val="86413696"/>
      </c:barChart>
      <c:catAx>
        <c:axId val="86395520"/>
        <c:scaling>
          <c:orientation val="minMax"/>
        </c:scaling>
        <c:axPos val="b"/>
        <c:majorTickMark val="none"/>
        <c:tickLblPos val="nextTo"/>
        <c:spPr>
          <a:ln w="15875"/>
        </c:spPr>
        <c:txPr>
          <a:bodyPr/>
          <a:lstStyle/>
          <a:p>
            <a:pPr>
              <a:defRPr b="1"/>
            </a:pPr>
            <a:endParaRPr lang="en-US"/>
          </a:p>
        </c:txPr>
        <c:crossAx val="86413696"/>
        <c:crosses val="autoZero"/>
        <c:auto val="1"/>
        <c:lblAlgn val="ctr"/>
        <c:lblOffset val="100"/>
      </c:catAx>
      <c:valAx>
        <c:axId val="86413696"/>
        <c:scaling>
          <c:orientation val="minMax"/>
          <c:max val="240"/>
          <c:min val="10"/>
        </c:scaling>
        <c:axPos val="l"/>
        <c:majorGridlines>
          <c:spPr>
            <a:ln>
              <a:noFill/>
            </a:ln>
          </c:spPr>
        </c:majorGridlines>
        <c:numFmt formatCode="&quot;$&quot;#,##0.00_);[Red]\(&quot;$&quot;#,##0.00\)" sourceLinked="1"/>
        <c:majorTickMark val="none"/>
        <c:tickLblPos val="none"/>
        <c:spPr>
          <a:noFill/>
          <a:ln>
            <a:noFill/>
          </a:ln>
        </c:spPr>
        <c:crossAx val="86395520"/>
        <c:crosses val="autoZero"/>
        <c:crossBetween val="between"/>
        <c:majorUnit val="50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999</xdr:rowOff>
    </xdr:from>
    <xdr:to>
      <xdr:col>4</xdr:col>
      <xdr:colOff>320388</xdr:colOff>
      <xdr:row>0</xdr:row>
      <xdr:rowOff>743683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" y="999"/>
          <a:ext cx="3861954" cy="7426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99579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118629</xdr:colOff>
      <xdr:row>0</xdr:row>
      <xdr:rowOff>761734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"/>
          <a:ext cx="3861954" cy="7426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180975</xdr:colOff>
      <xdr:row>0</xdr:row>
      <xdr:rowOff>733642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028950" cy="7145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2190750</xdr:colOff>
      <xdr:row>0</xdr:row>
      <xdr:rowOff>762000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8288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547254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17</xdr:row>
      <xdr:rowOff>133349</xdr:rowOff>
    </xdr:from>
    <xdr:to>
      <xdr:col>17</xdr:col>
      <xdr:colOff>600075</xdr:colOff>
      <xdr:row>45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32</xdr:row>
      <xdr:rowOff>104774</xdr:rowOff>
    </xdr:from>
    <xdr:to>
      <xdr:col>17</xdr:col>
      <xdr:colOff>323850</xdr:colOff>
      <xdr:row>32</xdr:row>
      <xdr:rowOff>104774</xdr:rowOff>
    </xdr:to>
    <xdr:cxnSp macro="">
      <xdr:nvCxnSpPr>
        <xdr:cNvPr id="7" name="Straight Connector 6"/>
        <xdr:cNvCxnSpPr/>
      </xdr:nvCxnSpPr>
      <xdr:spPr>
        <a:xfrm>
          <a:off x="2171700" y="6057899"/>
          <a:ext cx="9308306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24</xdr:row>
      <xdr:rowOff>57150</xdr:rowOff>
    </xdr:from>
    <xdr:to>
      <xdr:col>2</xdr:col>
      <xdr:colOff>400050</xdr:colOff>
      <xdr:row>31</xdr:row>
      <xdr:rowOff>85725</xdr:rowOff>
    </xdr:to>
    <xdr:cxnSp macro="">
      <xdr:nvCxnSpPr>
        <xdr:cNvPr id="10" name="Straight Arrow Connector 9"/>
        <xdr:cNvCxnSpPr/>
      </xdr:nvCxnSpPr>
      <xdr:spPr>
        <a:xfrm flipH="1">
          <a:off x="1000125" y="3762375"/>
          <a:ext cx="9525" cy="1047750"/>
        </a:xfrm>
        <a:prstGeom prst="straightConnector1">
          <a:avLst/>
        </a:prstGeom>
        <a:ln>
          <a:solidFill>
            <a:srgbClr val="C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33</xdr:row>
      <xdr:rowOff>76200</xdr:rowOff>
    </xdr:from>
    <xdr:to>
      <xdr:col>12</xdr:col>
      <xdr:colOff>552450</xdr:colOff>
      <xdr:row>33</xdr:row>
      <xdr:rowOff>85725</xdr:rowOff>
    </xdr:to>
    <xdr:cxnSp macro="">
      <xdr:nvCxnSpPr>
        <xdr:cNvPr id="4" name="Straight Arrow Connector 3"/>
        <xdr:cNvCxnSpPr/>
      </xdr:nvCxnSpPr>
      <xdr:spPr>
        <a:xfrm flipH="1">
          <a:off x="8782050" y="6315075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22</xdr:row>
      <xdr:rowOff>76200</xdr:rowOff>
    </xdr:from>
    <xdr:to>
      <xdr:col>12</xdr:col>
      <xdr:colOff>552450</xdr:colOff>
      <xdr:row>22</xdr:row>
      <xdr:rowOff>85725</xdr:rowOff>
    </xdr:to>
    <xdr:cxnSp macro="">
      <xdr:nvCxnSpPr>
        <xdr:cNvPr id="5" name="Straight Arrow Connector 4"/>
        <xdr:cNvCxnSpPr/>
      </xdr:nvCxnSpPr>
      <xdr:spPr>
        <a:xfrm flipH="1">
          <a:off x="8782050" y="5762625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318654</xdr:colOff>
      <xdr:row>1</xdr:row>
      <xdr:rowOff>3544</xdr:rowOff>
    </xdr:to>
    <xdr:pic>
      <xdr:nvPicPr>
        <xdr:cNvPr id="6" name="Picture 5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  <xdr:twoCellAnchor>
    <xdr:from>
      <xdr:col>11</xdr:col>
      <xdr:colOff>57150</xdr:colOff>
      <xdr:row>14</xdr:row>
      <xdr:rowOff>76200</xdr:rowOff>
    </xdr:from>
    <xdr:to>
      <xdr:col>12</xdr:col>
      <xdr:colOff>552450</xdr:colOff>
      <xdr:row>14</xdr:row>
      <xdr:rowOff>85725</xdr:rowOff>
    </xdr:to>
    <xdr:cxnSp macro="">
      <xdr:nvCxnSpPr>
        <xdr:cNvPr id="7" name="Straight Arrow Connector 6"/>
        <xdr:cNvCxnSpPr/>
      </xdr:nvCxnSpPr>
      <xdr:spPr>
        <a:xfrm flipH="1">
          <a:off x="8782050" y="4429125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17</xdr:row>
      <xdr:rowOff>76200</xdr:rowOff>
    </xdr:from>
    <xdr:to>
      <xdr:col>12</xdr:col>
      <xdr:colOff>552450</xdr:colOff>
      <xdr:row>17</xdr:row>
      <xdr:rowOff>85725</xdr:rowOff>
    </xdr:to>
    <xdr:cxnSp macro="">
      <xdr:nvCxnSpPr>
        <xdr:cNvPr id="8" name="Straight Arrow Connector 7"/>
        <xdr:cNvCxnSpPr/>
      </xdr:nvCxnSpPr>
      <xdr:spPr>
        <a:xfrm flipH="1">
          <a:off x="8782050" y="4429125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31</xdr:row>
      <xdr:rowOff>85725</xdr:rowOff>
    </xdr:from>
    <xdr:to>
      <xdr:col>12</xdr:col>
      <xdr:colOff>542925</xdr:colOff>
      <xdr:row>31</xdr:row>
      <xdr:rowOff>95250</xdr:rowOff>
    </xdr:to>
    <xdr:cxnSp macro="">
      <xdr:nvCxnSpPr>
        <xdr:cNvPr id="10" name="Straight Arrow Connector 9"/>
        <xdr:cNvCxnSpPr/>
      </xdr:nvCxnSpPr>
      <xdr:spPr>
        <a:xfrm flipH="1">
          <a:off x="8772525" y="6000750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30</xdr:row>
      <xdr:rowOff>76200</xdr:rowOff>
    </xdr:from>
    <xdr:to>
      <xdr:col>12</xdr:col>
      <xdr:colOff>542925</xdr:colOff>
      <xdr:row>30</xdr:row>
      <xdr:rowOff>85725</xdr:rowOff>
    </xdr:to>
    <xdr:cxnSp macro="">
      <xdr:nvCxnSpPr>
        <xdr:cNvPr id="11" name="Straight Arrow Connector 10"/>
        <xdr:cNvCxnSpPr/>
      </xdr:nvCxnSpPr>
      <xdr:spPr>
        <a:xfrm flipH="1">
          <a:off x="8772525" y="5829300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223404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518679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13854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213879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699654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490104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AppData/Local/Microsoft/Windows/Temporary%20Internet%20Files/Content.Outlook/F1XT0VTK/NYSF%20-%20Walmart%20-%20Ppa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Cash Flow Statement"/>
      <sheetName val="Balance Sheet"/>
      <sheetName val="Depreciation"/>
      <sheetName val="Operating Working Capital"/>
      <sheetName val="Debt Schedule"/>
      <sheetName val="---&gt; Valuation"/>
      <sheetName val="Costco Comp"/>
      <sheetName val="Wal-Mart Comp"/>
      <sheetName val="Target Comp"/>
      <sheetName val="DCF Analysis"/>
      <sheetName val="Comparable Companies"/>
      <sheetName val="Football field"/>
    </sheetNames>
    <sheetDataSet>
      <sheetData sheetId="0" refreshError="1"/>
      <sheetData sheetId="1">
        <row r="3">
          <cell r="A3" t="str">
            <v>(in US$ millions)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tabSelected="1" zoomScale="110" zoomScaleNormal="11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/>
  <cols>
    <col min="1" max="1" width="2.7109375" style="51" customWidth="1"/>
    <col min="2" max="2" width="2.7109375" style="2" customWidth="1"/>
    <col min="3" max="3" width="33.85546875" style="2" customWidth="1"/>
    <col min="4" max="4" width="13.7109375" style="4" bestFit="1" customWidth="1"/>
    <col min="5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3" ht="58.5" customHeight="1"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3" ht="12.75" customHeight="1">
      <c r="A2" s="32" t="s">
        <v>15</v>
      </c>
      <c r="B2" s="42"/>
      <c r="C2" s="58"/>
      <c r="D2" s="33"/>
      <c r="E2" s="33"/>
      <c r="F2" s="36"/>
      <c r="G2" s="32"/>
      <c r="H2" s="36"/>
      <c r="I2" s="36"/>
      <c r="J2" s="36"/>
      <c r="K2" s="36"/>
    </row>
    <row r="3" spans="1:13" ht="12.75" customHeight="1">
      <c r="A3" s="5" t="s">
        <v>214</v>
      </c>
      <c r="B3" s="7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  <c r="M3"/>
    </row>
    <row r="4" spans="1:13" ht="5.25" customHeight="1">
      <c r="A4" s="5"/>
      <c r="B4" s="7"/>
      <c r="C4" s="6"/>
      <c r="D4" s="38"/>
      <c r="E4" s="38"/>
      <c r="F4" s="37"/>
      <c r="G4" s="37"/>
      <c r="H4" s="37"/>
      <c r="I4" s="37"/>
      <c r="J4" s="37"/>
      <c r="K4" s="37"/>
    </row>
    <row r="5" spans="1:13" ht="12.75" customHeight="1">
      <c r="A5" s="39" t="s">
        <v>349</v>
      </c>
      <c r="B5" s="59"/>
      <c r="C5" s="104"/>
      <c r="D5" s="49">
        <v>2010</v>
      </c>
      <c r="E5" s="49">
        <f t="shared" ref="E5:K5" si="0">D5+1</f>
        <v>2011</v>
      </c>
      <c r="F5" s="49">
        <f t="shared" si="0"/>
        <v>2012</v>
      </c>
      <c r="G5" s="50">
        <f t="shared" si="0"/>
        <v>2013</v>
      </c>
      <c r="H5" s="50">
        <f t="shared" si="0"/>
        <v>2014</v>
      </c>
      <c r="I5" s="50">
        <f t="shared" si="0"/>
        <v>2015</v>
      </c>
      <c r="J5" s="50">
        <f t="shared" si="0"/>
        <v>2016</v>
      </c>
      <c r="K5" s="50">
        <f t="shared" si="0"/>
        <v>2017</v>
      </c>
    </row>
    <row r="6" spans="1:13" s="55" customFormat="1" ht="21" customHeight="1">
      <c r="A6" s="105" t="s">
        <v>39</v>
      </c>
      <c r="B6" s="106"/>
      <c r="C6" s="107"/>
      <c r="D6" s="108"/>
      <c r="E6" s="108"/>
      <c r="F6" s="108"/>
      <c r="G6" s="108"/>
      <c r="H6" s="108"/>
      <c r="I6" s="108"/>
      <c r="J6" s="108"/>
      <c r="K6" s="108"/>
    </row>
    <row r="7" spans="1:13" s="55" customFormat="1" ht="12">
      <c r="A7" s="109"/>
      <c r="B7" s="106" t="s">
        <v>215</v>
      </c>
      <c r="C7" s="107"/>
      <c r="D7" s="110">
        <v>405132</v>
      </c>
      <c r="E7" s="110">
        <v>418952</v>
      </c>
      <c r="F7" s="110">
        <v>443854</v>
      </c>
      <c r="G7" s="111"/>
      <c r="H7" s="111"/>
      <c r="I7" s="111"/>
      <c r="J7" s="111"/>
      <c r="K7" s="111"/>
    </row>
    <row r="8" spans="1:13" s="55" customFormat="1" ht="12">
      <c r="A8" s="109"/>
      <c r="B8" s="106"/>
      <c r="C8" s="112" t="s">
        <v>216</v>
      </c>
      <c r="D8" s="113"/>
      <c r="E8" s="114">
        <f>E7/D7-1</f>
        <v>3.4112338694548994E-2</v>
      </c>
      <c r="F8" s="114">
        <f>F7/E7-1</f>
        <v>5.9438790123928387E-2</v>
      </c>
      <c r="G8" s="111"/>
      <c r="H8" s="111"/>
      <c r="I8" s="111"/>
      <c r="J8" s="111"/>
      <c r="K8" s="111"/>
    </row>
    <row r="9" spans="1:13" s="55" customFormat="1" ht="12">
      <c r="A9" s="105"/>
      <c r="B9" s="109" t="s">
        <v>104</v>
      </c>
      <c r="C9" s="107"/>
      <c r="D9" s="110">
        <v>2953</v>
      </c>
      <c r="E9" s="110">
        <v>2897</v>
      </c>
      <c r="F9" s="110">
        <v>3096</v>
      </c>
      <c r="G9" s="108"/>
      <c r="H9" s="108"/>
      <c r="I9" s="108"/>
      <c r="J9" s="108"/>
      <c r="K9" s="108"/>
    </row>
    <row r="10" spans="1:13" s="55" customFormat="1" ht="12">
      <c r="A10" s="105"/>
      <c r="B10" s="106"/>
      <c r="C10" s="112" t="s">
        <v>216</v>
      </c>
      <c r="D10" s="115"/>
      <c r="E10" s="114">
        <f>E9/D9-1</f>
        <v>-1.8963765662038612E-2</v>
      </c>
      <c r="F10" s="114">
        <f>F9/E9-1</f>
        <v>6.8691750086296244E-2</v>
      </c>
      <c r="G10" s="108"/>
      <c r="H10" s="108"/>
      <c r="I10" s="108"/>
      <c r="J10" s="108"/>
      <c r="K10" s="108"/>
    </row>
    <row r="11" spans="1:13" ht="12.75" customHeight="1">
      <c r="A11" s="116"/>
      <c r="B11" s="117" t="s">
        <v>63</v>
      </c>
      <c r="C11" s="118"/>
      <c r="D11" s="119">
        <f>D7+D9</f>
        <v>408085</v>
      </c>
      <c r="E11" s="119">
        <f>E7+E9</f>
        <v>421849</v>
      </c>
      <c r="F11" s="119">
        <f>F7+F9</f>
        <v>446950</v>
      </c>
      <c r="G11" s="119">
        <f>F11*(1+G12)</f>
        <v>473767</v>
      </c>
      <c r="H11" s="119">
        <f>G11*(1+H12)</f>
        <v>497455.35000000003</v>
      </c>
      <c r="I11" s="119">
        <f>H11*(1+I12)</f>
        <v>517353.56400000007</v>
      </c>
      <c r="J11" s="119">
        <f>I11*(1+J12)</f>
        <v>532874.17092000006</v>
      </c>
      <c r="K11" s="119">
        <f>J11*(1+K12)</f>
        <v>543531.65433840011</v>
      </c>
    </row>
    <row r="12" spans="1:13" ht="12.75" customHeight="1">
      <c r="A12" s="116"/>
      <c r="B12" s="120"/>
      <c r="C12" s="121" t="s">
        <v>40</v>
      </c>
      <c r="D12" s="122"/>
      <c r="E12" s="114">
        <f>E11/D11-1</f>
        <v>3.3728267395273015E-2</v>
      </c>
      <c r="F12" s="114">
        <f>F11/E11-1</f>
        <v>5.9502333773459259E-2</v>
      </c>
      <c r="G12" s="180">
        <v>0.06</v>
      </c>
      <c r="H12" s="180">
        <v>0.05</v>
      </c>
      <c r="I12" s="180">
        <v>0.04</v>
      </c>
      <c r="J12" s="180">
        <v>0.03</v>
      </c>
      <c r="K12" s="180">
        <v>0.02</v>
      </c>
    </row>
    <row r="13" spans="1:13" ht="21" customHeight="1">
      <c r="A13" s="123" t="s">
        <v>41</v>
      </c>
      <c r="B13" s="120"/>
      <c r="C13" s="121"/>
      <c r="D13" s="122"/>
      <c r="E13" s="122"/>
      <c r="F13" s="122"/>
      <c r="G13" s="124"/>
      <c r="H13" s="124"/>
      <c r="I13" s="124"/>
      <c r="J13" s="124"/>
      <c r="K13" s="124"/>
    </row>
    <row r="14" spans="1:13" ht="12.75" customHeight="1">
      <c r="A14" s="116"/>
      <c r="B14" s="117" t="s">
        <v>41</v>
      </c>
      <c r="C14" s="118"/>
      <c r="D14" s="110">
        <f>304106</f>
        <v>304106</v>
      </c>
      <c r="E14" s="110">
        <f>314946</f>
        <v>314946</v>
      </c>
      <c r="F14" s="110">
        <f>335127</f>
        <v>335127</v>
      </c>
      <c r="G14" s="125">
        <f>G$11*G15</f>
        <v>355325.25</v>
      </c>
      <c r="H14" s="125">
        <f>H$11*H15</f>
        <v>373091.51250000001</v>
      </c>
      <c r="I14" s="125">
        <f>I$11*I15</f>
        <v>388015.17300000007</v>
      </c>
      <c r="J14" s="125">
        <f>J$11*J15</f>
        <v>399655.62819000008</v>
      </c>
      <c r="K14" s="125">
        <f>K$11*K15</f>
        <v>407648.74075380008</v>
      </c>
    </row>
    <row r="15" spans="1:13" ht="12.75" customHeight="1">
      <c r="A15" s="116"/>
      <c r="B15" s="120"/>
      <c r="C15" s="121" t="s">
        <v>42</v>
      </c>
      <c r="D15" s="126">
        <f>D14/D11</f>
        <v>0.74520259259713051</v>
      </c>
      <c r="E15" s="126">
        <f>E14/E11</f>
        <v>0.74658467840388387</v>
      </c>
      <c r="F15" s="126">
        <f>F14/F11</f>
        <v>0.74980870343438866</v>
      </c>
      <c r="G15" s="127">
        <v>0.75</v>
      </c>
      <c r="H15" s="127">
        <v>0.75</v>
      </c>
      <c r="I15" s="127">
        <v>0.75</v>
      </c>
      <c r="J15" s="127">
        <v>0.75</v>
      </c>
      <c r="K15" s="127">
        <v>0.75</v>
      </c>
    </row>
    <row r="16" spans="1:13" ht="21" customHeight="1">
      <c r="A16" s="116"/>
      <c r="B16" s="117" t="s">
        <v>62</v>
      </c>
      <c r="C16" s="118"/>
      <c r="D16" s="128">
        <f>D11-D14</f>
        <v>103979</v>
      </c>
      <c r="E16" s="128">
        <f t="shared" ref="E16:K16" si="1">E11-E14</f>
        <v>106903</v>
      </c>
      <c r="F16" s="128">
        <f t="shared" si="1"/>
        <v>111823</v>
      </c>
      <c r="G16" s="128">
        <f t="shared" si="1"/>
        <v>118441.75</v>
      </c>
      <c r="H16" s="128">
        <f t="shared" si="1"/>
        <v>124363.83750000002</v>
      </c>
      <c r="I16" s="128">
        <f t="shared" si="1"/>
        <v>129338.391</v>
      </c>
      <c r="J16" s="128">
        <f t="shared" si="1"/>
        <v>133218.54272999999</v>
      </c>
      <c r="K16" s="128">
        <f t="shared" si="1"/>
        <v>135882.91358460003</v>
      </c>
    </row>
    <row r="17" spans="1:11" ht="12.75" customHeight="1">
      <c r="A17" s="116"/>
      <c r="B17" s="129"/>
      <c r="C17" s="121" t="s">
        <v>43</v>
      </c>
      <c r="D17" s="130">
        <f>D16/D11</f>
        <v>0.25479740740286949</v>
      </c>
      <c r="E17" s="130">
        <f t="shared" ref="E17:K17" si="2">E16/E11</f>
        <v>0.25341532159611613</v>
      </c>
      <c r="F17" s="130">
        <f t="shared" si="2"/>
        <v>0.25019129656561134</v>
      </c>
      <c r="G17" s="130">
        <f t="shared" si="2"/>
        <v>0.25</v>
      </c>
      <c r="H17" s="130">
        <f t="shared" si="2"/>
        <v>0.25000000000000006</v>
      </c>
      <c r="I17" s="130">
        <f t="shared" si="2"/>
        <v>0.24999999999999997</v>
      </c>
      <c r="J17" s="130">
        <f t="shared" si="2"/>
        <v>0.24999999999999994</v>
      </c>
      <c r="K17" s="130">
        <f t="shared" si="2"/>
        <v>0.25</v>
      </c>
    </row>
    <row r="18" spans="1:11" ht="21" customHeight="1">
      <c r="A18" s="117" t="s">
        <v>49</v>
      </c>
      <c r="B18" s="120"/>
      <c r="C18" s="120"/>
      <c r="D18" s="131"/>
      <c r="E18" s="131"/>
      <c r="F18" s="131"/>
      <c r="G18" s="132"/>
      <c r="H18" s="132"/>
      <c r="I18" s="132"/>
      <c r="J18" s="132"/>
      <c r="K18" s="132"/>
    </row>
    <row r="19" spans="1:11" ht="12.75" customHeight="1">
      <c r="A19" s="116"/>
      <c r="B19" s="120" t="s">
        <v>44</v>
      </c>
      <c r="C19" s="120"/>
      <c r="D19" s="110">
        <f>79977-7157</f>
        <v>72820</v>
      </c>
      <c r="E19" s="110">
        <f>81361-7641</f>
        <v>73720</v>
      </c>
      <c r="F19" s="110">
        <f>85265-8130</f>
        <v>77135</v>
      </c>
      <c r="G19" s="125">
        <f>G$11*G20</f>
        <v>81961.690999999992</v>
      </c>
      <c r="H19" s="125">
        <f>H$11*H20</f>
        <v>86059.775550000006</v>
      </c>
      <c r="I19" s="125">
        <f>I$11*I20</f>
        <v>89502.166572000002</v>
      </c>
      <c r="J19" s="125">
        <f>J$11*J20</f>
        <v>92187.231569160009</v>
      </c>
      <c r="K19" s="125">
        <f>K$11*K20</f>
        <v>94030.976200543213</v>
      </c>
    </row>
    <row r="20" spans="1:11" ht="12.75" customHeight="1">
      <c r="A20" s="116"/>
      <c r="B20" s="120"/>
      <c r="C20" s="121" t="s">
        <v>100</v>
      </c>
      <c r="D20" s="130">
        <f>D19/D11</f>
        <v>0.17844321648676134</v>
      </c>
      <c r="E20" s="130">
        <f>E19/E11</f>
        <v>0.17475447375719749</v>
      </c>
      <c r="F20" s="130">
        <f>F19/F11</f>
        <v>0.17258082559570423</v>
      </c>
      <c r="G20" s="133">
        <v>0.17299999999999999</v>
      </c>
      <c r="H20" s="133">
        <v>0.17299999999999999</v>
      </c>
      <c r="I20" s="133">
        <v>0.17299999999999999</v>
      </c>
      <c r="J20" s="133">
        <v>0.17299999999999999</v>
      </c>
      <c r="K20" s="133">
        <v>0.17299999999999999</v>
      </c>
    </row>
    <row r="21" spans="1:11" ht="21" customHeight="1">
      <c r="A21" s="117" t="s">
        <v>2</v>
      </c>
      <c r="B21" s="117"/>
      <c r="C21" s="118"/>
      <c r="D21" s="128">
        <f t="shared" ref="D21:K21" si="3">D16-D19</f>
        <v>31159</v>
      </c>
      <c r="E21" s="128">
        <f t="shared" si="3"/>
        <v>33183</v>
      </c>
      <c r="F21" s="128">
        <f t="shared" si="3"/>
        <v>34688</v>
      </c>
      <c r="G21" s="128">
        <f t="shared" si="3"/>
        <v>36480.059000000008</v>
      </c>
      <c r="H21" s="128">
        <f t="shared" si="3"/>
        <v>38304.061950000018</v>
      </c>
      <c r="I21" s="128">
        <f t="shared" si="3"/>
        <v>39836.224428000001</v>
      </c>
      <c r="J21" s="128">
        <f t="shared" si="3"/>
        <v>41031.311160839978</v>
      </c>
      <c r="K21" s="128">
        <f t="shared" si="3"/>
        <v>41851.937384056815</v>
      </c>
    </row>
    <row r="22" spans="1:11" ht="12.75" customHeight="1">
      <c r="A22" s="116"/>
      <c r="B22" s="129"/>
      <c r="C22" s="121" t="s">
        <v>45</v>
      </c>
      <c r="D22" s="130">
        <f t="shared" ref="D22:K22" si="4">D21/D11</f>
        <v>7.6354190916108164E-2</v>
      </c>
      <c r="E22" s="130">
        <f t="shared" si="4"/>
        <v>7.8660847838918663E-2</v>
      </c>
      <c r="F22" s="130">
        <f t="shared" si="4"/>
        <v>7.7610470969907142E-2</v>
      </c>
      <c r="G22" s="130">
        <f t="shared" si="4"/>
        <v>7.7000000000000013E-2</v>
      </c>
      <c r="H22" s="130">
        <f t="shared" si="4"/>
        <v>7.7000000000000027E-2</v>
      </c>
      <c r="I22" s="130">
        <f t="shared" si="4"/>
        <v>7.6999999999999985E-2</v>
      </c>
      <c r="J22" s="130">
        <f t="shared" si="4"/>
        <v>7.6999999999999943E-2</v>
      </c>
      <c r="K22" s="130">
        <f t="shared" si="4"/>
        <v>7.7000000000000013E-2</v>
      </c>
    </row>
    <row r="23" spans="1:11" ht="21" customHeight="1">
      <c r="A23" s="116"/>
      <c r="B23" s="120" t="s">
        <v>46</v>
      </c>
      <c r="C23" s="120"/>
      <c r="D23" s="135">
        <v>7157</v>
      </c>
      <c r="E23" s="135">
        <v>7641</v>
      </c>
      <c r="F23" s="135">
        <v>8130</v>
      </c>
      <c r="G23" s="136">
        <f>Depreciation!G19</f>
        <v>8591.6632571428563</v>
      </c>
      <c r="H23" s="136">
        <f>Depreciation!H19</f>
        <v>9188.6096771428565</v>
      </c>
      <c r="I23" s="136">
        <f>Depreciation!I19</f>
        <v>9809.4339539428565</v>
      </c>
      <c r="J23" s="136">
        <f>Depreciation!J19</f>
        <v>10448.882959046856</v>
      </c>
      <c r="K23" s="136">
        <f>Depreciation!K19</f>
        <v>11101.120944252936</v>
      </c>
    </row>
    <row r="24" spans="1:11" ht="21" customHeight="1">
      <c r="A24" s="117" t="s">
        <v>1</v>
      </c>
      <c r="B24" s="117"/>
      <c r="C24" s="118"/>
      <c r="D24" s="128">
        <f t="shared" ref="D24:K24" si="5">D21-D23</f>
        <v>24002</v>
      </c>
      <c r="E24" s="128">
        <f t="shared" si="5"/>
        <v>25542</v>
      </c>
      <c r="F24" s="128">
        <f t="shared" si="5"/>
        <v>26558</v>
      </c>
      <c r="G24" s="128">
        <f t="shared" si="5"/>
        <v>27888.395742857152</v>
      </c>
      <c r="H24" s="128">
        <f t="shared" si="5"/>
        <v>29115.452272857161</v>
      </c>
      <c r="I24" s="128">
        <f t="shared" si="5"/>
        <v>30026.790474057147</v>
      </c>
      <c r="J24" s="128">
        <f t="shared" si="5"/>
        <v>30582.428201793122</v>
      </c>
      <c r="K24" s="128">
        <f t="shared" si="5"/>
        <v>30750.816439803879</v>
      </c>
    </row>
    <row r="25" spans="1:11" ht="12.75" customHeight="1">
      <c r="A25" s="116"/>
      <c r="B25" s="120"/>
      <c r="C25" s="129" t="s">
        <v>47</v>
      </c>
      <c r="D25" s="130">
        <f>D24/D11</f>
        <v>5.8816178002131909E-2</v>
      </c>
      <c r="E25" s="130">
        <f>E24/E11</f>
        <v>6.0547731534269372E-2</v>
      </c>
      <c r="F25" s="130">
        <f>F24/F11</f>
        <v>5.942051683633516E-2</v>
      </c>
      <c r="G25" s="130">
        <f>G24/G$11</f>
        <v>5.8865213792554466E-2</v>
      </c>
      <c r="H25" s="130">
        <f>H24/H$11</f>
        <v>5.8528775040528079E-2</v>
      </c>
      <c r="I25" s="130">
        <f>I24/I$11</f>
        <v>5.8039206769738505E-2</v>
      </c>
      <c r="J25" s="130">
        <f>J24/J$11</f>
        <v>5.739146288324122E-2</v>
      </c>
      <c r="K25" s="130">
        <f>K24/K$11</f>
        <v>5.6575944003177732E-2</v>
      </c>
    </row>
    <row r="26" spans="1:11" ht="21" customHeight="1">
      <c r="A26" s="123" t="s">
        <v>87</v>
      </c>
      <c r="B26" s="120"/>
      <c r="C26" s="129"/>
      <c r="D26" s="122"/>
      <c r="E26" s="122"/>
      <c r="F26" s="122"/>
      <c r="G26" s="122"/>
      <c r="H26" s="122"/>
      <c r="I26" s="122"/>
      <c r="J26" s="122"/>
      <c r="K26" s="122"/>
    </row>
    <row r="27" spans="1:11" ht="12.75" customHeight="1">
      <c r="A27" s="116"/>
      <c r="B27" s="120" t="s">
        <v>105</v>
      </c>
      <c r="C27" s="120"/>
      <c r="D27" s="110">
        <v>1787</v>
      </c>
      <c r="E27" s="110">
        <v>1928</v>
      </c>
      <c r="F27" s="110">
        <v>2034</v>
      </c>
      <c r="G27" s="125">
        <f ca="1">'Debt Schedule'!G16+'Debt Schedule'!G23+'Debt Schedule'!G37</f>
        <v>2083.8451736513889</v>
      </c>
      <c r="H27" s="125">
        <f ca="1">'Debt Schedule'!H16+'Debt Schedule'!H23+'Debt Schedule'!H37</f>
        <v>2083.8451736513889</v>
      </c>
      <c r="I27" s="125">
        <f ca="1">'Debt Schedule'!I16+'Debt Schedule'!I23+'Debt Schedule'!I37</f>
        <v>2083.8451736513889</v>
      </c>
      <c r="J27" s="125">
        <f ca="1">'Debt Schedule'!J16+'Debt Schedule'!J23+'Debt Schedule'!J37</f>
        <v>2083.8451736513889</v>
      </c>
      <c r="K27" s="125">
        <f ca="1">'Debt Schedule'!K16+'Debt Schedule'!K23+'Debt Schedule'!K37</f>
        <v>2083.8451736513889</v>
      </c>
    </row>
    <row r="28" spans="1:11" ht="12.75" customHeight="1">
      <c r="A28" s="116"/>
      <c r="B28" s="120" t="s">
        <v>106</v>
      </c>
      <c r="C28" s="120"/>
      <c r="D28" s="110">
        <v>278</v>
      </c>
      <c r="E28" s="110">
        <v>277</v>
      </c>
      <c r="F28" s="110">
        <v>288</v>
      </c>
      <c r="G28" s="125">
        <f>'Debt Schedule'!G30+'Debt Schedule'!G44</f>
        <v>281.62439524996336</v>
      </c>
      <c r="H28" s="125">
        <f>'Debt Schedule'!H30+'Debt Schedule'!H44</f>
        <v>281.62439524996336</v>
      </c>
      <c r="I28" s="125">
        <f>'Debt Schedule'!I30+'Debt Schedule'!I44</f>
        <v>281.62439524996336</v>
      </c>
      <c r="J28" s="125">
        <f>'Debt Schedule'!J30+'Debt Schedule'!J44</f>
        <v>281.62439524996336</v>
      </c>
      <c r="K28" s="125">
        <f>'Debt Schedule'!K30+'Debt Schedule'!K44</f>
        <v>281.62439524996336</v>
      </c>
    </row>
    <row r="29" spans="1:11" ht="12.75" customHeight="1">
      <c r="A29" s="116"/>
      <c r="B29" s="120" t="s">
        <v>48</v>
      </c>
      <c r="C29" s="120"/>
      <c r="D29" s="137">
        <v>-181</v>
      </c>
      <c r="E29" s="137">
        <v>-201</v>
      </c>
      <c r="F29" s="137">
        <v>-162</v>
      </c>
      <c r="G29" s="231">
        <f ca="1">-'Debt Schedule'!G49</f>
        <v>-168.47819240575666</v>
      </c>
      <c r="H29" s="231">
        <f ca="1">-'Debt Schedule'!H49</f>
        <v>-193.32101482497748</v>
      </c>
      <c r="I29" s="231">
        <f ca="1">-'Debt Schedule'!I49</f>
        <v>-234.64571244256285</v>
      </c>
      <c r="J29" s="231">
        <f ca="1">-'Debt Schedule'!J49</f>
        <v>-281.80336831164499</v>
      </c>
      <c r="K29" s="231">
        <f ca="1">-'Debt Schedule'!K49</f>
        <v>-344.93776500704399</v>
      </c>
    </row>
    <row r="30" spans="1:11" ht="12.75" customHeight="1">
      <c r="A30" s="116"/>
      <c r="B30" s="117" t="s">
        <v>86</v>
      </c>
      <c r="C30" s="120"/>
      <c r="D30" s="138">
        <f t="shared" ref="D30:K30" si="6">SUM(D27:D29)</f>
        <v>1884</v>
      </c>
      <c r="E30" s="138">
        <f t="shared" si="6"/>
        <v>2004</v>
      </c>
      <c r="F30" s="138">
        <f t="shared" si="6"/>
        <v>2160</v>
      </c>
      <c r="G30" s="138">
        <f t="shared" ca="1" si="6"/>
        <v>2196.9913764955959</v>
      </c>
      <c r="H30" s="138">
        <f t="shared" ca="1" si="6"/>
        <v>2172.1485540763751</v>
      </c>
      <c r="I30" s="138">
        <f t="shared" ca="1" si="6"/>
        <v>2130.8238564587896</v>
      </c>
      <c r="J30" s="138">
        <f t="shared" ca="1" si="6"/>
        <v>2083.6662005897074</v>
      </c>
      <c r="K30" s="138">
        <f t="shared" ca="1" si="6"/>
        <v>2020.5318038943085</v>
      </c>
    </row>
    <row r="31" spans="1:11" ht="21" customHeight="1">
      <c r="A31" s="117" t="s">
        <v>217</v>
      </c>
      <c r="B31" s="117"/>
      <c r="C31" s="120"/>
      <c r="D31" s="128">
        <f t="shared" ref="D31:K31" si="7">D24-D30</f>
        <v>22118</v>
      </c>
      <c r="E31" s="128">
        <f t="shared" si="7"/>
        <v>23538</v>
      </c>
      <c r="F31" s="128">
        <f t="shared" si="7"/>
        <v>24398</v>
      </c>
      <c r="G31" s="128">
        <f t="shared" ca="1" si="7"/>
        <v>25691.404366361556</v>
      </c>
      <c r="H31" s="128">
        <f t="shared" ca="1" si="7"/>
        <v>26943.303718780786</v>
      </c>
      <c r="I31" s="128">
        <f t="shared" ca="1" si="7"/>
        <v>27895.966617598358</v>
      </c>
      <c r="J31" s="128">
        <f t="shared" ca="1" si="7"/>
        <v>28498.762001203413</v>
      </c>
      <c r="K31" s="128">
        <f t="shared" ca="1" si="7"/>
        <v>28730.284635909571</v>
      </c>
    </row>
    <row r="32" spans="1:11" ht="12.75" customHeight="1">
      <c r="A32" s="116" t="s">
        <v>260</v>
      </c>
      <c r="B32" s="129"/>
      <c r="C32" s="121" t="s">
        <v>218</v>
      </c>
      <c r="D32" s="130">
        <f>D31/D11</f>
        <v>5.4199492752735334E-2</v>
      </c>
      <c r="E32" s="130">
        <f>E31/E11</f>
        <v>5.5797216539567478E-2</v>
      </c>
      <c r="F32" s="130">
        <f>F31/F11</f>
        <v>5.4587761494574338E-2</v>
      </c>
      <c r="G32" s="134">
        <f ca="1">G31/G$11</f>
        <v>5.4227931380534222E-2</v>
      </c>
      <c r="H32" s="134">
        <f ca="1">H31/H$11</f>
        <v>5.4162255403989092E-2</v>
      </c>
      <c r="I32" s="134">
        <f ca="1">I31/I$11</f>
        <v>5.3920507286963147E-2</v>
      </c>
      <c r="J32" s="134">
        <f ca="1">J31/J$11</f>
        <v>5.3481222315580966E-2</v>
      </c>
      <c r="K32" s="134">
        <f ca="1">K31/K$11</f>
        <v>5.285853069750053E-2</v>
      </c>
    </row>
    <row r="33" spans="1:11" ht="21" customHeight="1">
      <c r="A33" s="116"/>
      <c r="B33" s="120" t="s">
        <v>55</v>
      </c>
      <c r="C33" s="120"/>
      <c r="D33" s="110">
        <v>7156</v>
      </c>
      <c r="E33" s="110">
        <v>7579</v>
      </c>
      <c r="F33" s="110">
        <v>7944</v>
      </c>
      <c r="G33" s="125">
        <f ca="1">G31*G34</f>
        <v>8478.1634408993141</v>
      </c>
      <c r="H33" s="125">
        <f ca="1">H31*H34</f>
        <v>8891.29022719766</v>
      </c>
      <c r="I33" s="125">
        <f ca="1">I31*I34</f>
        <v>9205.6689838074581</v>
      </c>
      <c r="J33" s="125">
        <f ca="1">J31*J34</f>
        <v>9404.5914603971269</v>
      </c>
      <c r="K33" s="125">
        <f ca="1">K31*K34</f>
        <v>9480.9939298501595</v>
      </c>
    </row>
    <row r="34" spans="1:11" ht="12.75" customHeight="1">
      <c r="A34" s="116"/>
      <c r="B34" s="129"/>
      <c r="C34" s="121" t="s">
        <v>74</v>
      </c>
      <c r="D34" s="126">
        <f>D33/D31</f>
        <v>0.3235373903607921</v>
      </c>
      <c r="E34" s="126">
        <f>E33/E31</f>
        <v>0.32198997365961424</v>
      </c>
      <c r="F34" s="126">
        <f>F33/F31</f>
        <v>0.3256004590540208</v>
      </c>
      <c r="G34" s="150">
        <v>0.33</v>
      </c>
      <c r="H34" s="150">
        <v>0.33</v>
      </c>
      <c r="I34" s="150">
        <v>0.33</v>
      </c>
      <c r="J34" s="150">
        <v>0.33</v>
      </c>
      <c r="K34" s="150">
        <v>0.33</v>
      </c>
    </row>
    <row r="35" spans="1:11" ht="21" customHeight="1">
      <c r="A35" s="117" t="s">
        <v>221</v>
      </c>
      <c r="B35" s="120"/>
      <c r="C35" s="120"/>
      <c r="D35" s="128">
        <f t="shared" ref="D35:K35" si="8">D31-D33</f>
        <v>14962</v>
      </c>
      <c r="E35" s="128">
        <f t="shared" si="8"/>
        <v>15959</v>
      </c>
      <c r="F35" s="128">
        <f t="shared" si="8"/>
        <v>16454</v>
      </c>
      <c r="G35" s="128">
        <f t="shared" ca="1" si="8"/>
        <v>17213.24092546224</v>
      </c>
      <c r="H35" s="128">
        <f t="shared" ca="1" si="8"/>
        <v>18052.013491583126</v>
      </c>
      <c r="I35" s="128">
        <f t="shared" ca="1" si="8"/>
        <v>18690.297633790899</v>
      </c>
      <c r="J35" s="128">
        <f t="shared" ca="1" si="8"/>
        <v>19094.170540806284</v>
      </c>
      <c r="K35" s="128">
        <f t="shared" ca="1" si="8"/>
        <v>19249.290706059412</v>
      </c>
    </row>
    <row r="36" spans="1:11" ht="21.75" customHeight="1">
      <c r="A36" s="117" t="s">
        <v>56</v>
      </c>
      <c r="B36" s="120"/>
      <c r="C36" s="120"/>
      <c r="D36" s="131"/>
      <c r="E36" s="131"/>
      <c r="F36" s="131"/>
      <c r="G36" s="131"/>
      <c r="H36" s="131"/>
      <c r="I36" s="131"/>
      <c r="J36" s="131"/>
      <c r="K36" s="131"/>
    </row>
    <row r="37" spans="1:11" ht="12.75" customHeight="1">
      <c r="A37" s="116"/>
      <c r="B37" s="120" t="s">
        <v>57</v>
      </c>
      <c r="C37" s="120"/>
      <c r="D37" s="110">
        <v>-79</v>
      </c>
      <c r="E37" s="110">
        <v>1034</v>
      </c>
      <c r="F37" s="110">
        <v>-67</v>
      </c>
      <c r="G37" s="110">
        <v>0</v>
      </c>
      <c r="H37" s="110">
        <v>0</v>
      </c>
      <c r="I37" s="110">
        <v>0</v>
      </c>
      <c r="J37" s="110">
        <v>0</v>
      </c>
      <c r="K37" s="110">
        <v>0</v>
      </c>
    </row>
    <row r="38" spans="1:11" ht="12.75" customHeight="1">
      <c r="A38" s="116"/>
      <c r="B38" s="120" t="s">
        <v>0</v>
      </c>
      <c r="C38" s="120"/>
      <c r="D38" s="110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0</v>
      </c>
      <c r="J38" s="110">
        <v>0</v>
      </c>
      <c r="K38" s="110">
        <v>0</v>
      </c>
    </row>
    <row r="39" spans="1:11" ht="12.75" customHeight="1">
      <c r="A39" s="116"/>
      <c r="B39" s="117" t="s">
        <v>88</v>
      </c>
      <c r="C39" s="120"/>
      <c r="D39" s="139">
        <f t="shared" ref="D39:K39" si="9">SUM(D37:D38)</f>
        <v>-79</v>
      </c>
      <c r="E39" s="139">
        <f t="shared" si="9"/>
        <v>1034</v>
      </c>
      <c r="F39" s="139">
        <f t="shared" si="9"/>
        <v>-67</v>
      </c>
      <c r="G39" s="139">
        <f t="shared" si="9"/>
        <v>0</v>
      </c>
      <c r="H39" s="139">
        <f t="shared" si="9"/>
        <v>0</v>
      </c>
      <c r="I39" s="139">
        <f t="shared" si="9"/>
        <v>0</v>
      </c>
      <c r="J39" s="139">
        <f t="shared" si="9"/>
        <v>0</v>
      </c>
      <c r="K39" s="139">
        <f t="shared" si="9"/>
        <v>0</v>
      </c>
    </row>
    <row r="40" spans="1:11" ht="21" customHeight="1">
      <c r="A40" s="123" t="s">
        <v>224</v>
      </c>
      <c r="B40" s="117"/>
      <c r="C40" s="120"/>
      <c r="D40" s="140">
        <f>D35+D39</f>
        <v>14883</v>
      </c>
      <c r="E40" s="140">
        <f t="shared" ref="E40:K40" si="10">E35+E39</f>
        <v>16993</v>
      </c>
      <c r="F40" s="140">
        <f t="shared" si="10"/>
        <v>16387</v>
      </c>
      <c r="G40" s="140">
        <f t="shared" ca="1" si="10"/>
        <v>17213.24092546224</v>
      </c>
      <c r="H40" s="140">
        <f t="shared" ca="1" si="10"/>
        <v>18052.013491583126</v>
      </c>
      <c r="I40" s="140">
        <f t="shared" ca="1" si="10"/>
        <v>18690.297633790899</v>
      </c>
      <c r="J40" s="140">
        <f t="shared" ca="1" si="10"/>
        <v>19094.170540806284</v>
      </c>
      <c r="K40" s="140">
        <f t="shared" ca="1" si="10"/>
        <v>19249.290706059412</v>
      </c>
    </row>
    <row r="41" spans="1:11" ht="21" customHeight="1">
      <c r="A41" s="105" t="s">
        <v>219</v>
      </c>
      <c r="B41" s="120"/>
      <c r="C41" s="107"/>
      <c r="D41" s="140"/>
      <c r="E41" s="140"/>
      <c r="F41" s="140"/>
      <c r="G41" s="140"/>
      <c r="H41" s="140"/>
      <c r="I41" s="140"/>
      <c r="J41" s="140"/>
      <c r="K41" s="140"/>
    </row>
    <row r="42" spans="1:11" ht="12.75" customHeight="1">
      <c r="A42" s="116"/>
      <c r="B42" s="120" t="s">
        <v>222</v>
      </c>
      <c r="C42" s="120"/>
      <c r="D42" s="141">
        <v>-513</v>
      </c>
      <c r="E42" s="141">
        <v>-604</v>
      </c>
      <c r="F42" s="141">
        <v>-688</v>
      </c>
      <c r="G42" s="142">
        <f ca="1">-G40*G43</f>
        <v>-722.95611886941413</v>
      </c>
      <c r="H42" s="142">
        <f ca="1">-H40*H43</f>
        <v>-758.18456664649136</v>
      </c>
      <c r="I42" s="142">
        <f ca="1">-I40*I43</f>
        <v>-784.99250061921782</v>
      </c>
      <c r="J42" s="142">
        <f ca="1">-J40*J43</f>
        <v>-801.95516271386396</v>
      </c>
      <c r="K42" s="142">
        <f ca="1">-K40*K43</f>
        <v>-808.47020965449531</v>
      </c>
    </row>
    <row r="43" spans="1:11" ht="12.75" customHeight="1">
      <c r="A43" s="116"/>
      <c r="B43" s="120"/>
      <c r="C43" s="129" t="s">
        <v>223</v>
      </c>
      <c r="D43" s="126">
        <f>-D42/D40</f>
        <v>3.4468857085265064E-2</v>
      </c>
      <c r="E43" s="126">
        <f>-E42/E40</f>
        <v>3.5544047548990758E-2</v>
      </c>
      <c r="F43" s="126">
        <f>-F42/F40</f>
        <v>4.1984499908464028E-2</v>
      </c>
      <c r="G43" s="150">
        <v>4.2000000000000003E-2</v>
      </c>
      <c r="H43" s="150">
        <v>4.2000000000000003E-2</v>
      </c>
      <c r="I43" s="150">
        <v>4.2000000000000003E-2</v>
      </c>
      <c r="J43" s="150">
        <v>4.2000000000000003E-2</v>
      </c>
      <c r="K43" s="150">
        <v>4.2000000000000003E-2</v>
      </c>
    </row>
    <row r="44" spans="1:11" ht="21" customHeight="1" thickBot="1">
      <c r="A44" s="123" t="s">
        <v>220</v>
      </c>
      <c r="B44" s="117"/>
      <c r="C44" s="118"/>
      <c r="D44" s="143">
        <f>D40+D42</f>
        <v>14370</v>
      </c>
      <c r="E44" s="143">
        <f t="shared" ref="E44:K44" si="11">E40+E42</f>
        <v>16389</v>
      </c>
      <c r="F44" s="143">
        <f t="shared" si="11"/>
        <v>15699</v>
      </c>
      <c r="G44" s="143">
        <f t="shared" ca="1" si="11"/>
        <v>16490.284806592826</v>
      </c>
      <c r="H44" s="143">
        <f t="shared" ca="1" si="11"/>
        <v>17293.828924936635</v>
      </c>
      <c r="I44" s="143">
        <f t="shared" ca="1" si="11"/>
        <v>17905.305133171682</v>
      </c>
      <c r="J44" s="143">
        <f t="shared" ca="1" si="11"/>
        <v>18292.21537809242</v>
      </c>
      <c r="K44" s="143">
        <f t="shared" ca="1" si="11"/>
        <v>18440.820496404915</v>
      </c>
    </row>
    <row r="45" spans="1:11" ht="21" customHeight="1" thickTop="1">
      <c r="A45" s="117" t="s">
        <v>60</v>
      </c>
      <c r="B45" s="120"/>
      <c r="C45" s="120"/>
      <c r="D45" s="144"/>
      <c r="E45" s="144"/>
      <c r="F45" s="144"/>
      <c r="G45" s="144"/>
      <c r="H45" s="144"/>
      <c r="I45" s="144"/>
      <c r="J45" s="144"/>
      <c r="K45" s="144"/>
    </row>
    <row r="46" spans="1:11" ht="12.75" customHeight="1">
      <c r="A46" s="116"/>
      <c r="B46" s="120" t="s">
        <v>4</v>
      </c>
      <c r="C46" s="120"/>
      <c r="D46" s="145">
        <f t="shared" ref="D46:K46" si="12">D44/D49</f>
        <v>3.7170201758923951</v>
      </c>
      <c r="E46" s="145">
        <f t="shared" si="12"/>
        <v>4.4827680525164117</v>
      </c>
      <c r="F46" s="145">
        <f t="shared" si="12"/>
        <v>4.5372832369942193</v>
      </c>
      <c r="G46" s="145">
        <f t="shared" ca="1" si="12"/>
        <v>4.9057141218293658</v>
      </c>
      <c r="H46" s="145">
        <f t="shared" ca="1" si="12"/>
        <v>5.3008809645671091</v>
      </c>
      <c r="I46" s="145">
        <f t="shared" ca="1" si="12"/>
        <v>5.6600664957341635</v>
      </c>
      <c r="J46" s="145">
        <f t="shared" ca="1" si="12"/>
        <v>5.9691785999530707</v>
      </c>
      <c r="K46" s="145">
        <f t="shared" ca="1" si="12"/>
        <v>6.21856915433378</v>
      </c>
    </row>
    <row r="47" spans="1:11" ht="12.75" customHeight="1">
      <c r="A47" s="116"/>
      <c r="B47" s="109" t="s">
        <v>5</v>
      </c>
      <c r="C47" s="120"/>
      <c r="D47" s="145">
        <f t="shared" ref="D47:K47" si="13">D44/D50</f>
        <v>3.7064740778952801</v>
      </c>
      <c r="E47" s="145">
        <f t="shared" si="13"/>
        <v>4.4656675749318797</v>
      </c>
      <c r="F47" s="145">
        <f t="shared" si="13"/>
        <v>4.518998272884283</v>
      </c>
      <c r="G47" s="145">
        <f t="shared" ca="1" si="13"/>
        <v>4.8994512513257291</v>
      </c>
      <c r="H47" s="145">
        <f t="shared" ca="1" si="13"/>
        <v>5.2939085173255407</v>
      </c>
      <c r="I47" s="145">
        <f t="shared" ca="1" si="13"/>
        <v>5.6523889262588103</v>
      </c>
      <c r="J47" s="145">
        <f t="shared" ca="1" si="13"/>
        <v>5.9608205257171099</v>
      </c>
      <c r="K47" s="145">
        <f t="shared" ca="1" si="13"/>
        <v>6.2095716144739406</v>
      </c>
    </row>
    <row r="48" spans="1:11" ht="21" customHeight="1">
      <c r="A48" s="117" t="s">
        <v>61</v>
      </c>
      <c r="B48" s="120"/>
      <c r="C48" s="118"/>
      <c r="D48" s="473"/>
      <c r="E48" s="473"/>
      <c r="F48" s="473"/>
      <c r="G48" s="128"/>
      <c r="H48" s="128"/>
      <c r="I48" s="128"/>
      <c r="J48" s="128"/>
      <c r="K48" s="128"/>
    </row>
    <row r="49" spans="1:11" ht="12.75" customHeight="1">
      <c r="A49" s="116"/>
      <c r="B49" s="120" t="s">
        <v>4</v>
      </c>
      <c r="C49" s="120"/>
      <c r="D49" s="146">
        <v>3866</v>
      </c>
      <c r="E49" s="146">
        <v>3656</v>
      </c>
      <c r="F49" s="146">
        <v>3460</v>
      </c>
      <c r="G49" s="146">
        <f>D55/1000000</f>
        <v>3361.4443070000002</v>
      </c>
      <c r="H49" s="255">
        <f>G49-H51</f>
        <v>3262.4443070000002</v>
      </c>
      <c r="I49" s="255">
        <f>H49-I51</f>
        <v>3163.4443070000002</v>
      </c>
      <c r="J49" s="255">
        <f>I49-J51</f>
        <v>3064.4443070000002</v>
      </c>
      <c r="K49" s="255">
        <f>J49-K51</f>
        <v>2965.4443070000002</v>
      </c>
    </row>
    <row r="50" spans="1:11" ht="12.75" customHeight="1">
      <c r="A50" s="147"/>
      <c r="B50" s="148" t="s">
        <v>5</v>
      </c>
      <c r="C50" s="148"/>
      <c r="D50" s="149">
        <v>3877</v>
      </c>
      <c r="E50" s="149">
        <v>3670</v>
      </c>
      <c r="F50" s="149">
        <v>3474</v>
      </c>
      <c r="G50" s="149">
        <f>D61/1000000</f>
        <v>3365.7411739999998</v>
      </c>
      <c r="H50" s="257">
        <f>G50-H51</f>
        <v>3266.7411739999998</v>
      </c>
      <c r="I50" s="257">
        <f>H50-I51</f>
        <v>3167.7411739999998</v>
      </c>
      <c r="J50" s="257">
        <f>I50-J51</f>
        <v>3068.7411739999998</v>
      </c>
      <c r="K50" s="257">
        <f>J50-K51</f>
        <v>2969.7411739999998</v>
      </c>
    </row>
    <row r="51" spans="1:11" ht="12.75" customHeight="1">
      <c r="A51" s="762"/>
      <c r="B51" s="763" t="s">
        <v>393</v>
      </c>
      <c r="C51" s="763"/>
      <c r="D51" s="764"/>
      <c r="E51" s="764"/>
      <c r="F51" s="764"/>
      <c r="G51" s="764"/>
      <c r="H51" s="764">
        <v>99</v>
      </c>
      <c r="I51" s="764">
        <v>99</v>
      </c>
      <c r="J51" s="764">
        <v>99</v>
      </c>
      <c r="K51" s="764">
        <v>99</v>
      </c>
    </row>
    <row r="52" spans="1:11" ht="20.100000000000001" customHeight="1">
      <c r="E52" s="472"/>
      <c r="F52" s="106"/>
      <c r="G52" s="106"/>
      <c r="H52" s="106"/>
      <c r="I52" s="106"/>
      <c r="J52" s="106"/>
      <c r="K52" s="106"/>
    </row>
    <row r="53" spans="1:11" ht="20.100000000000001" customHeight="1">
      <c r="A53" s="804" t="s">
        <v>351</v>
      </c>
      <c r="B53" s="805"/>
      <c r="C53" s="805"/>
      <c r="D53" s="806"/>
      <c r="G53" s="471"/>
      <c r="H53" s="471"/>
      <c r="I53" s="471"/>
      <c r="J53" s="471"/>
      <c r="K53" s="471"/>
    </row>
    <row r="54" spans="1:11" ht="20.100000000000001" customHeight="1">
      <c r="A54" s="262" t="s">
        <v>175</v>
      </c>
      <c r="B54" s="262"/>
      <c r="C54" s="262"/>
      <c r="D54" s="467">
        <f>'DCF Analysis'!O22</f>
        <v>73.819999999999993</v>
      </c>
      <c r="E54" s="474"/>
      <c r="F54" s="474"/>
      <c r="H54" s="2"/>
      <c r="I54" s="2"/>
      <c r="J54" s="2"/>
      <c r="K54" s="2"/>
    </row>
    <row r="55" spans="1:11" ht="20.100000000000001" customHeight="1">
      <c r="A55" s="267" t="s">
        <v>287</v>
      </c>
      <c r="B55" s="267"/>
      <c r="C55" s="268"/>
      <c r="D55" s="264">
        <v>3361444307</v>
      </c>
    </row>
    <row r="56" spans="1:11" ht="20.100000000000001" customHeight="1">
      <c r="A56" s="267" t="s">
        <v>285</v>
      </c>
      <c r="B56" s="267"/>
      <c r="C56" s="267"/>
      <c r="D56" s="264">
        <v>13596000</v>
      </c>
    </row>
    <row r="57" spans="1:11" ht="20.100000000000001" customHeight="1">
      <c r="A57" s="269" t="s">
        <v>283</v>
      </c>
      <c r="B57" s="269"/>
      <c r="C57" s="269"/>
      <c r="D57" s="266">
        <v>50.49</v>
      </c>
    </row>
    <row r="58" spans="1:11" ht="20.100000000000001" customHeight="1">
      <c r="A58" s="269" t="s">
        <v>284</v>
      </c>
      <c r="B58" s="269"/>
      <c r="C58" s="269"/>
      <c r="D58" s="265">
        <f>D56*D57</f>
        <v>686462040</v>
      </c>
    </row>
    <row r="59" spans="1:11" ht="20.100000000000001" customHeight="1">
      <c r="A59" s="267" t="s">
        <v>288</v>
      </c>
      <c r="B59" s="269"/>
      <c r="C59" s="269"/>
      <c r="D59" s="265">
        <f>+ROUNDDOWN(D58/D54,0)</f>
        <v>9299133</v>
      </c>
    </row>
    <row r="60" spans="1:11" ht="20.100000000000001" customHeight="1">
      <c r="A60" s="275" t="s">
        <v>289</v>
      </c>
      <c r="B60" s="274"/>
      <c r="C60" s="274"/>
      <c r="D60" s="276">
        <f>D56-D59</f>
        <v>4296867</v>
      </c>
    </row>
    <row r="61" spans="1:11" ht="20.100000000000001" customHeight="1">
      <c r="A61" s="270" t="s">
        <v>286</v>
      </c>
      <c r="B61" s="274"/>
      <c r="C61" s="274"/>
      <c r="D61" s="277">
        <f>D60+D55</f>
        <v>3365741174</v>
      </c>
    </row>
  </sheetData>
  <mergeCells count="1">
    <mergeCell ref="A53:D53"/>
  </mergeCells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35" min="1" max="1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66CCFF"/>
  </sheetPr>
  <dimension ref="A1:AS79"/>
  <sheetViews>
    <sheetView workbookViewId="0">
      <pane xSplit="3" ySplit="5" topLeftCell="D47" activePane="bottomRight" state="frozen"/>
      <selection pane="topRight" activeCell="C1" sqref="C1"/>
      <selection pane="bottomLeft" activeCell="A6" sqref="A6"/>
      <selection pane="bottomRight" activeCell="N40" sqref="N40"/>
    </sheetView>
  </sheetViews>
  <sheetFormatPr defaultColWidth="9.140625" defaultRowHeight="20.100000000000001" customHeight="1" outlineLevelCol="2"/>
  <cols>
    <col min="1" max="1" width="2.7109375" style="51" customWidth="1"/>
    <col min="2" max="2" width="2.7109375" style="2" customWidth="1"/>
    <col min="3" max="3" width="37.5703125" style="2" bestFit="1" customWidth="1"/>
    <col min="4" max="4" width="17" style="4" bestFit="1" customWidth="1" outlineLevel="1"/>
    <col min="5" max="6" width="9.7109375" style="4" customWidth="1" outlineLevel="1"/>
    <col min="7" max="7" width="9.7109375" style="4" customWidth="1" outlineLevel="1" collapsed="1"/>
    <col min="8" max="11" width="9.7109375" style="4" customWidth="1" outlineLevel="2"/>
    <col min="12" max="12" width="9.7109375" style="4" customWidth="1" outlineLevel="1"/>
    <col min="13" max="13" width="9.7109375" style="4" customWidth="1"/>
    <col min="14" max="14" width="10.5703125" style="4" customWidth="1" outlineLevel="1"/>
    <col min="15" max="15" width="9.7109375" style="2" customWidth="1" outlineLevel="1" collapsed="1"/>
    <col min="16" max="16" width="9.7109375" style="51" customWidth="1"/>
    <col min="17" max="17" width="9.140625" style="51"/>
    <col min="18" max="22" width="8.85546875"/>
    <col min="23" max="23" width="9.7109375" bestFit="1" customWidth="1"/>
    <col min="24" max="45" width="8.85546875" customWidth="1"/>
    <col min="46" max="16384" width="9.140625" style="51"/>
  </cols>
  <sheetData>
    <row r="1" spans="1:45" ht="58.5" customHeight="1"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4"/>
      <c r="P1" s="54"/>
    </row>
    <row r="2" spans="1:45" ht="12.75" customHeight="1">
      <c r="A2" s="32" t="s">
        <v>270</v>
      </c>
      <c r="B2" s="4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2"/>
      <c r="P2" s="36"/>
    </row>
    <row r="3" spans="1:45" ht="12.75" customHeight="1">
      <c r="A3" s="5"/>
      <c r="B3" s="7"/>
      <c r="C3" s="6"/>
      <c r="D3" s="239" t="s">
        <v>32</v>
      </c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46" t="s">
        <v>33</v>
      </c>
      <c r="Q3"/>
    </row>
    <row r="4" spans="1:45" ht="12.75" customHeight="1">
      <c r="A4" s="5"/>
      <c r="B4" s="7"/>
      <c r="C4" s="6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7"/>
      <c r="P4" s="37"/>
    </row>
    <row r="5" spans="1:45" ht="12.75" customHeight="1">
      <c r="A5" s="39"/>
      <c r="B5" s="59"/>
      <c r="C5" s="40"/>
      <c r="D5" s="49" t="s">
        <v>262</v>
      </c>
      <c r="E5" s="49" t="s">
        <v>263</v>
      </c>
      <c r="F5" s="49" t="s">
        <v>264</v>
      </c>
      <c r="G5" s="190" t="s">
        <v>282</v>
      </c>
      <c r="H5" s="49">
        <v>2011</v>
      </c>
      <c r="I5" s="49" t="s">
        <v>265</v>
      </c>
      <c r="J5" s="49" t="s">
        <v>266</v>
      </c>
      <c r="K5" s="49" t="s">
        <v>267</v>
      </c>
      <c r="L5" s="190" t="s">
        <v>281</v>
      </c>
      <c r="M5" s="190" t="s">
        <v>261</v>
      </c>
      <c r="N5" s="190" t="s">
        <v>269</v>
      </c>
      <c r="O5" s="49" t="s">
        <v>190</v>
      </c>
      <c r="P5" s="50" t="s">
        <v>268</v>
      </c>
    </row>
    <row r="6" spans="1:45" s="55" customFormat="1" ht="21" customHeight="1">
      <c r="A6" s="105" t="s">
        <v>39</v>
      </c>
      <c r="B6" s="106"/>
      <c r="C6" s="215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55" customFormat="1" ht="12.75">
      <c r="A7" s="109"/>
      <c r="B7" s="106"/>
      <c r="C7" s="107" t="s">
        <v>158</v>
      </c>
      <c r="D7" s="110">
        <v>18823</v>
      </c>
      <c r="E7" s="110">
        <v>20449</v>
      </c>
      <c r="F7" s="110">
        <v>20188</v>
      </c>
      <c r="G7" s="125">
        <f>H7-D7-E7-F7</f>
        <v>27588</v>
      </c>
      <c r="H7" s="110">
        <v>87048</v>
      </c>
      <c r="I7" s="110">
        <v>21181</v>
      </c>
      <c r="J7" s="110">
        <v>22508</v>
      </c>
      <c r="K7" s="110">
        <v>21849</v>
      </c>
      <c r="L7" s="125">
        <f>M7-I7-J7-K7</f>
        <v>31524</v>
      </c>
      <c r="M7" s="110">
        <v>97062</v>
      </c>
      <c r="N7" s="111">
        <f>H7+I7+J7*(72/84)-D7-E7*(72/84)</f>
        <v>91170.85714285713</v>
      </c>
      <c r="O7" s="111">
        <f>M7+(28/112)*G7-(33/119)*L7</f>
        <v>95217.05042016806</v>
      </c>
      <c r="P7" s="125">
        <f>M7*(1+P8)</f>
        <v>103468.092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55" customFormat="1" ht="12.75">
      <c r="A8" s="109"/>
      <c r="B8" s="106"/>
      <c r="C8" s="107"/>
      <c r="D8" s="110"/>
      <c r="E8" s="110"/>
      <c r="F8" s="110"/>
      <c r="G8" s="125"/>
      <c r="H8" s="110"/>
      <c r="I8" s="110"/>
      <c r="J8" s="110"/>
      <c r="K8" s="110"/>
      <c r="L8" s="125"/>
      <c r="M8" s="110"/>
      <c r="N8" s="122"/>
      <c r="O8" s="122"/>
      <c r="P8" s="261">
        <v>6.6000000000000003E-2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55" customFormat="1" ht="12.75">
      <c r="A9" s="109"/>
      <c r="B9" s="106"/>
      <c r="C9" s="107" t="s">
        <v>191</v>
      </c>
      <c r="D9" s="110">
        <v>416</v>
      </c>
      <c r="E9" s="110">
        <v>426</v>
      </c>
      <c r="F9" s="110">
        <v>435</v>
      </c>
      <c r="G9" s="125">
        <f>H9-D9-E9-F9</f>
        <v>590</v>
      </c>
      <c r="H9" s="110">
        <v>1867</v>
      </c>
      <c r="I9" s="110">
        <v>447</v>
      </c>
      <c r="J9" s="110">
        <v>459</v>
      </c>
      <c r="K9" s="110">
        <v>475</v>
      </c>
      <c r="L9" s="125">
        <f>M9-I9-J9-K9</f>
        <v>694</v>
      </c>
      <c r="M9" s="110">
        <v>2075</v>
      </c>
      <c r="N9" s="111">
        <f>H9+I9+J9*(72/84)-D9-E9*(72/84)</f>
        <v>1926.2857142857144</v>
      </c>
      <c r="O9" s="111">
        <f>M9+(28/112)*G9-(33/119)*L9</f>
        <v>2030.046218487395</v>
      </c>
      <c r="P9" s="125">
        <f>M9*(1+P10)</f>
        <v>2211.9500000000003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55" customFormat="1" ht="12.75">
      <c r="A10" s="109"/>
      <c r="B10" s="106"/>
      <c r="C10" s="107"/>
      <c r="D10" s="122"/>
      <c r="E10" s="122"/>
      <c r="F10" s="122"/>
      <c r="G10" s="122"/>
      <c r="H10" s="113"/>
      <c r="I10" s="122"/>
      <c r="J10" s="122"/>
      <c r="K10" s="122"/>
      <c r="L10" s="122"/>
      <c r="M10" s="122"/>
      <c r="N10" s="122"/>
      <c r="O10" s="122"/>
      <c r="P10" s="261">
        <v>6.6000000000000003E-2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12.75" customHeight="1">
      <c r="A11" s="116"/>
      <c r="B11" s="117" t="s">
        <v>63</v>
      </c>
      <c r="C11" s="240"/>
      <c r="D11" s="128">
        <f t="shared" ref="D11:O11" si="0">D9+D7</f>
        <v>19239</v>
      </c>
      <c r="E11" s="128">
        <f t="shared" si="0"/>
        <v>20875</v>
      </c>
      <c r="F11" s="128">
        <f t="shared" si="0"/>
        <v>20623</v>
      </c>
      <c r="G11" s="128">
        <f t="shared" si="0"/>
        <v>28178</v>
      </c>
      <c r="H11" s="128">
        <f t="shared" si="0"/>
        <v>88915</v>
      </c>
      <c r="I11" s="128">
        <f t="shared" si="0"/>
        <v>21628</v>
      </c>
      <c r="J11" s="128">
        <f t="shared" si="0"/>
        <v>22967</v>
      </c>
      <c r="K11" s="128">
        <f t="shared" si="0"/>
        <v>22324</v>
      </c>
      <c r="L11" s="128">
        <f t="shared" si="0"/>
        <v>32218</v>
      </c>
      <c r="M11" s="128">
        <f t="shared" si="0"/>
        <v>99137</v>
      </c>
      <c r="N11" s="128">
        <f t="shared" si="0"/>
        <v>93097.142857142841</v>
      </c>
      <c r="O11" s="128">
        <f t="shared" si="0"/>
        <v>97247.09663865545</v>
      </c>
      <c r="P11" s="128">
        <f>P7+P9</f>
        <v>105680.042</v>
      </c>
    </row>
    <row r="12" spans="1:45" ht="12.75" customHeight="1">
      <c r="A12" s="116"/>
      <c r="B12" s="120"/>
      <c r="C12" s="121" t="s">
        <v>40</v>
      </c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14">
        <f>P11/M11-1</f>
        <v>6.6000000000000059E-2</v>
      </c>
    </row>
    <row r="13" spans="1:45" ht="9" customHeight="1">
      <c r="A13" s="123"/>
      <c r="B13" s="120"/>
      <c r="C13" s="121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4"/>
    </row>
    <row r="14" spans="1:45" ht="12.75" customHeight="1" collapsed="1">
      <c r="A14" s="117" t="s">
        <v>41</v>
      </c>
      <c r="B14" s="117"/>
      <c r="C14" s="118"/>
      <c r="D14" s="110">
        <v>16757</v>
      </c>
      <c r="E14" s="110">
        <v>18235</v>
      </c>
      <c r="F14" s="110">
        <v>18067</v>
      </c>
      <c r="G14" s="125">
        <f>H14-D14-E14-F14</f>
        <v>24680</v>
      </c>
      <c r="H14" s="110">
        <v>77739</v>
      </c>
      <c r="I14" s="110">
        <v>18931</v>
      </c>
      <c r="J14" s="110">
        <v>20139</v>
      </c>
      <c r="K14" s="110">
        <v>19543</v>
      </c>
      <c r="L14" s="125">
        <f>M14-I14-J14-K14</f>
        <v>28210</v>
      </c>
      <c r="M14" s="110">
        <v>86823</v>
      </c>
      <c r="N14" s="111">
        <f>H14+I14+J14*(72/84)-D14-E14*(72/84)</f>
        <v>81545</v>
      </c>
      <c r="O14" s="111">
        <f>M14+(28/112)*G14-(33/119)*L14</f>
        <v>85170.058823529413</v>
      </c>
      <c r="P14" s="125">
        <f>P15*$P$11</f>
        <v>92553.317999999999</v>
      </c>
    </row>
    <row r="15" spans="1:45" ht="15" customHeight="1">
      <c r="A15" s="116"/>
      <c r="B15" s="246" t="s">
        <v>42</v>
      </c>
      <c r="C15" s="112"/>
      <c r="D15" s="242">
        <f t="shared" ref="D15:O15" si="1">D14/D11</f>
        <v>0.87099121575965488</v>
      </c>
      <c r="E15" s="242">
        <f t="shared" si="1"/>
        <v>0.87353293413173649</v>
      </c>
      <c r="F15" s="242">
        <f t="shared" si="1"/>
        <v>0.87606070891722831</v>
      </c>
      <c r="G15" s="242">
        <f t="shared" si="1"/>
        <v>0.8758606004684506</v>
      </c>
      <c r="H15" s="242">
        <f t="shared" si="1"/>
        <v>0.87430692234156215</v>
      </c>
      <c r="I15" s="242">
        <f t="shared" si="1"/>
        <v>0.87530053634177918</v>
      </c>
      <c r="J15" s="242">
        <f t="shared" si="1"/>
        <v>0.87686680889972568</v>
      </c>
      <c r="K15" s="242">
        <f t="shared" si="1"/>
        <v>0.87542555097652752</v>
      </c>
      <c r="L15" s="242">
        <f t="shared" si="1"/>
        <v>0.87559749208516979</v>
      </c>
      <c r="M15" s="242">
        <f t="shared" si="1"/>
        <v>0.87578805087908651</v>
      </c>
      <c r="N15" s="242">
        <f t="shared" si="1"/>
        <v>0.8759130247974467</v>
      </c>
      <c r="O15" s="242">
        <f t="shared" si="1"/>
        <v>0.87581081356082924</v>
      </c>
      <c r="P15" s="258">
        <f>M15</f>
        <v>0.87578805087908651</v>
      </c>
    </row>
    <row r="16" spans="1:45" ht="21" customHeight="1">
      <c r="A16" s="105" t="s">
        <v>62</v>
      </c>
      <c r="B16" s="105"/>
      <c r="C16" s="215"/>
      <c r="D16" s="140">
        <f t="shared" ref="D16:P16" si="2">D11-D14</f>
        <v>2482</v>
      </c>
      <c r="E16" s="140">
        <f t="shared" si="2"/>
        <v>2640</v>
      </c>
      <c r="F16" s="140">
        <f t="shared" si="2"/>
        <v>2556</v>
      </c>
      <c r="G16" s="140">
        <f t="shared" si="2"/>
        <v>3498</v>
      </c>
      <c r="H16" s="140">
        <f t="shared" si="2"/>
        <v>11176</v>
      </c>
      <c r="I16" s="140">
        <f t="shared" si="2"/>
        <v>2697</v>
      </c>
      <c r="J16" s="140">
        <f t="shared" si="2"/>
        <v>2828</v>
      </c>
      <c r="K16" s="140">
        <f t="shared" si="2"/>
        <v>2781</v>
      </c>
      <c r="L16" s="140">
        <f t="shared" si="2"/>
        <v>4008</v>
      </c>
      <c r="M16" s="140">
        <f t="shared" si="2"/>
        <v>12314</v>
      </c>
      <c r="N16" s="140">
        <f t="shared" si="2"/>
        <v>11552.142857142841</v>
      </c>
      <c r="O16" s="140">
        <f t="shared" si="2"/>
        <v>12077.037815126037</v>
      </c>
      <c r="P16" s="140">
        <f t="shared" si="2"/>
        <v>13126.724000000002</v>
      </c>
    </row>
    <row r="17" spans="1:16" ht="12.75" customHeight="1">
      <c r="A17" s="116"/>
      <c r="B17" s="129" t="s">
        <v>43</v>
      </c>
      <c r="C17" s="121"/>
      <c r="D17" s="122">
        <f t="shared" ref="D17:P17" si="3">D16/D11</f>
        <v>0.12900878424034512</v>
      </c>
      <c r="E17" s="122">
        <f t="shared" si="3"/>
        <v>0.12646706586826348</v>
      </c>
      <c r="F17" s="122">
        <f t="shared" si="3"/>
        <v>0.12393929108277166</v>
      </c>
      <c r="G17" s="122">
        <f t="shared" si="3"/>
        <v>0.12413939953154944</v>
      </c>
      <c r="H17" s="122">
        <f t="shared" si="3"/>
        <v>0.12569307765843785</v>
      </c>
      <c r="I17" s="122">
        <f t="shared" si="3"/>
        <v>0.12469946365822082</v>
      </c>
      <c r="J17" s="122">
        <f t="shared" si="3"/>
        <v>0.12313319110027431</v>
      </c>
      <c r="K17" s="122">
        <f t="shared" si="3"/>
        <v>0.12457444902347249</v>
      </c>
      <c r="L17" s="122">
        <f t="shared" si="3"/>
        <v>0.12440250791483022</v>
      </c>
      <c r="M17" s="122">
        <f t="shared" si="3"/>
        <v>0.12421194912091349</v>
      </c>
      <c r="N17" s="122">
        <f t="shared" si="3"/>
        <v>0.12408697520255324</v>
      </c>
      <c r="O17" s="122">
        <f t="shared" si="3"/>
        <v>0.12418918643917076</v>
      </c>
      <c r="P17" s="122">
        <f t="shared" si="3"/>
        <v>0.1242119491209135</v>
      </c>
    </row>
    <row r="18" spans="1:16" ht="21" customHeight="1">
      <c r="A18" s="117" t="s">
        <v>49</v>
      </c>
      <c r="B18" s="120"/>
      <c r="C18" s="12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</row>
    <row r="19" spans="1:16" ht="12.75" customHeight="1">
      <c r="A19" s="116"/>
      <c r="B19" s="120" t="s">
        <v>44</v>
      </c>
      <c r="C19" s="120"/>
      <c r="D19" s="110">
        <f>1941-191</f>
        <v>1750</v>
      </c>
      <c r="E19" s="110">
        <f>2038-195</f>
        <v>1843</v>
      </c>
      <c r="F19" s="110">
        <f>1991-196</f>
        <v>1795</v>
      </c>
      <c r="G19" s="125">
        <f>H19-D19-E19-F19</f>
        <v>2448</v>
      </c>
      <c r="H19" s="110">
        <f>8691-855</f>
        <v>7836</v>
      </c>
      <c r="I19" s="110">
        <f>2145-205</f>
        <v>1940</v>
      </c>
      <c r="J19" s="110">
        <f>2176-209</f>
        <v>1967</v>
      </c>
      <c r="K19" s="110">
        <f>2151-202</f>
        <v>1949</v>
      </c>
      <c r="L19" s="125">
        <f>M19-I19-J19-K19</f>
        <v>2754</v>
      </c>
      <c r="M19" s="110">
        <f>9518-908</f>
        <v>8610</v>
      </c>
      <c r="N19" s="111">
        <f>H19+I19+J19*(72/84)-D19-E19*(72/84)</f>
        <v>8132.2857142857147</v>
      </c>
      <c r="O19" s="111">
        <f>M19+(28/112)*G19-(33/119)*L19</f>
        <v>8458.2857142857138</v>
      </c>
      <c r="P19" s="125">
        <f>P20*$P$11</f>
        <v>9178.26</v>
      </c>
    </row>
    <row r="20" spans="1:16" ht="12.75" customHeight="1">
      <c r="A20" s="116"/>
      <c r="B20" s="120"/>
      <c r="C20" s="121" t="s">
        <v>100</v>
      </c>
      <c r="D20" s="134">
        <f t="shared" ref="D20:O20" si="4">D19/D11</f>
        <v>9.0961068662612402E-2</v>
      </c>
      <c r="E20" s="134">
        <f t="shared" si="4"/>
        <v>8.8287425149700602E-2</v>
      </c>
      <c r="F20" s="134">
        <f t="shared" si="4"/>
        <v>8.7038743150850986E-2</v>
      </c>
      <c r="G20" s="134">
        <f t="shared" si="4"/>
        <v>8.6876286464617786E-2</v>
      </c>
      <c r="H20" s="134">
        <f t="shared" si="4"/>
        <v>8.8129112073328464E-2</v>
      </c>
      <c r="I20" s="134">
        <f t="shared" si="4"/>
        <v>8.9698538931015356E-2</v>
      </c>
      <c r="J20" s="134">
        <f t="shared" si="4"/>
        <v>8.5644620542517522E-2</v>
      </c>
      <c r="K20" s="134">
        <f t="shared" si="4"/>
        <v>8.7305142447590037E-2</v>
      </c>
      <c r="L20" s="134">
        <f t="shared" si="4"/>
        <v>8.548016636662735E-2</v>
      </c>
      <c r="M20" s="134">
        <f t="shared" si="4"/>
        <v>8.6849511282366829E-2</v>
      </c>
      <c r="N20" s="134">
        <f t="shared" si="4"/>
        <v>8.7352688436042256E-2</v>
      </c>
      <c r="O20" s="134">
        <f t="shared" si="4"/>
        <v>8.6977256973691172E-2</v>
      </c>
      <c r="P20" s="243">
        <f>M20</f>
        <v>8.6849511282366829E-2</v>
      </c>
    </row>
    <row r="21" spans="1:16" ht="12.75" customHeight="1">
      <c r="A21" s="116"/>
      <c r="B21" s="105" t="s">
        <v>50</v>
      </c>
      <c r="C21" s="109"/>
      <c r="D21" s="245">
        <f t="shared" ref="D21:P21" si="5">D19</f>
        <v>1750</v>
      </c>
      <c r="E21" s="245">
        <f t="shared" si="5"/>
        <v>1843</v>
      </c>
      <c r="F21" s="245">
        <f t="shared" si="5"/>
        <v>1795</v>
      </c>
      <c r="G21" s="245">
        <f t="shared" si="5"/>
        <v>2448</v>
      </c>
      <c r="H21" s="245">
        <f t="shared" si="5"/>
        <v>7836</v>
      </c>
      <c r="I21" s="245">
        <f t="shared" si="5"/>
        <v>1940</v>
      </c>
      <c r="J21" s="245">
        <f t="shared" si="5"/>
        <v>1967</v>
      </c>
      <c r="K21" s="245">
        <f t="shared" si="5"/>
        <v>1949</v>
      </c>
      <c r="L21" s="245">
        <f t="shared" si="5"/>
        <v>2754</v>
      </c>
      <c r="M21" s="245">
        <f t="shared" si="5"/>
        <v>8610</v>
      </c>
      <c r="N21" s="245">
        <f t="shared" si="5"/>
        <v>8132.2857142857147</v>
      </c>
      <c r="O21" s="245">
        <f t="shared" si="5"/>
        <v>8458.2857142857138</v>
      </c>
      <c r="P21" s="245">
        <f t="shared" si="5"/>
        <v>9178.26</v>
      </c>
    </row>
    <row r="22" spans="1:16" ht="21" customHeight="1" collapsed="1">
      <c r="A22" s="117" t="s">
        <v>2</v>
      </c>
      <c r="B22" s="117"/>
      <c r="C22" s="240"/>
      <c r="D22" s="128">
        <f>D16-D21</f>
        <v>732</v>
      </c>
      <c r="E22" s="128">
        <f>E16-E21</f>
        <v>797</v>
      </c>
      <c r="F22" s="128">
        <f>F16-F21</f>
        <v>761</v>
      </c>
      <c r="G22" s="128">
        <f>G16-G21</f>
        <v>1050</v>
      </c>
      <c r="H22" s="128">
        <f>H16-H21</f>
        <v>3340</v>
      </c>
      <c r="I22" s="128">
        <f t="shared" ref="I22:P22" si="6">I16-I21</f>
        <v>757</v>
      </c>
      <c r="J22" s="128">
        <f>J16-J21</f>
        <v>861</v>
      </c>
      <c r="K22" s="128">
        <f>K16-K21</f>
        <v>832</v>
      </c>
      <c r="L22" s="128">
        <f>L16-L21</f>
        <v>1254</v>
      </c>
      <c r="M22" s="128">
        <f t="shared" si="6"/>
        <v>3704</v>
      </c>
      <c r="N22" s="128">
        <f t="shared" si="6"/>
        <v>3419.8571428571258</v>
      </c>
      <c r="O22" s="128">
        <f t="shared" si="6"/>
        <v>3618.7521008403237</v>
      </c>
      <c r="P22" s="128">
        <f t="shared" si="6"/>
        <v>3948.4640000000018</v>
      </c>
    </row>
    <row r="23" spans="1:16" ht="12.75" customHeight="1">
      <c r="A23" s="116"/>
      <c r="B23" s="129" t="s">
        <v>45</v>
      </c>
      <c r="C23" s="121"/>
      <c r="D23" s="122">
        <f t="shared" ref="D23:P23" si="7">D22/D11</f>
        <v>3.8047715577732732E-2</v>
      </c>
      <c r="E23" s="122">
        <f t="shared" si="7"/>
        <v>3.8179640718562877E-2</v>
      </c>
      <c r="F23" s="122">
        <f t="shared" si="7"/>
        <v>3.6900547931920671E-2</v>
      </c>
      <c r="G23" s="122">
        <f t="shared" si="7"/>
        <v>3.7263113066931648E-2</v>
      </c>
      <c r="H23" s="122">
        <f t="shared" si="7"/>
        <v>3.7563965585109375E-2</v>
      </c>
      <c r="I23" s="122">
        <f t="shared" si="7"/>
        <v>3.5000924727205472E-2</v>
      </c>
      <c r="J23" s="122">
        <f t="shared" si="7"/>
        <v>3.7488570557756784E-2</v>
      </c>
      <c r="K23" s="122">
        <f t="shared" si="7"/>
        <v>3.7269306575882455E-2</v>
      </c>
      <c r="L23" s="122">
        <f t="shared" si="7"/>
        <v>3.8922341548202871E-2</v>
      </c>
      <c r="M23" s="122">
        <f t="shared" si="7"/>
        <v>3.7362437838546661E-2</v>
      </c>
      <c r="N23" s="122">
        <f t="shared" si="7"/>
        <v>3.6734286766510992E-2</v>
      </c>
      <c r="O23" s="122">
        <f t="shared" si="7"/>
        <v>3.721192946547959E-2</v>
      </c>
      <c r="P23" s="122">
        <f t="shared" si="7"/>
        <v>3.7362437838546675E-2</v>
      </c>
    </row>
    <row r="24" spans="1:16" ht="21" customHeight="1">
      <c r="A24" s="120" t="s">
        <v>46</v>
      </c>
      <c r="B24" s="120"/>
      <c r="C24" s="120"/>
      <c r="D24" s="141">
        <v>191</v>
      </c>
      <c r="E24" s="141">
        <v>195</v>
      </c>
      <c r="F24" s="141">
        <v>196</v>
      </c>
      <c r="G24" s="125">
        <f>H24-D24-E24-F24</f>
        <v>273</v>
      </c>
      <c r="H24" s="141">
        <v>855</v>
      </c>
      <c r="I24" s="141">
        <v>205</v>
      </c>
      <c r="J24" s="141">
        <v>209</v>
      </c>
      <c r="K24" s="141">
        <v>202</v>
      </c>
      <c r="L24" s="125">
        <f>M24-I24-J24-K24</f>
        <v>292</v>
      </c>
      <c r="M24" s="141">
        <v>908</v>
      </c>
      <c r="N24" s="111">
        <f>H24+I24+J24*(72/84)-D24-E24*(72/84)</f>
        <v>881</v>
      </c>
      <c r="O24" s="111">
        <f>M24+(28/112)*G24-(33/119)*L24</f>
        <v>895.27521008403357</v>
      </c>
      <c r="P24" s="125">
        <f>P25*$P$11</f>
        <v>967.92800000000011</v>
      </c>
    </row>
    <row r="25" spans="1:16" ht="12.75">
      <c r="A25" s="116"/>
      <c r="B25" s="246" t="s">
        <v>187</v>
      </c>
      <c r="C25" s="109"/>
      <c r="D25" s="241">
        <f t="shared" ref="D25:O25" si="8">D24/D11</f>
        <v>9.9277509226051251E-3</v>
      </c>
      <c r="E25" s="241">
        <f t="shared" si="8"/>
        <v>9.3413173652694605E-3</v>
      </c>
      <c r="F25" s="241">
        <f t="shared" si="8"/>
        <v>9.5039518983659026E-3</v>
      </c>
      <c r="G25" s="241">
        <f t="shared" si="8"/>
        <v>9.6884093974022294E-3</v>
      </c>
      <c r="H25" s="241">
        <f t="shared" si="8"/>
        <v>9.6159253219366813E-3</v>
      </c>
      <c r="I25" s="241">
        <f t="shared" si="8"/>
        <v>9.4784538561124461E-3</v>
      </c>
      <c r="J25" s="241">
        <f t="shared" si="8"/>
        <v>9.1000130622197074E-3</v>
      </c>
      <c r="K25" s="241">
        <f t="shared" si="8"/>
        <v>9.0485576061637707E-3</v>
      </c>
      <c r="L25" s="241">
        <f t="shared" si="8"/>
        <v>9.0632565646533002E-3</v>
      </c>
      <c r="M25" s="241">
        <f t="shared" si="8"/>
        <v>9.1590425370951314E-3</v>
      </c>
      <c r="N25" s="241">
        <f t="shared" si="8"/>
        <v>9.4632334888288747E-3</v>
      </c>
      <c r="O25" s="241">
        <f t="shared" si="8"/>
        <v>9.2061896038977912E-3</v>
      </c>
      <c r="P25" s="244">
        <f>M25</f>
        <v>9.1590425370951314E-3</v>
      </c>
    </row>
    <row r="26" spans="1:16" ht="21" customHeight="1" collapsed="1">
      <c r="A26" s="117" t="s">
        <v>1</v>
      </c>
      <c r="B26" s="117"/>
      <c r="C26" s="240"/>
      <c r="D26" s="128">
        <f t="shared" ref="D26:P26" si="9">D22-D24</f>
        <v>541</v>
      </c>
      <c r="E26" s="128">
        <f t="shared" si="9"/>
        <v>602</v>
      </c>
      <c r="F26" s="128">
        <f t="shared" si="9"/>
        <v>565</v>
      </c>
      <c r="G26" s="128">
        <f t="shared" si="9"/>
        <v>777</v>
      </c>
      <c r="H26" s="128">
        <f t="shared" si="9"/>
        <v>2485</v>
      </c>
      <c r="I26" s="128">
        <f t="shared" si="9"/>
        <v>552</v>
      </c>
      <c r="J26" s="128">
        <f t="shared" si="9"/>
        <v>652</v>
      </c>
      <c r="K26" s="128">
        <f t="shared" si="9"/>
        <v>630</v>
      </c>
      <c r="L26" s="128">
        <f t="shared" si="9"/>
        <v>962</v>
      </c>
      <c r="M26" s="128">
        <f t="shared" si="9"/>
        <v>2796</v>
      </c>
      <c r="N26" s="128">
        <f t="shared" si="9"/>
        <v>2538.8571428571258</v>
      </c>
      <c r="O26" s="128">
        <f t="shared" si="9"/>
        <v>2723.4768907562902</v>
      </c>
      <c r="P26" s="128">
        <f t="shared" si="9"/>
        <v>2980.5360000000019</v>
      </c>
    </row>
    <row r="27" spans="1:16" ht="12.75" customHeight="1">
      <c r="A27" s="116"/>
      <c r="B27" s="246" t="s">
        <v>47</v>
      </c>
      <c r="C27" s="246"/>
      <c r="D27" s="242">
        <f t="shared" ref="D27:P27" si="10">D26/D11</f>
        <v>2.8119964655127606E-2</v>
      </c>
      <c r="E27" s="242">
        <f t="shared" si="10"/>
        <v>2.8838323353293414E-2</v>
      </c>
      <c r="F27" s="242">
        <f t="shared" si="10"/>
        <v>2.7396596033554769E-2</v>
      </c>
      <c r="G27" s="242">
        <f t="shared" si="10"/>
        <v>2.7574703669529421E-2</v>
      </c>
      <c r="H27" s="242">
        <f t="shared" si="10"/>
        <v>2.7948040263172692E-2</v>
      </c>
      <c r="I27" s="242">
        <f t="shared" si="10"/>
        <v>2.5522470871093026E-2</v>
      </c>
      <c r="J27" s="242">
        <f t="shared" si="10"/>
        <v>2.8388557495537075E-2</v>
      </c>
      <c r="K27" s="242">
        <f t="shared" si="10"/>
        <v>2.8220748969718688E-2</v>
      </c>
      <c r="L27" s="242">
        <f t="shared" si="10"/>
        <v>2.9859084983549569E-2</v>
      </c>
      <c r="M27" s="242">
        <f t="shared" si="10"/>
        <v>2.8203395301451526E-2</v>
      </c>
      <c r="N27" s="242">
        <f t="shared" si="10"/>
        <v>2.727105327768212E-2</v>
      </c>
      <c r="O27" s="242">
        <f t="shared" si="10"/>
        <v>2.8005739861581797E-2</v>
      </c>
      <c r="P27" s="242">
        <f t="shared" si="10"/>
        <v>2.8203395301451543E-2</v>
      </c>
    </row>
    <row r="28" spans="1:16" ht="21" customHeight="1">
      <c r="A28" s="117" t="s">
        <v>51</v>
      </c>
      <c r="B28" s="120"/>
      <c r="C28" s="118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</row>
    <row r="29" spans="1:16" ht="12.75" customHeight="1">
      <c r="A29" s="116"/>
      <c r="B29" s="120" t="s">
        <v>13</v>
      </c>
      <c r="C29" s="120"/>
      <c r="D29" s="141">
        <v>0</v>
      </c>
      <c r="E29" s="141">
        <v>-3</v>
      </c>
      <c r="F29" s="141">
        <v>-3</v>
      </c>
      <c r="G29" s="111">
        <f>H29-D29-E29-F29</f>
        <v>-4</v>
      </c>
      <c r="H29" s="247">
        <v>-10</v>
      </c>
      <c r="I29" s="247">
        <v>0</v>
      </c>
      <c r="J29" s="247">
        <v>-2</v>
      </c>
      <c r="K29" s="247">
        <v>-4</v>
      </c>
      <c r="L29" s="111">
        <f>M29-I29-J29-K29</f>
        <v>-8</v>
      </c>
      <c r="M29" s="247">
        <v>-14</v>
      </c>
      <c r="N29" s="111">
        <f t="shared" ref="N29:N30" si="11">H29+I29+J29*(72/84)-D29-E29*(72/84)</f>
        <v>-9.1428571428571423</v>
      </c>
      <c r="O29" s="111">
        <f>M29+(28/112)*G29-(33/119)*L29</f>
        <v>-12.781512605042018</v>
      </c>
      <c r="P29" s="141">
        <f>M29</f>
        <v>-14</v>
      </c>
    </row>
    <row r="30" spans="1:16" ht="12.75" customHeight="1">
      <c r="A30" s="116"/>
      <c r="B30" s="120" t="s">
        <v>193</v>
      </c>
      <c r="C30" s="120"/>
      <c r="D30" s="135">
        <v>2</v>
      </c>
      <c r="E30" s="135">
        <v>8</v>
      </c>
      <c r="F30" s="135">
        <v>8</v>
      </c>
      <c r="G30" s="254">
        <f>H30-D30-E30-F30</f>
        <v>-27</v>
      </c>
      <c r="H30" s="137">
        <v>-9</v>
      </c>
      <c r="I30" s="137">
        <v>-26</v>
      </c>
      <c r="J30" s="137">
        <v>3</v>
      </c>
      <c r="K30" s="137">
        <v>-3</v>
      </c>
      <c r="L30" s="254">
        <f>M30-I30-J30-K30</f>
        <v>-14</v>
      </c>
      <c r="M30" s="248">
        <v>-40</v>
      </c>
      <c r="N30" s="254">
        <f t="shared" si="11"/>
        <v>-41.285714285714285</v>
      </c>
      <c r="O30" s="136">
        <f>M30+(28/112)*G30-(33/119)*L30</f>
        <v>-42.867647058823529</v>
      </c>
      <c r="P30" s="135">
        <f>M30</f>
        <v>-40</v>
      </c>
    </row>
    <row r="31" spans="1:16" ht="12.75" customHeight="1">
      <c r="A31" s="116"/>
      <c r="B31" s="117" t="s">
        <v>271</v>
      </c>
      <c r="C31" s="120"/>
      <c r="D31" s="108">
        <f>SUM(D29:D30)</f>
        <v>2</v>
      </c>
      <c r="E31" s="108">
        <f>SUM(E29:E30)</f>
        <v>5</v>
      </c>
      <c r="F31" s="108">
        <f>SUM(F29:F30)</f>
        <v>5</v>
      </c>
      <c r="G31" s="108">
        <f>SUM(G29:G30)</f>
        <v>-31</v>
      </c>
      <c r="H31" s="108">
        <f>SUM(H29:H30)</f>
        <v>-19</v>
      </c>
      <c r="I31" s="108">
        <f t="shared" ref="I31:P31" si="12">SUM(I29:I30)</f>
        <v>-26</v>
      </c>
      <c r="J31" s="108">
        <f>SUM(J29:J30)</f>
        <v>1</v>
      </c>
      <c r="K31" s="108">
        <f>SUM(K29:K30)</f>
        <v>-7</v>
      </c>
      <c r="L31" s="108">
        <f>SUM(L29:L30)</f>
        <v>-22</v>
      </c>
      <c r="M31" s="108">
        <f t="shared" si="12"/>
        <v>-54</v>
      </c>
      <c r="N31" s="108">
        <f t="shared" si="12"/>
        <v>-50.428571428571431</v>
      </c>
      <c r="O31" s="140">
        <f t="shared" si="12"/>
        <v>-55.649159663865547</v>
      </c>
      <c r="P31" s="140">
        <f t="shared" si="12"/>
        <v>-54</v>
      </c>
    </row>
    <row r="32" spans="1:16" ht="21" customHeight="1">
      <c r="A32" s="123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</row>
    <row r="33" spans="1:16" ht="12.75" customHeight="1">
      <c r="A33" s="116"/>
      <c r="B33" s="120" t="s">
        <v>165</v>
      </c>
      <c r="C33" s="120"/>
      <c r="D33" s="110">
        <v>26</v>
      </c>
      <c r="E33" s="110">
        <v>27</v>
      </c>
      <c r="F33" s="110">
        <v>27</v>
      </c>
      <c r="G33" s="125">
        <f>H33-D33-E33-F33</f>
        <v>36</v>
      </c>
      <c r="H33" s="110">
        <v>116</v>
      </c>
      <c r="I33" s="110">
        <v>27</v>
      </c>
      <c r="J33" s="110">
        <v>27</v>
      </c>
      <c r="K33" s="110">
        <v>19</v>
      </c>
      <c r="L33" s="125">
        <f>M33-I33-J33-K33</f>
        <v>22</v>
      </c>
      <c r="M33" s="110">
        <v>95</v>
      </c>
      <c r="N33" s="125">
        <f t="shared" ref="N33:N34" si="13">H33+I33+J33*(72/84)-D33-E33*(72/84)</f>
        <v>117</v>
      </c>
      <c r="O33" s="111">
        <f>M33+(28/112)*G33-(33/119)*L33</f>
        <v>97.899159663865547</v>
      </c>
      <c r="P33" s="125">
        <f>M33</f>
        <v>95</v>
      </c>
    </row>
    <row r="34" spans="1:16" ht="12.75" customHeight="1">
      <c r="A34" s="116"/>
      <c r="B34" s="120" t="s">
        <v>48</v>
      </c>
      <c r="C34" s="120"/>
      <c r="D34" s="137">
        <v>-7</v>
      </c>
      <c r="E34" s="137">
        <v>-9</v>
      </c>
      <c r="F34" s="137">
        <v>-10</v>
      </c>
      <c r="G34" s="254">
        <f>H34-D34-E34-F34</f>
        <v>-15</v>
      </c>
      <c r="H34" s="137">
        <v>-41</v>
      </c>
      <c r="I34" s="137">
        <v>-11</v>
      </c>
      <c r="J34" s="137">
        <v>-11</v>
      </c>
      <c r="K34" s="137">
        <v>-11</v>
      </c>
      <c r="L34" s="254">
        <f>M34-I34-J34-K34</f>
        <v>-16</v>
      </c>
      <c r="M34" s="247">
        <v>-49</v>
      </c>
      <c r="N34" s="111">
        <f t="shared" si="13"/>
        <v>-46.714285714285715</v>
      </c>
      <c r="O34" s="111">
        <f>M34+(28/112)*G34-(33/119)*L34</f>
        <v>-48.313025210084035</v>
      </c>
      <c r="P34" s="231">
        <f>M34</f>
        <v>-49</v>
      </c>
    </row>
    <row r="35" spans="1:16" ht="12.75" customHeight="1">
      <c r="A35" s="116"/>
      <c r="B35" s="117" t="s">
        <v>86</v>
      </c>
      <c r="C35" s="120"/>
      <c r="D35" s="138">
        <f>SUM(D33:D34)</f>
        <v>19</v>
      </c>
      <c r="E35" s="138">
        <f>SUM(E33:E34)</f>
        <v>18</v>
      </c>
      <c r="F35" s="138">
        <f>SUM(F33:F34)</f>
        <v>17</v>
      </c>
      <c r="G35" s="138">
        <f>SUM(G33:G34)</f>
        <v>21</v>
      </c>
      <c r="H35" s="138">
        <f>SUM(H33:H34)</f>
        <v>75</v>
      </c>
      <c r="I35" s="138">
        <f t="shared" ref="I35:N35" si="14">SUM(I33:I34)</f>
        <v>16</v>
      </c>
      <c r="J35" s="138">
        <f>SUM(J33:J34)</f>
        <v>16</v>
      </c>
      <c r="K35" s="138">
        <f>SUM(K33:K34)</f>
        <v>8</v>
      </c>
      <c r="L35" s="138">
        <f>SUM(L33:L34)</f>
        <v>6</v>
      </c>
      <c r="M35" s="138">
        <f t="shared" si="14"/>
        <v>46</v>
      </c>
      <c r="N35" s="138">
        <f t="shared" si="14"/>
        <v>70.285714285714278</v>
      </c>
      <c r="O35" s="138">
        <f>SUM(O33:O34)</f>
        <v>49.586134453781511</v>
      </c>
      <c r="P35" s="138">
        <f>SUM(P33:P34)</f>
        <v>46</v>
      </c>
    </row>
    <row r="36" spans="1:16" ht="21" customHeight="1" collapsed="1">
      <c r="A36" s="117" t="s">
        <v>273</v>
      </c>
      <c r="B36" s="117"/>
      <c r="C36" s="120"/>
      <c r="D36" s="128">
        <f t="shared" ref="D36:P36" si="15">D26-D31-D35</f>
        <v>520</v>
      </c>
      <c r="E36" s="128">
        <f t="shared" si="15"/>
        <v>579</v>
      </c>
      <c r="F36" s="128">
        <f t="shared" si="15"/>
        <v>543</v>
      </c>
      <c r="G36" s="128">
        <f t="shared" si="15"/>
        <v>787</v>
      </c>
      <c r="H36" s="128">
        <f t="shared" si="15"/>
        <v>2429</v>
      </c>
      <c r="I36" s="128">
        <f t="shared" si="15"/>
        <v>562</v>
      </c>
      <c r="J36" s="128">
        <f t="shared" si="15"/>
        <v>635</v>
      </c>
      <c r="K36" s="128">
        <f t="shared" si="15"/>
        <v>629</v>
      </c>
      <c r="L36" s="128">
        <f t="shared" si="15"/>
        <v>978</v>
      </c>
      <c r="M36" s="128">
        <f t="shared" si="15"/>
        <v>2804</v>
      </c>
      <c r="N36" s="128">
        <f t="shared" si="15"/>
        <v>2518.9999999999832</v>
      </c>
      <c r="O36" s="128">
        <f t="shared" si="15"/>
        <v>2729.5399159663743</v>
      </c>
      <c r="P36" s="128">
        <f t="shared" si="15"/>
        <v>2988.5360000000019</v>
      </c>
    </row>
    <row r="37" spans="1:16" ht="12.75" customHeight="1">
      <c r="A37" s="116"/>
      <c r="B37" s="129" t="s">
        <v>54</v>
      </c>
      <c r="C37" s="121"/>
      <c r="D37" s="122">
        <f>D36/D11</f>
        <v>2.7028431831176255E-2</v>
      </c>
      <c r="E37" s="122">
        <f>E36/E11</f>
        <v>2.7736526946107783E-2</v>
      </c>
      <c r="F37" s="122">
        <f>F36/F11</f>
        <v>2.6329825922513699E-2</v>
      </c>
      <c r="G37" s="122">
        <f>G36/G11</f>
        <v>2.7929590460643056E-2</v>
      </c>
      <c r="H37" s="122">
        <f>H36/H11</f>
        <v>2.7318225271326546E-2</v>
      </c>
      <c r="I37" s="122">
        <f t="shared" ref="I37:N37" si="16">I36/I11</f>
        <v>2.598483447383022E-2</v>
      </c>
      <c r="J37" s="122">
        <f>J36/J11</f>
        <v>2.7648365045500067E-2</v>
      </c>
      <c r="K37" s="122">
        <f>K36/K11</f>
        <v>2.8175954130084214E-2</v>
      </c>
      <c r="L37" s="122">
        <f>L36/L11</f>
        <v>3.0355701781612763E-2</v>
      </c>
      <c r="M37" s="122">
        <f t="shared" si="16"/>
        <v>2.8284091711469984E-2</v>
      </c>
      <c r="N37" s="122">
        <f t="shared" si="16"/>
        <v>2.7057758409034932E-2</v>
      </c>
      <c r="O37" s="122">
        <f>O36/O11</f>
        <v>2.8068086455152737E-2</v>
      </c>
      <c r="P37" s="122">
        <f>P36/P11</f>
        <v>2.8279095498466984E-2</v>
      </c>
    </row>
    <row r="38" spans="1:16" ht="21" customHeight="1">
      <c r="A38" s="120" t="s">
        <v>55</v>
      </c>
      <c r="B38" s="120"/>
      <c r="C38" s="120"/>
      <c r="D38" s="125">
        <f>D36*D39</f>
        <v>177.46031746031747</v>
      </c>
      <c r="E38" s="125">
        <f>E36*E39</f>
        <v>206.13612565445027</v>
      </c>
      <c r="F38" s="125">
        <f>F36*F39</f>
        <v>196.25280898876403</v>
      </c>
      <c r="G38" s="125">
        <f>H38-D38-E38-F38</f>
        <v>277.38490652005191</v>
      </c>
      <c r="H38" s="125">
        <f>H36*H39</f>
        <v>857.23415862358365</v>
      </c>
      <c r="I38" s="125">
        <f>I36*I39</f>
        <v>228.66184448462928</v>
      </c>
      <c r="J38" s="125">
        <f>J36*J39</f>
        <v>217.7432216905901</v>
      </c>
      <c r="K38" s="125">
        <f>K36*K39</f>
        <v>219.4421221864952</v>
      </c>
      <c r="L38" s="125">
        <f>M38-I38-J38-K38</f>
        <v>347.52469454395953</v>
      </c>
      <c r="M38" s="125">
        <f>M36*M39</f>
        <v>1013.3718829056741</v>
      </c>
      <c r="N38" s="125">
        <f t="shared" ref="N38" si="17">H38+I38+J38*(72/84)-D38-E38*(72/84)</f>
        <v>918.38462510744398</v>
      </c>
      <c r="O38" s="111">
        <f>M38+(28/112)*G38-(33/119)*L38</f>
        <v>986.34571525038734</v>
      </c>
      <c r="P38" s="125">
        <f>P39*P36</f>
        <v>1080.0636067943628</v>
      </c>
    </row>
    <row r="39" spans="1:16" ht="12.75" customHeight="1">
      <c r="A39" s="116"/>
      <c r="B39" s="129" t="s">
        <v>272</v>
      </c>
      <c r="C39" s="121"/>
      <c r="D39" s="244">
        <f>172/504</f>
        <v>0.34126984126984128</v>
      </c>
      <c r="E39" s="244">
        <f>204/573</f>
        <v>0.35602094240837695</v>
      </c>
      <c r="F39" s="244">
        <f>193/534</f>
        <v>0.36142322097378277</v>
      </c>
      <c r="G39" s="242">
        <f>G38/G36</f>
        <v>0.35245858515889694</v>
      </c>
      <c r="H39" s="250">
        <f>841/2383</f>
        <v>0.35291649181703733</v>
      </c>
      <c r="I39" s="244">
        <f>225/553</f>
        <v>0.40687160940325495</v>
      </c>
      <c r="J39" s="244">
        <f>215/627</f>
        <v>0.34290271132376393</v>
      </c>
      <c r="K39" s="244">
        <f>217/622</f>
        <v>0.34887459807073956</v>
      </c>
      <c r="L39" s="242">
        <f>L38/L36</f>
        <v>0.35534222346008132</v>
      </c>
      <c r="M39" s="249">
        <f>1000/2767</f>
        <v>0.36140224069389232</v>
      </c>
      <c r="N39" s="242">
        <f>N38/N36</f>
        <v>0.36458301909783647</v>
      </c>
      <c r="O39" s="241">
        <f>O38/O36</f>
        <v>0.36135969636523108</v>
      </c>
      <c r="P39" s="251">
        <f>M39</f>
        <v>0.36140224069389232</v>
      </c>
    </row>
    <row r="40" spans="1:16" ht="21" customHeight="1">
      <c r="A40" s="117" t="s">
        <v>395</v>
      </c>
      <c r="B40" s="117"/>
      <c r="C40" s="120"/>
      <c r="D40" s="128">
        <f t="shared" ref="D40:P40" si="18">D36-D38</f>
        <v>342.53968253968253</v>
      </c>
      <c r="E40" s="128">
        <f t="shared" si="18"/>
        <v>372.86387434554973</v>
      </c>
      <c r="F40" s="128">
        <f t="shared" si="18"/>
        <v>346.74719101123594</v>
      </c>
      <c r="G40" s="128">
        <f t="shared" si="18"/>
        <v>509.61509347994809</v>
      </c>
      <c r="H40" s="128">
        <f t="shared" si="18"/>
        <v>1571.7658413764163</v>
      </c>
      <c r="I40" s="128">
        <f t="shared" si="18"/>
        <v>333.33815551537072</v>
      </c>
      <c r="J40" s="128">
        <f t="shared" si="18"/>
        <v>417.25677830940992</v>
      </c>
      <c r="K40" s="128">
        <f t="shared" si="18"/>
        <v>409.55787781350477</v>
      </c>
      <c r="L40" s="128">
        <f t="shared" si="18"/>
        <v>630.47530545604047</v>
      </c>
      <c r="M40" s="128">
        <f t="shared" si="18"/>
        <v>1790.6281170943259</v>
      </c>
      <c r="N40" s="128">
        <f t="shared" si="18"/>
        <v>1600.6153748925392</v>
      </c>
      <c r="O40" s="128">
        <f t="shared" si="18"/>
        <v>1743.1942007159869</v>
      </c>
      <c r="P40" s="128">
        <f t="shared" si="18"/>
        <v>1908.472393205639</v>
      </c>
    </row>
    <row r="41" spans="1:16" ht="12.75" customHeight="1">
      <c r="A41" s="116"/>
      <c r="B41" s="120" t="s">
        <v>276</v>
      </c>
      <c r="C41" s="120"/>
      <c r="D41" s="141">
        <v>20</v>
      </c>
      <c r="E41" s="141">
        <v>21</v>
      </c>
      <c r="F41" s="141">
        <v>17</v>
      </c>
      <c r="G41" s="142">
        <f>H41-D41-E41-F41</f>
        <v>22</v>
      </c>
      <c r="H41" s="141">
        <v>80</v>
      </c>
      <c r="I41" s="141">
        <v>8</v>
      </c>
      <c r="J41" s="141">
        <v>18</v>
      </c>
      <c r="K41" s="141">
        <v>19</v>
      </c>
      <c r="L41" s="142">
        <f>M41-I41-J41-K41</f>
        <v>13</v>
      </c>
      <c r="M41" s="141">
        <v>58</v>
      </c>
      <c r="N41" s="125">
        <f t="shared" ref="N41" si="19">H41+I41+J41*(72/84)-D41-E41*(72/84)</f>
        <v>65.428571428571431</v>
      </c>
      <c r="O41" s="111">
        <f>M41+(28/112)*G41-(33/119)*L41</f>
        <v>59.894957983193279</v>
      </c>
      <c r="P41" s="142">
        <f ca="1">P48*P42</f>
        <v>59.877591270174896</v>
      </c>
    </row>
    <row r="42" spans="1:16" ht="12.75" customHeight="1">
      <c r="A42" s="116"/>
      <c r="B42" s="120"/>
      <c r="C42" s="129" t="s">
        <v>277</v>
      </c>
      <c r="D42" s="241">
        <f>D41/D40</f>
        <v>5.8387395736793329E-2</v>
      </c>
      <c r="E42" s="241">
        <f t="shared" ref="E42:O42" si="20">E41/E40</f>
        <v>5.6320822275580266E-2</v>
      </c>
      <c r="F42" s="241">
        <f t="shared" si="20"/>
        <v>4.9027073443398524E-2</v>
      </c>
      <c r="G42" s="241">
        <f t="shared" si="20"/>
        <v>4.3169835983018504E-2</v>
      </c>
      <c r="H42" s="241">
        <f t="shared" si="20"/>
        <v>5.0898166822319367E-2</v>
      </c>
      <c r="I42" s="241">
        <f t="shared" si="20"/>
        <v>2.399965280791598E-2</v>
      </c>
      <c r="J42" s="241">
        <f t="shared" si="20"/>
        <v>4.3138903753535657E-2</v>
      </c>
      <c r="K42" s="241">
        <f t="shared" si="20"/>
        <v>4.6391489528744438E-2</v>
      </c>
      <c r="L42" s="241">
        <f t="shared" si="20"/>
        <v>2.0619364291511361E-2</v>
      </c>
      <c r="M42" s="241">
        <f t="shared" si="20"/>
        <v>3.2390868570810395E-2</v>
      </c>
      <c r="N42" s="241">
        <f t="shared" si="20"/>
        <v>4.0877135416098401E-2</v>
      </c>
      <c r="O42" s="241">
        <f t="shared" si="20"/>
        <v>3.4359314618298102E-2</v>
      </c>
      <c r="P42" s="251">
        <f>M42</f>
        <v>3.2390868570810395E-2</v>
      </c>
    </row>
    <row r="43" spans="1:16" ht="21" customHeight="1">
      <c r="A43" s="117" t="s">
        <v>274</v>
      </c>
      <c r="B43" s="120"/>
      <c r="C43" s="129"/>
      <c r="D43" s="128">
        <f t="shared" ref="D43:P43" si="21">D40-D41</f>
        <v>322.53968253968253</v>
      </c>
      <c r="E43" s="128">
        <f t="shared" si="21"/>
        <v>351.86387434554973</v>
      </c>
      <c r="F43" s="128">
        <f t="shared" si="21"/>
        <v>329.74719101123594</v>
      </c>
      <c r="G43" s="128">
        <f t="shared" si="21"/>
        <v>487.61509347994809</v>
      </c>
      <c r="H43" s="128">
        <f t="shared" si="21"/>
        <v>1491.7658413764163</v>
      </c>
      <c r="I43" s="128">
        <f t="shared" si="21"/>
        <v>325.33815551537072</v>
      </c>
      <c r="J43" s="128">
        <f t="shared" si="21"/>
        <v>399.25677830940992</v>
      </c>
      <c r="K43" s="128">
        <f t="shared" si="21"/>
        <v>390.55787781350477</v>
      </c>
      <c r="L43" s="128">
        <f t="shared" si="21"/>
        <v>617.47530545604047</v>
      </c>
      <c r="M43" s="128">
        <f t="shared" si="21"/>
        <v>1732.6281170943259</v>
      </c>
      <c r="N43" s="128">
        <f t="shared" si="21"/>
        <v>1535.1868034639679</v>
      </c>
      <c r="O43" s="128">
        <f t="shared" si="21"/>
        <v>1683.2992427327936</v>
      </c>
      <c r="P43" s="128">
        <f t="shared" ca="1" si="21"/>
        <v>1848.5948019354641</v>
      </c>
    </row>
    <row r="44" spans="1:16" ht="21.75" customHeight="1">
      <c r="A44" s="117" t="s">
        <v>56</v>
      </c>
      <c r="B44" s="120"/>
      <c r="C44" s="120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</row>
    <row r="45" spans="1:16" ht="12.75" customHeight="1">
      <c r="A45" s="116"/>
      <c r="B45" s="120" t="s">
        <v>192</v>
      </c>
      <c r="C45" s="120"/>
      <c r="D45" s="110">
        <f>12*(1-D39)</f>
        <v>7.9047619047619051</v>
      </c>
      <c r="E45" s="110">
        <f>4*(1-E39)</f>
        <v>2.5759162303664924</v>
      </c>
      <c r="F45" s="110">
        <f>8*(1-F39)</f>
        <v>5.1086142322097379</v>
      </c>
      <c r="G45" s="125">
        <f>H45-D45-E45-F45</f>
        <v>14.176549009078148</v>
      </c>
      <c r="H45" s="110">
        <f>46*(1-H39)</f>
        <v>29.765841376416283</v>
      </c>
      <c r="I45" s="110">
        <f>10*(1-I39)</f>
        <v>5.9312839059674509</v>
      </c>
      <c r="J45" s="110">
        <f>6*(1-J39)</f>
        <v>3.9425837320574164</v>
      </c>
      <c r="K45" s="110">
        <f>6*(1-K39)</f>
        <v>3.906752411575563</v>
      </c>
      <c r="L45" s="125">
        <f>M45-I45-J45-K45</f>
        <v>9.8474970447255536</v>
      </c>
      <c r="M45" s="110">
        <f>37*(1-M39)</f>
        <v>23.628117094325983</v>
      </c>
      <c r="N45" s="125">
        <f t="shared" ref="N45:N46" si="22">H45+I45+J45*(72/84)-D45-E45*(72/84)</f>
        <v>28.96379266478548</v>
      </c>
      <c r="O45" s="111">
        <f>M45+(28/112)*G45-(33/119)*L45</f>
        <v>24.441435838394316</v>
      </c>
      <c r="P45" s="110">
        <v>0</v>
      </c>
    </row>
    <row r="46" spans="1:16" ht="12.75" customHeight="1">
      <c r="A46" s="116"/>
      <c r="B46" s="120" t="s">
        <v>58</v>
      </c>
      <c r="C46" s="120"/>
      <c r="D46" s="135">
        <f>4*(1-D39)</f>
        <v>2.6349206349206349</v>
      </c>
      <c r="E46" s="135">
        <f>2*(1-E39)</f>
        <v>1.2879581151832462</v>
      </c>
      <c r="F46" s="135">
        <f>1*(1-F39)</f>
        <v>0.63857677902621723</v>
      </c>
      <c r="G46" s="253">
        <f>H46-D46-E46-F46</f>
        <v>-4.5614555291300984</v>
      </c>
      <c r="H46" s="135">
        <v>0</v>
      </c>
      <c r="I46" s="135">
        <f>-1*(1-I39)</f>
        <v>-0.59312839059674505</v>
      </c>
      <c r="J46" s="135">
        <f>2*(1-J39)</f>
        <v>1.3141945773524721</v>
      </c>
      <c r="K46" s="135">
        <f>1*(1-K39)</f>
        <v>0.65112540192926049</v>
      </c>
      <c r="L46" s="253">
        <f>M46-I46-J46-K46</f>
        <v>-1.3721915886849876</v>
      </c>
      <c r="M46" s="135">
        <v>0</v>
      </c>
      <c r="N46" s="253">
        <f t="shared" si="22"/>
        <v>-3.2055606293723296</v>
      </c>
      <c r="O46" s="136">
        <f>M46+(28/112)*G46-(33/119)*L46</f>
        <v>-0.75984016441189772</v>
      </c>
      <c r="P46" s="135">
        <v>0</v>
      </c>
    </row>
    <row r="47" spans="1:16" ht="12.75" customHeight="1">
      <c r="A47" s="116"/>
      <c r="B47" s="117" t="s">
        <v>88</v>
      </c>
      <c r="C47" s="120"/>
      <c r="D47" s="139">
        <f>SUM(D45:D46)</f>
        <v>10.53968253968254</v>
      </c>
      <c r="E47" s="139">
        <f>SUM(E45:E46)</f>
        <v>3.8638743455497386</v>
      </c>
      <c r="F47" s="139">
        <f>SUM(F45:F46)</f>
        <v>5.7471910112359552</v>
      </c>
      <c r="G47" s="139">
        <f>SUM(G45:G46)</f>
        <v>9.6150934799480492</v>
      </c>
      <c r="H47" s="139">
        <f>SUM(H45:H46)</f>
        <v>29.765841376416283</v>
      </c>
      <c r="I47" s="139">
        <f t="shared" ref="I47:N47" si="23">SUM(I45:I46)</f>
        <v>5.3381555153707057</v>
      </c>
      <c r="J47" s="139">
        <f>SUM(J45:J46)</f>
        <v>5.2567783094098885</v>
      </c>
      <c r="K47" s="139">
        <f>SUM(K45:K46)</f>
        <v>4.5578778135048239</v>
      </c>
      <c r="L47" s="139">
        <f>SUM(L45:L46)</f>
        <v>8.4753054560405658</v>
      </c>
      <c r="M47" s="139">
        <f t="shared" si="23"/>
        <v>23.628117094325983</v>
      </c>
      <c r="N47" s="139">
        <f t="shared" si="23"/>
        <v>25.758232035413151</v>
      </c>
      <c r="O47" s="139">
        <f>SUM(O45:O46)</f>
        <v>23.681595673982418</v>
      </c>
      <c r="P47" s="139">
        <f>SUM(P45:P46)</f>
        <v>0</v>
      </c>
    </row>
    <row r="48" spans="1:16" ht="21" customHeight="1">
      <c r="A48" s="105" t="s">
        <v>275</v>
      </c>
      <c r="B48" s="105"/>
      <c r="C48" s="215"/>
      <c r="D48" s="140">
        <f t="shared" ref="D48:P48" si="24">D43-D47</f>
        <v>312</v>
      </c>
      <c r="E48" s="140">
        <f t="shared" si="24"/>
        <v>348</v>
      </c>
      <c r="F48" s="140">
        <f t="shared" si="24"/>
        <v>324</v>
      </c>
      <c r="G48" s="140">
        <f t="shared" si="24"/>
        <v>478.00000000000006</v>
      </c>
      <c r="H48" s="140">
        <f t="shared" si="24"/>
        <v>1462</v>
      </c>
      <c r="I48" s="140">
        <f t="shared" si="24"/>
        <v>320</v>
      </c>
      <c r="J48" s="140">
        <f t="shared" si="24"/>
        <v>394.00000000000006</v>
      </c>
      <c r="K48" s="140">
        <f t="shared" si="24"/>
        <v>385.99999999999994</v>
      </c>
      <c r="L48" s="140">
        <f t="shared" si="24"/>
        <v>608.99999999999989</v>
      </c>
      <c r="M48" s="140">
        <f t="shared" si="24"/>
        <v>1709</v>
      </c>
      <c r="N48" s="140">
        <f t="shared" si="24"/>
        <v>1509.4285714285547</v>
      </c>
      <c r="O48" s="140">
        <f t="shared" si="24"/>
        <v>1659.6176470588111</v>
      </c>
      <c r="P48" s="140">
        <f t="shared" ca="1" si="24"/>
        <v>1848.5948019354641</v>
      </c>
    </row>
    <row r="49" spans="1:16" ht="21" customHeight="1">
      <c r="A49" s="117" t="s">
        <v>279</v>
      </c>
      <c r="B49" s="120"/>
      <c r="C49" s="120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60"/>
      <c r="O49" s="144"/>
      <c r="P49" s="144"/>
    </row>
    <row r="50" spans="1:16" ht="12.75" customHeight="1">
      <c r="A50" s="116"/>
      <c r="B50" s="120" t="s">
        <v>4</v>
      </c>
      <c r="C50" s="120"/>
      <c r="D50" s="145">
        <f>D48/D56</f>
        <v>0.71873005927219369</v>
      </c>
      <c r="E50" s="145">
        <f>E48/E56</f>
        <v>0.79691858148492489</v>
      </c>
      <c r="F50" s="145">
        <f>F48/F56</f>
        <v>0.7414577883961857</v>
      </c>
      <c r="G50" s="145">
        <f>G48/G56</f>
        <v>1.0960311291184288</v>
      </c>
      <c r="H50" s="145">
        <f>H48/H56</f>
        <v>3.3522960476383736</v>
      </c>
      <c r="I50" s="145">
        <f t="shared" ref="I50:P50" si="25">I48/I56</f>
        <v>0.73695022361833351</v>
      </c>
      <c r="J50" s="145">
        <f>J48/J56</f>
        <v>0.90671637497554869</v>
      </c>
      <c r="K50" s="145">
        <f>K48/K56</f>
        <v>0.88982943399010106</v>
      </c>
      <c r="L50" s="145">
        <f>L48/L56</f>
        <v>1.4044555140445549</v>
      </c>
      <c r="M50" s="145">
        <f t="shared" si="25"/>
        <v>3.9412388727457222</v>
      </c>
      <c r="N50" s="145">
        <f>N48/N56</f>
        <v>3.4809938919527577</v>
      </c>
      <c r="O50" s="145">
        <f t="shared" si="25"/>
        <v>3.8273549353323442</v>
      </c>
      <c r="P50" s="145">
        <f t="shared" ca="1" si="25"/>
        <v>4.2631677550285136</v>
      </c>
    </row>
    <row r="51" spans="1:16" ht="12.75" customHeight="1">
      <c r="A51" s="116"/>
      <c r="B51" s="109" t="s">
        <v>5</v>
      </c>
      <c r="C51" s="120"/>
      <c r="D51" s="252">
        <f>D48/D57</f>
        <v>0.70690592713431211</v>
      </c>
      <c r="E51" s="252">
        <f>E48/E57</f>
        <v>0.78522335994368053</v>
      </c>
      <c r="F51" s="252">
        <f>F48/F57</f>
        <v>0.73043713506323693</v>
      </c>
      <c r="G51" s="252">
        <f>G48/G57</f>
        <v>1.0787778665475047</v>
      </c>
      <c r="H51" s="252">
        <f>H48/H57</f>
        <v>3.2995256085616145</v>
      </c>
      <c r="I51" s="252">
        <f t="shared" ref="I51:P51" si="26">I48/I57</f>
        <v>0.72625761719414905</v>
      </c>
      <c r="J51" s="252">
        <f>J48/J57</f>
        <v>0.89653854205539429</v>
      </c>
      <c r="K51" s="252">
        <f>K48/K57</f>
        <v>0.87893871565649428</v>
      </c>
      <c r="L51" s="252">
        <f>L48/L57</f>
        <v>1.3851203053178154</v>
      </c>
      <c r="M51" s="252">
        <f t="shared" si="26"/>
        <v>3.8869796416882547</v>
      </c>
      <c r="N51" s="252">
        <f>N48/N57</f>
        <v>3.4330708763752944</v>
      </c>
      <c r="O51" s="252">
        <f t="shared" si="26"/>
        <v>3.7746635500902062</v>
      </c>
      <c r="P51" s="252">
        <f t="shared" ca="1" si="26"/>
        <v>4.2044765130800936</v>
      </c>
    </row>
    <row r="52" spans="1:16" ht="21" customHeight="1">
      <c r="A52" s="117" t="s">
        <v>280</v>
      </c>
      <c r="B52" s="120"/>
      <c r="C52" s="120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</row>
    <row r="53" spans="1:16" ht="12.75" customHeight="1">
      <c r="A53" s="116"/>
      <c r="B53" s="120" t="s">
        <v>4</v>
      </c>
      <c r="C53" s="120"/>
      <c r="D53" s="145">
        <f>D43/D56</f>
        <v>0.74300950368391205</v>
      </c>
      <c r="E53" s="145">
        <f>E43/E56</f>
        <v>0.80576683798633719</v>
      </c>
      <c r="F53" s="145">
        <f>F43/F56</f>
        <v>0.75460994746001731</v>
      </c>
      <c r="G53" s="145">
        <f>G43/G56</f>
        <v>1.1180780784142585</v>
      </c>
      <c r="H53" s="145">
        <f>H43/H56</f>
        <v>3.4205476977073146</v>
      </c>
      <c r="I53" s="145">
        <f t="shared" ref="I53:P53" si="27">I43/I56</f>
        <v>0.74924383268321437</v>
      </c>
      <c r="J53" s="145">
        <f>J43/J56</f>
        <v>0.91881385460183851</v>
      </c>
      <c r="K53" s="145">
        <f>K43/K56</f>
        <v>0.9003365164641608</v>
      </c>
      <c r="L53" s="145">
        <f>L43/L56</f>
        <v>1.4240009811725485</v>
      </c>
      <c r="M53" s="145">
        <f t="shared" si="27"/>
        <v>3.9957292493296572</v>
      </c>
      <c r="N53" s="145">
        <f>N43/N56</f>
        <v>3.5403966686591204</v>
      </c>
      <c r="O53" s="145">
        <f t="shared" si="27"/>
        <v>3.881968642435297</v>
      </c>
      <c r="P53" s="145">
        <f t="shared" ca="1" si="27"/>
        <v>4.2631677550285136</v>
      </c>
    </row>
    <row r="54" spans="1:16" ht="12.75" customHeight="1">
      <c r="A54" s="116"/>
      <c r="B54" s="109" t="s">
        <v>5</v>
      </c>
      <c r="C54" s="120"/>
      <c r="D54" s="252">
        <f>D43/D57</f>
        <v>0.73078594013884923</v>
      </c>
      <c r="E54" s="252">
        <f>E43/E57</f>
        <v>0.79394176338049882</v>
      </c>
      <c r="F54" s="252">
        <f>F43/F57</f>
        <v>0.74339380709073188</v>
      </c>
      <c r="G54" s="252">
        <f>G43/G57</f>
        <v>1.1004777620097499</v>
      </c>
      <c r="H54" s="252">
        <f>H43/H57</f>
        <v>3.3667028697667232</v>
      </c>
      <c r="I54" s="252">
        <f t="shared" ref="I54:P54" si="28">I43/I57</f>
        <v>0.7383728550216645</v>
      </c>
      <c r="J54" s="252">
        <f>J43/J57</f>
        <v>0.9085002282519089</v>
      </c>
      <c r="K54" s="252">
        <f>K43/K57</f>
        <v>0.88931720081587551</v>
      </c>
      <c r="L54" s="252">
        <f>L43/L57</f>
        <v>1.4043966890303485</v>
      </c>
      <c r="M54" s="252">
        <f t="shared" si="28"/>
        <v>3.9407198465548849</v>
      </c>
      <c r="N54" s="252">
        <f>N43/N57</f>
        <v>3.4916558521081984</v>
      </c>
      <c r="O54" s="252">
        <f t="shared" si="28"/>
        <v>3.8285253875784813</v>
      </c>
      <c r="P54" s="252">
        <f t="shared" ca="1" si="28"/>
        <v>4.2044765130800936</v>
      </c>
    </row>
    <row r="55" spans="1:16" ht="21" customHeight="1">
      <c r="A55" s="117" t="s">
        <v>61</v>
      </c>
      <c r="B55" s="120"/>
      <c r="C55" s="240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57"/>
      <c r="O55" s="128"/>
      <c r="P55" s="128"/>
    </row>
    <row r="56" spans="1:16" ht="12.75" customHeight="1">
      <c r="A56" s="116"/>
      <c r="B56" s="120" t="s">
        <v>4</v>
      </c>
      <c r="C56" s="120"/>
      <c r="D56" s="146">
        <v>434.09899999999999</v>
      </c>
      <c r="E56" s="146">
        <v>436.68200000000002</v>
      </c>
      <c r="F56" s="146">
        <v>436.97699999999998</v>
      </c>
      <c r="G56" s="255">
        <f>H56</f>
        <v>436.11900000000003</v>
      </c>
      <c r="H56" s="146">
        <v>436.11900000000003</v>
      </c>
      <c r="I56" s="146">
        <v>434.22199999999998</v>
      </c>
      <c r="J56" s="146">
        <v>434.53500000000003</v>
      </c>
      <c r="K56" s="146">
        <v>433.791</v>
      </c>
      <c r="L56" s="255">
        <f>M56</f>
        <v>433.62</v>
      </c>
      <c r="M56" s="146">
        <v>433.62</v>
      </c>
      <c r="N56" s="255">
        <f>M56</f>
        <v>433.62</v>
      </c>
      <c r="O56" s="255">
        <f>N56</f>
        <v>433.62</v>
      </c>
      <c r="P56" s="259">
        <f>M56</f>
        <v>433.62</v>
      </c>
    </row>
    <row r="57" spans="1:16" ht="12.75" customHeight="1">
      <c r="A57" s="147"/>
      <c r="B57" s="148" t="s">
        <v>5</v>
      </c>
      <c r="C57" s="148"/>
      <c r="D57" s="149">
        <v>441.36</v>
      </c>
      <c r="E57" s="149">
        <v>443.18599999999998</v>
      </c>
      <c r="F57" s="149">
        <v>443.57</v>
      </c>
      <c r="G57" s="256">
        <f>H57</f>
        <v>443.09399999999999</v>
      </c>
      <c r="H57" s="149">
        <v>443.09399999999999</v>
      </c>
      <c r="I57" s="149">
        <v>440.61500000000001</v>
      </c>
      <c r="J57" s="149">
        <v>439.46800000000002</v>
      </c>
      <c r="K57" s="149">
        <v>439.166</v>
      </c>
      <c r="L57" s="256">
        <f>M57</f>
        <v>439.673</v>
      </c>
      <c r="M57" s="149">
        <v>439.673</v>
      </c>
      <c r="N57" s="256">
        <f>M57</f>
        <v>439.673</v>
      </c>
      <c r="O57" s="257">
        <f>N57</f>
        <v>439.673</v>
      </c>
      <c r="P57" s="260">
        <f>M57</f>
        <v>439.673</v>
      </c>
    </row>
    <row r="58" spans="1:16" ht="12.75" customHeight="1">
      <c r="O58" s="51"/>
    </row>
    <row r="59" spans="1:16" ht="12.75" customHeight="1">
      <c r="C59" s="93"/>
      <c r="D59" s="93"/>
      <c r="E59" s="91"/>
      <c r="F59" s="94"/>
      <c r="G59" s="91"/>
      <c r="H59" s="91"/>
      <c r="O59" s="51"/>
      <c r="P59" s="63"/>
    </row>
    <row r="60" spans="1:16" ht="18.75" customHeight="1">
      <c r="A60" s="804" t="s">
        <v>313</v>
      </c>
      <c r="B60" s="805"/>
      <c r="C60" s="805"/>
      <c r="D60" s="806"/>
      <c r="E60" s="95"/>
      <c r="O60" s="51"/>
      <c r="P60" s="26"/>
    </row>
    <row r="61" spans="1:16" ht="20.100000000000001" customHeight="1">
      <c r="A61" s="262" t="s">
        <v>175</v>
      </c>
      <c r="B61" s="262"/>
      <c r="C61" s="262"/>
      <c r="D61" s="266">
        <v>96.94</v>
      </c>
      <c r="E61" s="96"/>
      <c r="F61" s="51"/>
      <c r="O61" s="62"/>
    </row>
    <row r="62" spans="1:16" ht="20.100000000000001" customHeight="1">
      <c r="A62" s="267" t="s">
        <v>287</v>
      </c>
      <c r="B62" s="267"/>
      <c r="C62" s="268"/>
      <c r="D62" s="264">
        <v>432424379</v>
      </c>
      <c r="E62" s="92"/>
      <c r="F62" s="51"/>
      <c r="O62" s="61"/>
    </row>
    <row r="63" spans="1:16" ht="20.100000000000001" customHeight="1">
      <c r="A63" s="267" t="s">
        <v>285</v>
      </c>
      <c r="B63" s="267"/>
      <c r="C63" s="267"/>
      <c r="D63" s="264">
        <v>3161000</v>
      </c>
      <c r="E63" s="92"/>
      <c r="F63" s="51"/>
    </row>
    <row r="64" spans="1:16" ht="20.100000000000001" customHeight="1">
      <c r="A64" s="269" t="s">
        <v>283</v>
      </c>
      <c r="B64" s="269"/>
      <c r="C64" s="269"/>
      <c r="D64" s="266">
        <v>40.9</v>
      </c>
      <c r="E64" s="97"/>
      <c r="F64" s="51"/>
    </row>
    <row r="65" spans="1:6" ht="20.100000000000001" customHeight="1">
      <c r="A65" s="269" t="s">
        <v>284</v>
      </c>
      <c r="B65" s="269"/>
      <c r="C65" s="269"/>
      <c r="D65" s="265">
        <f>D63*D64</f>
        <v>129284900</v>
      </c>
      <c r="E65" s="97"/>
      <c r="F65" s="51"/>
    </row>
    <row r="66" spans="1:6" ht="20.100000000000001" customHeight="1">
      <c r="A66" s="267" t="s">
        <v>288</v>
      </c>
      <c r="B66" s="269"/>
      <c r="C66" s="269"/>
      <c r="D66" s="265">
        <f>+ROUNDDOWN(D65/D61,0)</f>
        <v>1333658</v>
      </c>
      <c r="E66" s="92"/>
      <c r="F66" s="51"/>
    </row>
    <row r="67" spans="1:6" ht="20.100000000000001" customHeight="1">
      <c r="A67" s="275" t="s">
        <v>289</v>
      </c>
      <c r="B67" s="274"/>
      <c r="C67" s="274"/>
      <c r="D67" s="276">
        <f>D63-D66</f>
        <v>1827342</v>
      </c>
      <c r="E67" s="92"/>
      <c r="F67" s="51"/>
    </row>
    <row r="68" spans="1:6" ht="20.100000000000001" customHeight="1">
      <c r="A68" s="270" t="s">
        <v>286</v>
      </c>
      <c r="B68" s="274"/>
      <c r="C68" s="274"/>
      <c r="D68" s="277">
        <f>D67+D62</f>
        <v>434251721</v>
      </c>
      <c r="E68"/>
      <c r="F68" s="51"/>
    </row>
    <row r="70" spans="1:6" ht="20.100000000000001" customHeight="1">
      <c r="A70" s="804" t="s">
        <v>290</v>
      </c>
      <c r="B70" s="805"/>
      <c r="C70" s="805"/>
      <c r="D70" s="806"/>
    </row>
    <row r="71" spans="1:6" ht="20.100000000000001" customHeight="1">
      <c r="A71" s="270" t="s">
        <v>176</v>
      </c>
      <c r="B71" s="271"/>
      <c r="C71" s="271"/>
      <c r="D71" s="273">
        <f>D68*D61/1000000</f>
        <v>42096.361833739997</v>
      </c>
    </row>
    <row r="72" spans="1:6" ht="20.100000000000001" customHeight="1">
      <c r="A72" s="262" t="s">
        <v>34</v>
      </c>
      <c r="B72" s="262"/>
      <c r="C72" s="262"/>
      <c r="D72" s="278">
        <v>0</v>
      </c>
    </row>
    <row r="73" spans="1:6" ht="20.100000000000001" customHeight="1">
      <c r="A73" s="262" t="s">
        <v>293</v>
      </c>
      <c r="B73" s="262"/>
      <c r="C73" s="262"/>
      <c r="D73" s="278">
        <v>1382</v>
      </c>
    </row>
    <row r="74" spans="1:6" ht="20.100000000000001" customHeight="1">
      <c r="A74" s="262" t="s">
        <v>291</v>
      </c>
      <c r="B74" s="262"/>
      <c r="C74" s="262"/>
      <c r="D74" s="278">
        <v>0</v>
      </c>
    </row>
    <row r="75" spans="1:6" ht="20.100000000000001" customHeight="1">
      <c r="A75" s="262" t="s">
        <v>177</v>
      </c>
      <c r="B75" s="262"/>
      <c r="C75" s="262"/>
      <c r="D75" s="278">
        <v>0</v>
      </c>
    </row>
    <row r="76" spans="1:6" ht="20.100000000000001" customHeight="1">
      <c r="A76" s="262" t="s">
        <v>292</v>
      </c>
      <c r="B76" s="262"/>
      <c r="C76" s="262"/>
      <c r="D76" s="278">
        <v>0</v>
      </c>
    </row>
    <row r="77" spans="1:6" ht="20.100000000000001" customHeight="1">
      <c r="A77" s="262" t="s">
        <v>178</v>
      </c>
      <c r="B77" s="262"/>
      <c r="C77" s="262"/>
      <c r="D77" s="278">
        <v>157</v>
      </c>
    </row>
    <row r="78" spans="1:6" ht="20.100000000000001" customHeight="1">
      <c r="A78" s="262" t="s">
        <v>179</v>
      </c>
      <c r="B78" s="262"/>
      <c r="C78" s="262"/>
      <c r="D78" s="278">
        <v>-3528</v>
      </c>
    </row>
    <row r="79" spans="1:6" ht="20.100000000000001" customHeight="1">
      <c r="A79" s="270" t="s">
        <v>180</v>
      </c>
      <c r="B79" s="272"/>
      <c r="C79" s="272"/>
      <c r="D79" s="263">
        <f>SUM(D71:D78)</f>
        <v>40107.361833739997</v>
      </c>
    </row>
  </sheetData>
  <mergeCells count="2">
    <mergeCell ref="A60:D60"/>
    <mergeCell ref="A70:D7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66CCFF"/>
  </sheetPr>
  <dimension ref="A1:AS69"/>
  <sheetViews>
    <sheetView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 outlineLevelCol="2"/>
  <cols>
    <col min="1" max="2" width="2.7109375" style="2" customWidth="1"/>
    <col min="3" max="3" width="37.5703125" style="2" bestFit="1" customWidth="1"/>
    <col min="4" max="4" width="13.42578125" style="4" bestFit="1" customWidth="1" outlineLevel="2"/>
    <col min="5" max="9" width="9.7109375" style="4" customWidth="1" outlineLevel="2"/>
    <col min="10" max="10" width="9.7109375" style="4" customWidth="1"/>
    <col min="11" max="11" width="9.140625" style="51"/>
    <col min="12" max="16" width="8.85546875"/>
    <col min="17" max="17" width="9.7109375" bestFit="1" customWidth="1"/>
    <col min="18" max="39" width="8.85546875" customWidth="1"/>
    <col min="40" max="16384" width="9.140625" style="51"/>
  </cols>
  <sheetData>
    <row r="1" spans="1:39" ht="58.5" customHeight="1">
      <c r="B1" s="34"/>
      <c r="C1" s="34"/>
      <c r="D1" s="35"/>
      <c r="E1" s="35"/>
      <c r="F1" s="35"/>
      <c r="G1" s="35"/>
      <c r="H1" s="35"/>
      <c r="I1" s="35"/>
      <c r="J1" s="35"/>
    </row>
    <row r="2" spans="1:39" ht="12.75" customHeight="1">
      <c r="A2" s="32" t="s">
        <v>270</v>
      </c>
      <c r="B2" s="42"/>
      <c r="C2" s="32"/>
      <c r="D2" s="33"/>
      <c r="E2" s="33"/>
      <c r="F2" s="33"/>
      <c r="G2" s="33"/>
      <c r="H2" s="33"/>
      <c r="I2" s="33"/>
      <c r="J2" s="33"/>
    </row>
    <row r="3" spans="1:39" ht="12.75" customHeight="1">
      <c r="A3" s="5"/>
      <c r="B3" s="7"/>
      <c r="C3" s="6"/>
      <c r="D3" s="43" t="s">
        <v>32</v>
      </c>
      <c r="E3" s="43"/>
      <c r="F3" s="43"/>
      <c r="G3" s="239"/>
      <c r="H3" s="239"/>
      <c r="I3" s="239"/>
      <c r="J3" s="46" t="s">
        <v>33</v>
      </c>
      <c r="K3"/>
    </row>
    <row r="4" spans="1:39" ht="12.75" customHeight="1">
      <c r="A4" s="5"/>
      <c r="B4" s="7"/>
      <c r="C4" s="6"/>
      <c r="D4" s="38"/>
      <c r="E4" s="38"/>
      <c r="F4" s="38"/>
      <c r="G4" s="38"/>
      <c r="H4" s="38"/>
      <c r="I4" s="38"/>
      <c r="J4" s="37"/>
    </row>
    <row r="5" spans="1:39" ht="12.75" customHeight="1">
      <c r="A5" s="39"/>
      <c r="B5" s="59"/>
      <c r="C5" s="40"/>
      <c r="D5" s="190" t="s">
        <v>262</v>
      </c>
      <c r="E5" s="49" t="s">
        <v>263</v>
      </c>
      <c r="F5" s="49">
        <v>2012</v>
      </c>
      <c r="G5" s="190" t="s">
        <v>265</v>
      </c>
      <c r="H5" s="190" t="s">
        <v>266</v>
      </c>
      <c r="I5" s="190" t="s">
        <v>190</v>
      </c>
      <c r="J5" s="50" t="s">
        <v>268</v>
      </c>
    </row>
    <row r="6" spans="1:39" s="55" customFormat="1" ht="21" customHeight="1">
      <c r="A6" s="105" t="s">
        <v>39</v>
      </c>
      <c r="B6" s="106"/>
      <c r="C6" s="215"/>
      <c r="D6" s="108"/>
      <c r="E6" s="108"/>
      <c r="F6" s="108"/>
      <c r="G6" s="108"/>
      <c r="H6" s="108"/>
      <c r="I6" s="108"/>
      <c r="J6" s="108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55" customFormat="1" ht="12.75">
      <c r="A7" s="109"/>
      <c r="B7" s="106"/>
      <c r="C7" s="107" t="s">
        <v>158</v>
      </c>
      <c r="D7" s="455">
        <v>103415</v>
      </c>
      <c r="E7" s="455">
        <v>108638</v>
      </c>
      <c r="F7" s="125">
        <f>'Income Statement'!F7</f>
        <v>443854</v>
      </c>
      <c r="G7" s="455">
        <v>112272</v>
      </c>
      <c r="H7" s="455">
        <v>113534</v>
      </c>
      <c r="I7" s="125"/>
      <c r="J7" s="125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55" customFormat="1" ht="12.75">
      <c r="A8" s="109"/>
      <c r="B8" s="106"/>
      <c r="C8" s="107"/>
      <c r="D8" s="455"/>
      <c r="E8" s="125"/>
      <c r="F8" s="125"/>
      <c r="G8" s="455"/>
      <c r="H8" s="455"/>
      <c r="I8" s="125"/>
      <c r="J8" s="125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55" customFormat="1" ht="12.75">
      <c r="A9" s="109"/>
      <c r="B9" s="106"/>
      <c r="C9" s="107" t="s">
        <v>191</v>
      </c>
      <c r="D9" s="455">
        <v>774</v>
      </c>
      <c r="E9" s="455">
        <v>728</v>
      </c>
      <c r="F9" s="125">
        <f>'Income Statement'!F9</f>
        <v>3096</v>
      </c>
      <c r="G9" s="455">
        <v>746</v>
      </c>
      <c r="H9" s="455">
        <v>762</v>
      </c>
      <c r="I9" s="125"/>
      <c r="J9" s="125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55" customFormat="1" ht="12.75">
      <c r="A10" s="109"/>
      <c r="B10" s="106"/>
      <c r="C10" s="107"/>
      <c r="D10" s="111"/>
      <c r="E10" s="111"/>
      <c r="F10" s="111"/>
      <c r="G10" s="111"/>
      <c r="H10" s="111"/>
      <c r="I10" s="111"/>
      <c r="J10" s="111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2.75" customHeight="1">
      <c r="A11" s="120"/>
      <c r="B11" s="117" t="s">
        <v>63</v>
      </c>
      <c r="C11" s="240"/>
      <c r="D11" s="128">
        <f>D9+D7</f>
        <v>104189</v>
      </c>
      <c r="E11" s="128">
        <f>E9+E7</f>
        <v>109366</v>
      </c>
      <c r="F11" s="128">
        <f>F9+F7</f>
        <v>446950</v>
      </c>
      <c r="G11" s="128">
        <f>G9+G7</f>
        <v>113018</v>
      </c>
      <c r="H11" s="128">
        <f>H9+H7</f>
        <v>114296</v>
      </c>
      <c r="I11" s="128">
        <f>F11+G11+H11-E11-D11</f>
        <v>460709</v>
      </c>
      <c r="J11" s="128">
        <f>'Income Statement'!G11</f>
        <v>473767</v>
      </c>
    </row>
    <row r="12" spans="1:39" ht="12.75" customHeight="1">
      <c r="A12" s="120"/>
      <c r="B12" s="120"/>
      <c r="C12" s="121" t="s">
        <v>40</v>
      </c>
      <c r="D12" s="122"/>
      <c r="E12" s="122"/>
      <c r="F12" s="122"/>
      <c r="G12" s="122"/>
      <c r="H12" s="122"/>
      <c r="I12" s="122"/>
      <c r="J12" s="122"/>
    </row>
    <row r="13" spans="1:39" ht="9" customHeight="1">
      <c r="A13" s="117"/>
      <c r="B13" s="120"/>
      <c r="C13" s="121"/>
      <c r="D13" s="122"/>
      <c r="E13" s="122"/>
      <c r="F13" s="122"/>
      <c r="G13" s="122"/>
      <c r="H13" s="122"/>
      <c r="I13" s="122"/>
      <c r="J13" s="122"/>
    </row>
    <row r="14" spans="1:39" ht="12.75" customHeight="1" collapsed="1">
      <c r="A14" s="117" t="s">
        <v>41</v>
      </c>
      <c r="B14" s="117"/>
      <c r="C14" s="118"/>
      <c r="D14" s="455">
        <v>78177</v>
      </c>
      <c r="E14" s="455">
        <v>81770</v>
      </c>
      <c r="F14" s="455">
        <f>'Income Statement'!F14</f>
        <v>335127</v>
      </c>
      <c r="G14" s="455">
        <v>85186</v>
      </c>
      <c r="H14" s="455">
        <v>85657</v>
      </c>
      <c r="I14" s="125">
        <f>F14+G14+H14-E14-D14</f>
        <v>346023</v>
      </c>
      <c r="J14" s="125">
        <f>'Income Statement'!G14</f>
        <v>355325.25</v>
      </c>
    </row>
    <row r="15" spans="1:39" ht="15" customHeight="1">
      <c r="A15" s="120"/>
      <c r="B15" s="246" t="s">
        <v>42</v>
      </c>
      <c r="C15" s="112"/>
      <c r="D15" s="242">
        <f t="shared" ref="D15:J15" si="0">D14/D11</f>
        <v>0.75033832746259199</v>
      </c>
      <c r="E15" s="242">
        <f t="shared" si="0"/>
        <v>0.74767295137428447</v>
      </c>
      <c r="F15" s="242">
        <f t="shared" si="0"/>
        <v>0.74980870343438866</v>
      </c>
      <c r="G15" s="242">
        <f t="shared" si="0"/>
        <v>0.75373834256490113</v>
      </c>
      <c r="H15" s="242">
        <f t="shared" si="0"/>
        <v>0.74943130118289358</v>
      </c>
      <c r="I15" s="242">
        <f t="shared" si="0"/>
        <v>0.75106629130318703</v>
      </c>
      <c r="J15" s="242">
        <f t="shared" si="0"/>
        <v>0.75</v>
      </c>
    </row>
    <row r="16" spans="1:39" ht="21" customHeight="1">
      <c r="A16" s="105" t="s">
        <v>62</v>
      </c>
      <c r="B16" s="105"/>
      <c r="C16" s="215"/>
      <c r="D16" s="140">
        <f t="shared" ref="D16:J16" si="1">D11-D14</f>
        <v>26012</v>
      </c>
      <c r="E16" s="140">
        <f t="shared" si="1"/>
        <v>27596</v>
      </c>
      <c r="F16" s="140">
        <f t="shared" si="1"/>
        <v>111823</v>
      </c>
      <c r="G16" s="140">
        <f t="shared" si="1"/>
        <v>27832</v>
      </c>
      <c r="H16" s="140">
        <f t="shared" si="1"/>
        <v>28639</v>
      </c>
      <c r="I16" s="140">
        <f t="shared" si="1"/>
        <v>114686</v>
      </c>
      <c r="J16" s="140">
        <f t="shared" si="1"/>
        <v>118441.75</v>
      </c>
    </row>
    <row r="17" spans="1:10" ht="12.75" customHeight="1">
      <c r="A17" s="120"/>
      <c r="B17" s="129" t="s">
        <v>43</v>
      </c>
      <c r="C17" s="121"/>
      <c r="D17" s="122">
        <f t="shared" ref="D17:J17" si="2">D16/D11</f>
        <v>0.24966167253740798</v>
      </c>
      <c r="E17" s="122">
        <f t="shared" si="2"/>
        <v>0.25232704862571548</v>
      </c>
      <c r="F17" s="122">
        <f t="shared" si="2"/>
        <v>0.25019129656561134</v>
      </c>
      <c r="G17" s="122">
        <f t="shared" si="2"/>
        <v>0.24626165743509884</v>
      </c>
      <c r="H17" s="122">
        <f t="shared" si="2"/>
        <v>0.25056869881710647</v>
      </c>
      <c r="I17" s="122">
        <f t="shared" si="2"/>
        <v>0.24893370869681294</v>
      </c>
      <c r="J17" s="122">
        <f t="shared" si="2"/>
        <v>0.25</v>
      </c>
    </row>
    <row r="18" spans="1:10" ht="21" customHeight="1">
      <c r="A18" s="117" t="s">
        <v>49</v>
      </c>
      <c r="B18" s="120"/>
      <c r="C18" s="120"/>
      <c r="D18" s="131"/>
      <c r="E18" s="131"/>
      <c r="F18" s="131"/>
      <c r="G18" s="131"/>
      <c r="H18" s="131"/>
      <c r="I18" s="131"/>
      <c r="J18" s="131"/>
    </row>
    <row r="19" spans="1:10" ht="12.75" customHeight="1">
      <c r="A19" s="120"/>
      <c r="B19" s="120" t="s">
        <v>44</v>
      </c>
      <c r="C19" s="120"/>
      <c r="D19" s="455">
        <f>20116-D24</f>
        <v>18131</v>
      </c>
      <c r="E19" s="455">
        <f>21213-E24</f>
        <v>17186</v>
      </c>
      <c r="F19" s="125">
        <f>'Income Statement'!F19</f>
        <v>77135</v>
      </c>
      <c r="G19" s="455">
        <f>21445-G24</f>
        <v>19339</v>
      </c>
      <c r="H19" s="455">
        <f>21941-H24</f>
        <v>17708</v>
      </c>
      <c r="I19" s="125">
        <f>F19+G19+H19-E19-D19</f>
        <v>78865</v>
      </c>
      <c r="J19" s="125">
        <f>'Income Statement'!G19</f>
        <v>81961.690999999992</v>
      </c>
    </row>
    <row r="20" spans="1:10" ht="12.75" customHeight="1">
      <c r="A20" s="120"/>
      <c r="B20" s="120"/>
      <c r="C20" s="121" t="s">
        <v>100</v>
      </c>
      <c r="D20" s="134">
        <f t="shared" ref="D20:J20" si="3">D19/D11</f>
        <v>0.17402029004981331</v>
      </c>
      <c r="E20" s="134">
        <f t="shared" si="3"/>
        <v>0.15714207340489733</v>
      </c>
      <c r="F20" s="134">
        <f t="shared" si="3"/>
        <v>0.17258082559570423</v>
      </c>
      <c r="G20" s="134">
        <f t="shared" si="3"/>
        <v>0.17111433576952345</v>
      </c>
      <c r="H20" s="134">
        <f t="shared" si="3"/>
        <v>0.15493105620494155</v>
      </c>
      <c r="I20" s="134">
        <f t="shared" si="3"/>
        <v>0.17118180890757506</v>
      </c>
      <c r="J20" s="134">
        <f t="shared" si="3"/>
        <v>0.17299999999999999</v>
      </c>
    </row>
    <row r="21" spans="1:10" ht="12.75" customHeight="1">
      <c r="A21" s="120"/>
      <c r="B21" s="105" t="s">
        <v>50</v>
      </c>
      <c r="C21" s="109"/>
      <c r="D21" s="245">
        <f t="shared" ref="D21:J21" si="4">D19</f>
        <v>18131</v>
      </c>
      <c r="E21" s="245">
        <f t="shared" si="4"/>
        <v>17186</v>
      </c>
      <c r="F21" s="245">
        <f t="shared" si="4"/>
        <v>77135</v>
      </c>
      <c r="G21" s="245">
        <f t="shared" si="4"/>
        <v>19339</v>
      </c>
      <c r="H21" s="245">
        <f t="shared" si="4"/>
        <v>17708</v>
      </c>
      <c r="I21" s="245">
        <f t="shared" si="4"/>
        <v>78865</v>
      </c>
      <c r="J21" s="245">
        <f t="shared" si="4"/>
        <v>81961.690999999992</v>
      </c>
    </row>
    <row r="22" spans="1:10" ht="21" customHeight="1" collapsed="1">
      <c r="A22" s="117" t="s">
        <v>2</v>
      </c>
      <c r="B22" s="117"/>
      <c r="C22" s="240"/>
      <c r="D22" s="128">
        <f t="shared" ref="D22:J22" si="5">D16-D21</f>
        <v>7881</v>
      </c>
      <c r="E22" s="128">
        <f t="shared" si="5"/>
        <v>10410</v>
      </c>
      <c r="F22" s="128">
        <f t="shared" si="5"/>
        <v>34688</v>
      </c>
      <c r="G22" s="128">
        <f t="shared" si="5"/>
        <v>8493</v>
      </c>
      <c r="H22" s="128">
        <f t="shared" si="5"/>
        <v>10931</v>
      </c>
      <c r="I22" s="128">
        <f t="shared" si="5"/>
        <v>35821</v>
      </c>
      <c r="J22" s="128">
        <f t="shared" si="5"/>
        <v>36480.059000000008</v>
      </c>
    </row>
    <row r="23" spans="1:10" ht="12.75" customHeight="1">
      <c r="A23" s="120"/>
      <c r="B23" s="129" t="s">
        <v>45</v>
      </c>
      <c r="C23" s="121"/>
      <c r="D23" s="122">
        <f t="shared" ref="D23:J23" si="6">D22/D11</f>
        <v>7.5641382487594666E-2</v>
      </c>
      <c r="E23" s="122">
        <f t="shared" si="6"/>
        <v>9.5184975220818174E-2</v>
      </c>
      <c r="F23" s="122">
        <f t="shared" si="6"/>
        <v>7.7610470969907142E-2</v>
      </c>
      <c r="G23" s="122">
        <f t="shared" si="6"/>
        <v>7.514732166557539E-2</v>
      </c>
      <c r="H23" s="122">
        <f t="shared" si="6"/>
        <v>9.5637642612164911E-2</v>
      </c>
      <c r="I23" s="122">
        <f t="shared" si="6"/>
        <v>7.7751899789237897E-2</v>
      </c>
      <c r="J23" s="122">
        <f t="shared" si="6"/>
        <v>7.7000000000000013E-2</v>
      </c>
    </row>
    <row r="24" spans="1:10" ht="21" customHeight="1">
      <c r="A24" s="120" t="s">
        <v>46</v>
      </c>
      <c r="B24" s="120"/>
      <c r="C24" s="120"/>
      <c r="D24" s="456">
        <v>1985</v>
      </c>
      <c r="E24" s="456">
        <v>4027</v>
      </c>
      <c r="F24" s="142">
        <f>'Income Statement'!F23</f>
        <v>8130</v>
      </c>
      <c r="G24" s="456">
        <v>2106</v>
      </c>
      <c r="H24" s="456">
        <v>4233</v>
      </c>
      <c r="I24" s="142">
        <f>F24+G24+H24-E24-D24</f>
        <v>8457</v>
      </c>
      <c r="J24" s="142">
        <f>'Income Statement'!G23</f>
        <v>8591.6632571428563</v>
      </c>
    </row>
    <row r="25" spans="1:10" ht="12.75">
      <c r="A25" s="120"/>
      <c r="B25" s="246" t="s">
        <v>187</v>
      </c>
      <c r="C25" s="109"/>
      <c r="D25" s="241">
        <f t="shared" ref="D25:J25" si="7">D24/D11</f>
        <v>1.9051915269366247E-2</v>
      </c>
      <c r="E25" s="241">
        <f t="shared" si="7"/>
        <v>3.6821315582539364E-2</v>
      </c>
      <c r="F25" s="241">
        <f t="shared" si="7"/>
        <v>1.8189954133571988E-2</v>
      </c>
      <c r="G25" s="241">
        <f t="shared" si="7"/>
        <v>1.8634199861968889E-2</v>
      </c>
      <c r="H25" s="241">
        <f t="shared" si="7"/>
        <v>3.7035416812486878E-2</v>
      </c>
      <c r="I25" s="241">
        <f t="shared" si="7"/>
        <v>1.8356489671354368E-2</v>
      </c>
      <c r="J25" s="241">
        <f t="shared" si="7"/>
        <v>1.813478620744555E-2</v>
      </c>
    </row>
    <row r="26" spans="1:10" ht="21" customHeight="1" collapsed="1">
      <c r="A26" s="117" t="s">
        <v>1</v>
      </c>
      <c r="B26" s="117"/>
      <c r="C26" s="240"/>
      <c r="D26" s="128">
        <f t="shared" ref="D26:J26" si="8">D22-D24</f>
        <v>5896</v>
      </c>
      <c r="E26" s="128">
        <f t="shared" si="8"/>
        <v>6383</v>
      </c>
      <c r="F26" s="128">
        <f t="shared" si="8"/>
        <v>26558</v>
      </c>
      <c r="G26" s="128">
        <f t="shared" si="8"/>
        <v>6387</v>
      </c>
      <c r="H26" s="128">
        <f t="shared" si="8"/>
        <v>6698</v>
      </c>
      <c r="I26" s="128">
        <f t="shared" si="8"/>
        <v>27364</v>
      </c>
      <c r="J26" s="128">
        <f t="shared" si="8"/>
        <v>27888.395742857152</v>
      </c>
    </row>
    <row r="27" spans="1:10" ht="12.75" customHeight="1">
      <c r="A27" s="120"/>
      <c r="B27" s="246" t="s">
        <v>47</v>
      </c>
      <c r="C27" s="246"/>
      <c r="D27" s="242">
        <f t="shared" ref="D27:J27" si="9">D26/D11</f>
        <v>5.6589467218228412E-2</v>
      </c>
      <c r="E27" s="242">
        <f t="shared" si="9"/>
        <v>5.836365963827881E-2</v>
      </c>
      <c r="F27" s="242">
        <f t="shared" si="9"/>
        <v>5.942051683633516E-2</v>
      </c>
      <c r="G27" s="242">
        <f t="shared" si="9"/>
        <v>5.6513121803606507E-2</v>
      </c>
      <c r="H27" s="242">
        <f t="shared" si="9"/>
        <v>5.8602225799678026E-2</v>
      </c>
      <c r="I27" s="242">
        <f t="shared" si="9"/>
        <v>5.9395410117883525E-2</v>
      </c>
      <c r="J27" s="242">
        <f t="shared" si="9"/>
        <v>5.8865213792554466E-2</v>
      </c>
    </row>
    <row r="28" spans="1:10" ht="21" customHeight="1">
      <c r="A28" s="117" t="s">
        <v>51</v>
      </c>
      <c r="B28" s="120"/>
      <c r="C28" s="118"/>
      <c r="D28" s="125"/>
      <c r="E28" s="125"/>
      <c r="F28" s="125"/>
      <c r="G28" s="125"/>
      <c r="H28" s="125"/>
      <c r="I28" s="125"/>
      <c r="J28" s="125"/>
    </row>
    <row r="29" spans="1:10" ht="12.75" customHeight="1">
      <c r="A29" s="120"/>
      <c r="B29" s="120" t="s">
        <v>13</v>
      </c>
      <c r="C29" s="120"/>
      <c r="D29" s="457">
        <v>0</v>
      </c>
      <c r="E29" s="457">
        <v>0</v>
      </c>
      <c r="F29" s="457">
        <v>0</v>
      </c>
      <c r="G29" s="457">
        <v>0</v>
      </c>
      <c r="H29" s="457">
        <v>0</v>
      </c>
      <c r="I29" s="111">
        <f>F29+G29+H29-E29-D29</f>
        <v>0</v>
      </c>
      <c r="J29" s="111">
        <v>0</v>
      </c>
    </row>
    <row r="30" spans="1:10" ht="12.75" customHeight="1">
      <c r="A30" s="120"/>
      <c r="B30" s="120" t="s">
        <v>193</v>
      </c>
      <c r="C30" s="120"/>
      <c r="D30" s="458">
        <v>0</v>
      </c>
      <c r="E30" s="458">
        <v>0</v>
      </c>
      <c r="F30" s="458">
        <v>0</v>
      </c>
      <c r="G30" s="459">
        <v>0</v>
      </c>
      <c r="H30" s="459">
        <v>0</v>
      </c>
      <c r="I30" s="231">
        <f>F30+G30+H30-E30-D30</f>
        <v>0</v>
      </c>
      <c r="J30" s="231">
        <v>0</v>
      </c>
    </row>
    <row r="31" spans="1:10" ht="12.75" customHeight="1">
      <c r="A31" s="120"/>
      <c r="B31" s="117" t="s">
        <v>271</v>
      </c>
      <c r="C31" s="120"/>
      <c r="D31" s="108">
        <f t="shared" ref="D31:J31" si="10">SUM(D29:D30)</f>
        <v>0</v>
      </c>
      <c r="E31" s="108">
        <f t="shared" si="10"/>
        <v>0</v>
      </c>
      <c r="F31" s="108">
        <f t="shared" si="10"/>
        <v>0</v>
      </c>
      <c r="G31" s="108">
        <f t="shared" si="10"/>
        <v>0</v>
      </c>
      <c r="H31" s="108">
        <f t="shared" si="10"/>
        <v>0</v>
      </c>
      <c r="I31" s="108">
        <f t="shared" si="10"/>
        <v>0</v>
      </c>
      <c r="J31" s="108">
        <f t="shared" si="10"/>
        <v>0</v>
      </c>
    </row>
    <row r="32" spans="1:10" ht="21" customHeight="1">
      <c r="A32" s="117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</row>
    <row r="33" spans="1:11" ht="12.75" customHeight="1">
      <c r="A33" s="120"/>
      <c r="B33" s="120" t="s">
        <v>165</v>
      </c>
      <c r="C33" s="120"/>
      <c r="D33" s="125"/>
      <c r="E33" s="125"/>
      <c r="F33" s="125"/>
      <c r="G33" s="125"/>
      <c r="H33" s="125"/>
      <c r="I33" s="125"/>
      <c r="J33" s="125"/>
    </row>
    <row r="34" spans="1:11" ht="12.75" customHeight="1">
      <c r="A34" s="120"/>
      <c r="B34" s="120" t="s">
        <v>48</v>
      </c>
      <c r="C34" s="120"/>
      <c r="D34" s="231"/>
      <c r="E34" s="231"/>
      <c r="F34" s="231"/>
      <c r="G34" s="254"/>
      <c r="H34" s="254"/>
      <c r="I34" s="231"/>
      <c r="J34" s="231"/>
    </row>
    <row r="35" spans="1:11" ht="12.75" customHeight="1">
      <c r="A35" s="120"/>
      <c r="B35" s="117" t="s">
        <v>86</v>
      </c>
      <c r="C35" s="120"/>
      <c r="D35" s="460">
        <v>518</v>
      </c>
      <c r="E35" s="460">
        <v>578</v>
      </c>
      <c r="F35" s="138">
        <f>'Income Statement'!F30</f>
        <v>2160</v>
      </c>
      <c r="G35" s="460">
        <v>535</v>
      </c>
      <c r="H35" s="460">
        <v>505</v>
      </c>
      <c r="I35" s="138">
        <f>F35+G35+H35-E35-D35</f>
        <v>2104</v>
      </c>
      <c r="J35" s="138">
        <f ca="1">'Income Statement'!G30</f>
        <v>2196.9913764955959</v>
      </c>
    </row>
    <row r="36" spans="1:11" ht="21" customHeight="1" collapsed="1">
      <c r="A36" s="117" t="s">
        <v>273</v>
      </c>
      <c r="B36" s="117"/>
      <c r="C36" s="120"/>
      <c r="D36" s="128">
        <f t="shared" ref="D36:J36" si="11">D26-D31-D35</f>
        <v>5378</v>
      </c>
      <c r="E36" s="128">
        <f t="shared" si="11"/>
        <v>5805</v>
      </c>
      <c r="F36" s="128">
        <f t="shared" si="11"/>
        <v>24398</v>
      </c>
      <c r="G36" s="128">
        <f t="shared" si="11"/>
        <v>5852</v>
      </c>
      <c r="H36" s="128">
        <f t="shared" si="11"/>
        <v>6193</v>
      </c>
      <c r="I36" s="128">
        <f t="shared" si="11"/>
        <v>25260</v>
      </c>
      <c r="J36" s="128">
        <f t="shared" ca="1" si="11"/>
        <v>25691.404366361556</v>
      </c>
    </row>
    <row r="37" spans="1:11" ht="12.75" customHeight="1">
      <c r="A37" s="120"/>
      <c r="B37" s="129" t="s">
        <v>54</v>
      </c>
      <c r="C37" s="121"/>
      <c r="D37" s="122">
        <f t="shared" ref="D37:J37" si="12">D36/D11</f>
        <v>5.1617733158010923E-2</v>
      </c>
      <c r="E37" s="122">
        <f t="shared" si="12"/>
        <v>5.3078653329188229E-2</v>
      </c>
      <c r="F37" s="122">
        <f t="shared" si="12"/>
        <v>5.4587761494574338E-2</v>
      </c>
      <c r="G37" s="122">
        <f t="shared" si="12"/>
        <v>5.1779362579412132E-2</v>
      </c>
      <c r="H37" s="122">
        <f t="shared" si="12"/>
        <v>5.4183873451389378E-2</v>
      </c>
      <c r="I37" s="122">
        <f t="shared" si="12"/>
        <v>5.4828536017312447E-2</v>
      </c>
      <c r="J37" s="122">
        <f t="shared" ca="1" si="12"/>
        <v>5.4227931380534222E-2</v>
      </c>
    </row>
    <row r="38" spans="1:11" ht="21" customHeight="1">
      <c r="A38" s="120" t="s">
        <v>55</v>
      </c>
      <c r="B38" s="120"/>
      <c r="C38" s="120"/>
      <c r="D38" s="455">
        <v>1800</v>
      </c>
      <c r="E38" s="455">
        <v>1868</v>
      </c>
      <c r="F38" s="125">
        <f>'Income Statement'!F33</f>
        <v>7944</v>
      </c>
      <c r="G38" s="455">
        <v>1958</v>
      </c>
      <c r="H38" s="455">
        <v>2032</v>
      </c>
      <c r="I38" s="125">
        <f>F38+G38+H38-E38-D38</f>
        <v>8266</v>
      </c>
      <c r="J38" s="125">
        <f ca="1">'Income Statement'!G33</f>
        <v>8478.1634408993141</v>
      </c>
    </row>
    <row r="39" spans="1:11" ht="12.75" customHeight="1">
      <c r="A39" s="120"/>
      <c r="B39" s="129" t="s">
        <v>272</v>
      </c>
      <c r="C39" s="121"/>
      <c r="D39" s="241">
        <f t="shared" ref="D39:I39" si="13">D38/D36</f>
        <v>0.33469691335068796</v>
      </c>
      <c r="E39" s="241">
        <f t="shared" si="13"/>
        <v>0.32179155900086132</v>
      </c>
      <c r="F39" s="241">
        <f t="shared" si="13"/>
        <v>0.3256004590540208</v>
      </c>
      <c r="G39" s="241">
        <f t="shared" si="13"/>
        <v>0.33458646616541354</v>
      </c>
      <c r="H39" s="241">
        <f t="shared" si="13"/>
        <v>0.32811238495075085</v>
      </c>
      <c r="I39" s="241">
        <f t="shared" si="13"/>
        <v>0.32723673792557401</v>
      </c>
      <c r="J39" s="241">
        <f>841/2383</f>
        <v>0.35291649181703733</v>
      </c>
    </row>
    <row r="40" spans="1:11" ht="21" customHeight="1">
      <c r="A40" s="117" t="s">
        <v>278</v>
      </c>
      <c r="B40" s="117"/>
      <c r="C40" s="120"/>
      <c r="D40" s="128">
        <f t="shared" ref="D40:J40" si="14">D36-D38</f>
        <v>3578</v>
      </c>
      <c r="E40" s="128">
        <f t="shared" si="14"/>
        <v>3937</v>
      </c>
      <c r="F40" s="128">
        <f t="shared" si="14"/>
        <v>16454</v>
      </c>
      <c r="G40" s="128">
        <f t="shared" si="14"/>
        <v>3894</v>
      </c>
      <c r="H40" s="128">
        <f t="shared" si="14"/>
        <v>4161</v>
      </c>
      <c r="I40" s="128">
        <f t="shared" si="14"/>
        <v>16994</v>
      </c>
      <c r="J40" s="128">
        <f t="shared" ca="1" si="14"/>
        <v>17213.24092546224</v>
      </c>
    </row>
    <row r="41" spans="1:11" ht="12.75" customHeight="1">
      <c r="A41" s="120"/>
      <c r="B41" s="120" t="s">
        <v>276</v>
      </c>
      <c r="C41" s="120"/>
      <c r="D41" s="456">
        <v>151</v>
      </c>
      <c r="E41" s="456">
        <v>136</v>
      </c>
      <c r="F41" s="142">
        <f>-'Income Statement'!F42</f>
        <v>688</v>
      </c>
      <c r="G41" s="456">
        <v>152</v>
      </c>
      <c r="H41" s="456">
        <v>145</v>
      </c>
      <c r="I41" s="142">
        <f>F41+G41+H41-E41-D41</f>
        <v>698</v>
      </c>
      <c r="J41" s="142">
        <f ca="1">-'Income Statement'!G42</f>
        <v>722.95611886941413</v>
      </c>
      <c r="K41" s="463"/>
    </row>
    <row r="42" spans="1:11" ht="12.75" customHeight="1">
      <c r="A42" s="120"/>
      <c r="B42" s="120"/>
      <c r="C42" s="129" t="s">
        <v>277</v>
      </c>
      <c r="D42" s="241">
        <f t="shared" ref="D42:J42" si="15">D41/D40</f>
        <v>4.2202347680268308E-2</v>
      </c>
      <c r="E42" s="241">
        <f t="shared" si="15"/>
        <v>3.4544069088138174E-2</v>
      </c>
      <c r="F42" s="241">
        <f t="shared" si="15"/>
        <v>4.1813540780357358E-2</v>
      </c>
      <c r="G42" s="241">
        <f t="shared" si="15"/>
        <v>3.9034411915767848E-2</v>
      </c>
      <c r="H42" s="241">
        <f t="shared" si="15"/>
        <v>3.484739245373708E-2</v>
      </c>
      <c r="I42" s="241">
        <f t="shared" si="15"/>
        <v>4.1073319995292457E-2</v>
      </c>
      <c r="J42" s="241">
        <f t="shared" ca="1" si="15"/>
        <v>4.2000000000000003E-2</v>
      </c>
    </row>
    <row r="43" spans="1:11" ht="21" customHeight="1">
      <c r="A43" s="117" t="s">
        <v>274</v>
      </c>
      <c r="B43" s="120"/>
      <c r="C43" s="129"/>
      <c r="D43" s="128">
        <f t="shared" ref="D43:J43" si="16">D40-D41</f>
        <v>3427</v>
      </c>
      <c r="E43" s="128">
        <f t="shared" si="16"/>
        <v>3801</v>
      </c>
      <c r="F43" s="128">
        <f t="shared" si="16"/>
        <v>15766</v>
      </c>
      <c r="G43" s="128">
        <f t="shared" si="16"/>
        <v>3742</v>
      </c>
      <c r="H43" s="128">
        <f t="shared" si="16"/>
        <v>4016</v>
      </c>
      <c r="I43" s="128">
        <f t="shared" si="16"/>
        <v>16296</v>
      </c>
      <c r="J43" s="128">
        <f t="shared" ca="1" si="16"/>
        <v>16490.284806592826</v>
      </c>
    </row>
    <row r="44" spans="1:11" ht="21.75" customHeight="1">
      <c r="A44" s="117" t="s">
        <v>56</v>
      </c>
      <c r="B44" s="120"/>
      <c r="C44" s="120"/>
      <c r="D44" s="131"/>
      <c r="E44" s="131"/>
      <c r="F44" s="131"/>
      <c r="G44" s="131"/>
      <c r="H44" s="131"/>
      <c r="I44" s="131"/>
      <c r="J44" s="131"/>
    </row>
    <row r="45" spans="1:11" ht="12.75" customHeight="1">
      <c r="A45" s="120"/>
      <c r="B45" s="120" t="s">
        <v>309</v>
      </c>
      <c r="C45" s="120"/>
      <c r="D45" s="455">
        <v>28</v>
      </c>
      <c r="E45" s="455">
        <v>0</v>
      </c>
      <c r="F45" s="455">
        <v>0</v>
      </c>
      <c r="G45" s="455">
        <v>0</v>
      </c>
      <c r="H45" s="455">
        <v>0</v>
      </c>
      <c r="I45" s="455">
        <f>F45+G45+H45-E45-D45</f>
        <v>-28</v>
      </c>
      <c r="J45" s="455">
        <v>0</v>
      </c>
    </row>
    <row r="46" spans="1:11" ht="12.75" customHeight="1">
      <c r="A46" s="120"/>
      <c r="B46" s="120" t="s">
        <v>58</v>
      </c>
      <c r="C46" s="120"/>
      <c r="D46" s="461">
        <v>0</v>
      </c>
      <c r="E46" s="461">
        <v>0</v>
      </c>
      <c r="F46" s="461">
        <v>0</v>
      </c>
      <c r="G46" s="462">
        <v>0</v>
      </c>
      <c r="H46" s="462">
        <v>0</v>
      </c>
      <c r="I46" s="461">
        <f>F46+G46+H46-E46-D46</f>
        <v>0</v>
      </c>
      <c r="J46" s="461">
        <v>0</v>
      </c>
    </row>
    <row r="47" spans="1:11" ht="12.75" customHeight="1">
      <c r="A47" s="120"/>
      <c r="B47" s="117" t="s">
        <v>88</v>
      </c>
      <c r="C47" s="120"/>
      <c r="D47" s="139">
        <f t="shared" ref="D47:J47" si="17">SUM(D45:D46)</f>
        <v>28</v>
      </c>
      <c r="E47" s="139">
        <f t="shared" si="17"/>
        <v>0</v>
      </c>
      <c r="F47" s="139">
        <f t="shared" si="17"/>
        <v>0</v>
      </c>
      <c r="G47" s="139">
        <f t="shared" si="17"/>
        <v>0</v>
      </c>
      <c r="H47" s="139">
        <f t="shared" si="17"/>
        <v>0</v>
      </c>
      <c r="I47" s="139">
        <f t="shared" si="17"/>
        <v>-28</v>
      </c>
      <c r="J47" s="139">
        <f t="shared" si="17"/>
        <v>0</v>
      </c>
    </row>
    <row r="48" spans="1:11" ht="21" customHeight="1">
      <c r="A48" s="105" t="s">
        <v>275</v>
      </c>
      <c r="B48" s="105"/>
      <c r="C48" s="215"/>
      <c r="D48" s="140">
        <f t="shared" ref="D48:J48" si="18">D43-D47</f>
        <v>3399</v>
      </c>
      <c r="E48" s="140">
        <f t="shared" si="18"/>
        <v>3801</v>
      </c>
      <c r="F48" s="140">
        <f t="shared" si="18"/>
        <v>15766</v>
      </c>
      <c r="G48" s="140">
        <f t="shared" si="18"/>
        <v>3742</v>
      </c>
      <c r="H48" s="140">
        <f t="shared" si="18"/>
        <v>4016</v>
      </c>
      <c r="I48" s="140">
        <f t="shared" si="18"/>
        <v>16324</v>
      </c>
      <c r="J48" s="140">
        <f t="shared" ca="1" si="18"/>
        <v>16490.284806592826</v>
      </c>
    </row>
    <row r="49" spans="1:45" ht="21" customHeight="1">
      <c r="A49" s="117" t="s">
        <v>279</v>
      </c>
      <c r="B49" s="120"/>
      <c r="C49" s="120"/>
      <c r="D49" s="144"/>
      <c r="E49" s="144"/>
      <c r="F49" s="144"/>
      <c r="G49" s="144"/>
      <c r="H49" s="144"/>
      <c r="I49" s="144"/>
      <c r="J49" s="144"/>
    </row>
    <row r="50" spans="1:45" ht="12.75" customHeight="1">
      <c r="A50" s="120"/>
      <c r="B50" s="120" t="s">
        <v>4</v>
      </c>
      <c r="C50" s="120"/>
      <c r="D50" s="145">
        <f t="shared" ref="D50:J50" si="19">D48/D56</f>
        <v>0.97197597941092362</v>
      </c>
      <c r="E50" s="145">
        <f t="shared" si="19"/>
        <v>1.094758064516129</v>
      </c>
      <c r="F50" s="145">
        <f t="shared" si="19"/>
        <v>4.6902457872552814</v>
      </c>
      <c r="G50" s="145">
        <f t="shared" si="19"/>
        <v>1.0976826048694632</v>
      </c>
      <c r="H50" s="145">
        <f t="shared" si="19"/>
        <v>1.1867612293144207</v>
      </c>
      <c r="I50" s="145">
        <f t="shared" si="19"/>
        <v>4.8238770685579198</v>
      </c>
      <c r="J50" s="145">
        <f t="shared" ca="1" si="19"/>
        <v>4.9057141218293658</v>
      </c>
    </row>
    <row r="51" spans="1:45" ht="12.75" customHeight="1">
      <c r="A51" s="120"/>
      <c r="B51" s="109" t="s">
        <v>5</v>
      </c>
      <c r="C51" s="120"/>
      <c r="D51" s="252">
        <f t="shared" ref="D51:J51" si="20">D48/D57</f>
        <v>0.96754910333048672</v>
      </c>
      <c r="E51" s="252">
        <f t="shared" si="20"/>
        <v>1.0906743185078909</v>
      </c>
      <c r="F51" s="252">
        <f t="shared" si="20"/>
        <v>4.5382843983880257</v>
      </c>
      <c r="G51" s="252">
        <f t="shared" si="20"/>
        <v>1.0925547445255475</v>
      </c>
      <c r="H51" s="252">
        <f t="shared" si="20"/>
        <v>1.1818716892289582</v>
      </c>
      <c r="I51" s="252">
        <f t="shared" si="20"/>
        <v>4.8040023543260739</v>
      </c>
      <c r="J51" s="252">
        <f t="shared" ca="1" si="20"/>
        <v>4.8994512513257291</v>
      </c>
    </row>
    <row r="52" spans="1:45" ht="21" customHeight="1">
      <c r="A52" s="117" t="s">
        <v>280</v>
      </c>
      <c r="B52" s="120"/>
      <c r="C52" s="120"/>
      <c r="D52" s="144"/>
      <c r="E52" s="144"/>
      <c r="F52" s="144"/>
      <c r="G52" s="144"/>
      <c r="H52" s="144"/>
      <c r="I52" s="144"/>
      <c r="J52" s="144"/>
    </row>
    <row r="53" spans="1:45" ht="12.75" customHeight="1">
      <c r="A53" s="120"/>
      <c r="B53" s="120" t="s">
        <v>4</v>
      </c>
      <c r="C53" s="120"/>
      <c r="D53" s="145">
        <f t="shared" ref="D53:J53" si="21">D43/D56</f>
        <v>0.97998284243637401</v>
      </c>
      <c r="E53" s="145">
        <f t="shared" si="21"/>
        <v>1.094758064516129</v>
      </c>
      <c r="F53" s="145">
        <f t="shared" si="21"/>
        <v>4.6902457872552814</v>
      </c>
      <c r="G53" s="145">
        <f t="shared" si="21"/>
        <v>1.0976826048694632</v>
      </c>
      <c r="H53" s="145">
        <f t="shared" si="21"/>
        <v>1.1867612293144207</v>
      </c>
      <c r="I53" s="145">
        <f t="shared" si="21"/>
        <v>4.8156028368794326</v>
      </c>
      <c r="J53" s="145">
        <f t="shared" ca="1" si="21"/>
        <v>4.9057141218293658</v>
      </c>
    </row>
    <row r="54" spans="1:45" ht="12.75" customHeight="1">
      <c r="A54" s="120"/>
      <c r="B54" s="109" t="s">
        <v>5</v>
      </c>
      <c r="C54" s="120"/>
      <c r="D54" s="252">
        <f t="shared" ref="D54:J54" si="22">D43/D57</f>
        <v>0.9755194990037005</v>
      </c>
      <c r="E54" s="252">
        <f t="shared" si="22"/>
        <v>1.0906743185078909</v>
      </c>
      <c r="F54" s="252">
        <f t="shared" si="22"/>
        <v>4.5382843983880257</v>
      </c>
      <c r="G54" s="252">
        <f t="shared" si="22"/>
        <v>1.0925547445255475</v>
      </c>
      <c r="H54" s="252">
        <f t="shared" si="22"/>
        <v>1.1818716892289582</v>
      </c>
      <c r="I54" s="252">
        <f t="shared" si="22"/>
        <v>4.7957622130665101</v>
      </c>
      <c r="J54" s="252">
        <f t="shared" ca="1" si="22"/>
        <v>4.8994512513257291</v>
      </c>
    </row>
    <row r="55" spans="1:45" ht="21" customHeight="1">
      <c r="A55" s="117" t="s">
        <v>61</v>
      </c>
      <c r="B55" s="120"/>
      <c r="C55" s="240"/>
      <c r="D55" s="128"/>
      <c r="E55" s="128"/>
      <c r="F55" s="128"/>
      <c r="G55" s="128"/>
      <c r="H55" s="128"/>
      <c r="I55" s="128"/>
      <c r="J55" s="128"/>
    </row>
    <row r="56" spans="1:45" ht="12.75" customHeight="1">
      <c r="A56" s="120"/>
      <c r="B56" s="120" t="s">
        <v>4</v>
      </c>
      <c r="C56" s="120"/>
      <c r="D56" s="464">
        <v>3497</v>
      </c>
      <c r="E56" s="464">
        <v>3472</v>
      </c>
      <c r="F56" s="255">
        <f>'Income Statement'!G49</f>
        <v>3361.4443070000002</v>
      </c>
      <c r="G56" s="464">
        <v>3409</v>
      </c>
      <c r="H56" s="464">
        <v>3384</v>
      </c>
      <c r="I56" s="255">
        <f>H56</f>
        <v>3384</v>
      </c>
      <c r="J56" s="255">
        <f>'Income Statement'!G49</f>
        <v>3361.4443070000002</v>
      </c>
    </row>
    <row r="57" spans="1:45" ht="12.75" customHeight="1">
      <c r="A57" s="148"/>
      <c r="B57" s="148" t="s">
        <v>5</v>
      </c>
      <c r="C57" s="148"/>
      <c r="D57" s="466">
        <v>3513</v>
      </c>
      <c r="E57" s="466">
        <v>3485</v>
      </c>
      <c r="F57" s="257">
        <f>'Income Statement'!F50</f>
        <v>3474</v>
      </c>
      <c r="G57" s="465">
        <v>3425</v>
      </c>
      <c r="H57" s="465">
        <v>3398</v>
      </c>
      <c r="I57" s="256">
        <f>H57</f>
        <v>3398</v>
      </c>
      <c r="J57" s="257">
        <f>'Income Statement'!G50</f>
        <v>3365.7411739999998</v>
      </c>
    </row>
    <row r="58" spans="1:45" ht="12.75" customHeight="1"/>
    <row r="59" spans="1:45" ht="20.100000000000001" customHeight="1">
      <c r="A59" s="804" t="s">
        <v>303</v>
      </c>
      <c r="B59" s="805"/>
      <c r="C59" s="805"/>
      <c r="D59" s="806"/>
      <c r="K59" s="4"/>
      <c r="L59" s="4"/>
      <c r="M59" s="4"/>
      <c r="N59" s="4"/>
      <c r="O59" s="2"/>
      <c r="P59" s="51"/>
      <c r="Q59" s="51"/>
      <c r="AN59"/>
      <c r="AO59"/>
      <c r="AP59"/>
      <c r="AQ59"/>
      <c r="AR59"/>
      <c r="AS59"/>
    </row>
    <row r="60" spans="1:45" ht="20.100000000000001" customHeight="1">
      <c r="A60" s="270" t="s">
        <v>176</v>
      </c>
      <c r="B60" s="271"/>
      <c r="C60" s="271"/>
      <c r="D60" s="273">
        <f>'Income Statement'!D61/1000000*'Income Statement'!D54</f>
        <v>248459.01346467997</v>
      </c>
      <c r="K60" s="4"/>
      <c r="L60" s="4"/>
      <c r="M60" s="4"/>
      <c r="N60" s="4"/>
      <c r="O60" s="2"/>
      <c r="P60" s="51"/>
      <c r="Q60" s="51"/>
      <c r="AN60"/>
      <c r="AO60"/>
      <c r="AP60"/>
      <c r="AQ60"/>
      <c r="AR60"/>
      <c r="AS60"/>
    </row>
    <row r="61" spans="1:45" ht="20.100000000000001" customHeight="1">
      <c r="A61" s="262" t="s">
        <v>34</v>
      </c>
      <c r="B61" s="262"/>
      <c r="C61" s="262"/>
      <c r="D61" s="278">
        <v>6091</v>
      </c>
      <c r="K61" s="4"/>
      <c r="L61" s="4"/>
      <c r="M61" s="4"/>
      <c r="N61" s="4"/>
      <c r="O61" s="2"/>
      <c r="P61" s="51"/>
      <c r="Q61" s="51"/>
      <c r="AN61"/>
      <c r="AO61"/>
      <c r="AP61"/>
      <c r="AQ61"/>
      <c r="AR61"/>
      <c r="AS61"/>
    </row>
    <row r="62" spans="1:45" ht="20.100000000000001" customHeight="1">
      <c r="A62" s="262" t="s">
        <v>293</v>
      </c>
      <c r="B62" s="262"/>
      <c r="C62" s="262"/>
      <c r="D62" s="278">
        <f>4029+41202</f>
        <v>45231</v>
      </c>
      <c r="K62" s="4"/>
      <c r="L62" s="4"/>
      <c r="M62" s="4"/>
      <c r="N62" s="4"/>
      <c r="O62" s="2"/>
      <c r="P62" s="51"/>
      <c r="Q62" s="51"/>
      <c r="AN62"/>
      <c r="AO62"/>
      <c r="AP62"/>
      <c r="AQ62"/>
      <c r="AR62"/>
      <c r="AS62"/>
    </row>
    <row r="63" spans="1:45" ht="20.100000000000001" customHeight="1">
      <c r="A63" s="262" t="s">
        <v>291</v>
      </c>
      <c r="B63" s="262"/>
      <c r="C63" s="262"/>
      <c r="D63" s="278">
        <f>2975+326</f>
        <v>3301</v>
      </c>
      <c r="K63" s="4"/>
      <c r="L63" s="4"/>
      <c r="M63" s="4"/>
      <c r="N63" s="4"/>
      <c r="O63" s="2"/>
      <c r="P63" s="51"/>
      <c r="Q63" s="51"/>
      <c r="AN63"/>
      <c r="AO63"/>
      <c r="AP63"/>
      <c r="AQ63"/>
      <c r="AR63"/>
      <c r="AS63"/>
    </row>
    <row r="64" spans="1:45" ht="20.100000000000001" customHeight="1">
      <c r="A64" s="262" t="s">
        <v>177</v>
      </c>
      <c r="B64" s="262"/>
      <c r="C64" s="262"/>
      <c r="D64" s="278">
        <v>0</v>
      </c>
      <c r="K64" s="4"/>
      <c r="L64" s="4"/>
      <c r="M64" s="4"/>
      <c r="N64" s="4"/>
      <c r="O64" s="2"/>
      <c r="P64" s="51"/>
      <c r="Q64" s="51"/>
      <c r="AN64"/>
      <c r="AO64"/>
      <c r="AP64"/>
      <c r="AQ64"/>
      <c r="AR64"/>
      <c r="AS64"/>
    </row>
    <row r="65" spans="1:45" ht="20.100000000000001" customHeight="1">
      <c r="A65" s="262" t="s">
        <v>292</v>
      </c>
      <c r="B65" s="262"/>
      <c r="C65" s="262"/>
      <c r="D65" s="278">
        <v>0</v>
      </c>
      <c r="K65" s="4"/>
      <c r="L65" s="4"/>
      <c r="M65" s="4"/>
      <c r="N65" s="4"/>
      <c r="O65" s="2"/>
      <c r="P65" s="51"/>
      <c r="Q65" s="51"/>
      <c r="AN65"/>
      <c r="AO65"/>
      <c r="AP65"/>
      <c r="AQ65"/>
      <c r="AR65"/>
      <c r="AS65"/>
    </row>
    <row r="66" spans="1:45" ht="20.100000000000001" customHeight="1">
      <c r="A66" s="262" t="s">
        <v>178</v>
      </c>
      <c r="B66" s="262"/>
      <c r="C66" s="262"/>
      <c r="D66" s="278">
        <f>440+4423</f>
        <v>4863</v>
      </c>
      <c r="K66" s="4"/>
      <c r="L66" s="4"/>
      <c r="M66" s="4"/>
      <c r="N66" s="4"/>
      <c r="O66" s="2"/>
      <c r="P66" s="51"/>
      <c r="Q66" s="51"/>
      <c r="AN66"/>
      <c r="AO66"/>
      <c r="AP66"/>
      <c r="AQ66"/>
      <c r="AR66"/>
      <c r="AS66"/>
    </row>
    <row r="67" spans="1:45" ht="20.100000000000001" customHeight="1">
      <c r="A67" s="262" t="s">
        <v>179</v>
      </c>
      <c r="B67" s="262"/>
      <c r="C67" s="262"/>
      <c r="D67" s="278">
        <v>-7935</v>
      </c>
      <c r="K67" s="4"/>
      <c r="L67" s="4"/>
      <c r="M67" s="4"/>
      <c r="N67" s="4"/>
      <c r="O67" s="2"/>
      <c r="P67" s="51"/>
      <c r="Q67" s="51"/>
      <c r="AN67"/>
      <c r="AO67"/>
      <c r="AP67"/>
      <c r="AQ67"/>
      <c r="AR67"/>
      <c r="AS67"/>
    </row>
    <row r="68" spans="1:45" ht="20.100000000000001" customHeight="1">
      <c r="A68" s="270" t="s">
        <v>180</v>
      </c>
      <c r="B68" s="272"/>
      <c r="C68" s="272"/>
      <c r="D68" s="263">
        <f>SUM(D60:D67)</f>
        <v>300010.01346467994</v>
      </c>
      <c r="K68" s="4"/>
      <c r="L68" s="4"/>
      <c r="M68" s="4"/>
      <c r="N68" s="4"/>
      <c r="O68" s="2"/>
      <c r="P68" s="51"/>
      <c r="Q68" s="51"/>
      <c r="AN68"/>
      <c r="AO68"/>
      <c r="AP68"/>
      <c r="AQ68"/>
      <c r="AR68"/>
      <c r="AS68"/>
    </row>
    <row r="69" spans="1:45" ht="20.100000000000001" customHeight="1">
      <c r="A69" s="51"/>
      <c r="K69" s="4"/>
      <c r="L69" s="4"/>
      <c r="M69" s="4"/>
      <c r="N69" s="4"/>
      <c r="O69" s="2"/>
      <c r="P69" s="51"/>
      <c r="Q69" s="51"/>
      <c r="AN69"/>
      <c r="AO69"/>
      <c r="AP69"/>
      <c r="AQ69"/>
      <c r="AR69"/>
      <c r="AS69"/>
    </row>
  </sheetData>
  <mergeCells count="1">
    <mergeCell ref="A59:D59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66CCFF"/>
  </sheetPr>
  <dimension ref="A1:AV69"/>
  <sheetViews>
    <sheetView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 outlineLevelCol="1"/>
  <cols>
    <col min="1" max="1" width="2.7109375" style="51" customWidth="1"/>
    <col min="2" max="2" width="2.7109375" style="2" customWidth="1"/>
    <col min="3" max="3" width="37.28515625" style="2" bestFit="1" customWidth="1"/>
    <col min="4" max="4" width="13.42578125" style="4" bestFit="1" customWidth="1" outlineLevel="1"/>
    <col min="5" max="5" width="9.7109375" style="4" customWidth="1" outlineLevel="1"/>
    <col min="6" max="6" width="9.7109375" style="4" customWidth="1"/>
    <col min="7" max="8" width="9.7109375" style="4" customWidth="1" outlineLevel="1"/>
    <col min="9" max="9" width="9.7109375" style="2" customWidth="1"/>
    <col min="10" max="10" width="9.7109375" style="51" customWidth="1"/>
    <col min="11" max="48" width="8.85546875" customWidth="1"/>
    <col min="49" max="16384" width="9.140625" style="51"/>
  </cols>
  <sheetData>
    <row r="1" spans="1:48" ht="60.75" customHeight="1">
      <c r="B1" s="34"/>
      <c r="C1" s="34"/>
      <c r="D1" s="35"/>
      <c r="E1" s="35"/>
      <c r="F1" s="35"/>
      <c r="G1" s="35"/>
      <c r="H1" s="35"/>
      <c r="I1" s="34"/>
      <c r="J1" s="54"/>
    </row>
    <row r="2" spans="1:48" ht="12.75" customHeight="1">
      <c r="A2" s="32" t="s">
        <v>164</v>
      </c>
      <c r="B2" s="42"/>
      <c r="C2" s="32"/>
      <c r="D2" s="33"/>
      <c r="E2" s="33"/>
      <c r="F2" s="33"/>
      <c r="G2" s="33"/>
      <c r="H2" s="33"/>
      <c r="I2" s="32"/>
      <c r="J2" s="36"/>
    </row>
    <row r="3" spans="1:48" ht="12.75" customHeight="1">
      <c r="A3" s="5"/>
      <c r="B3" s="7"/>
      <c r="C3" s="6"/>
      <c r="D3" s="43" t="s">
        <v>32</v>
      </c>
      <c r="E3" s="43"/>
      <c r="F3" s="43"/>
      <c r="G3" s="43"/>
      <c r="H3" s="43"/>
      <c r="I3" s="43"/>
      <c r="J3" s="46" t="s">
        <v>33</v>
      </c>
    </row>
    <row r="4" spans="1:48" ht="12.75" customHeight="1">
      <c r="A4" s="5"/>
      <c r="B4" s="7"/>
      <c r="C4" s="6"/>
      <c r="D4" s="38"/>
      <c r="E4" s="38"/>
      <c r="F4" s="38"/>
      <c r="G4" s="38"/>
      <c r="H4" s="38"/>
      <c r="I4" s="37"/>
      <c r="J4" s="37"/>
    </row>
    <row r="5" spans="1:48" ht="12.75" customHeight="1">
      <c r="A5" s="39"/>
      <c r="B5" s="59"/>
      <c r="C5" s="40"/>
      <c r="D5" s="49" t="s">
        <v>162</v>
      </c>
      <c r="E5" s="49" t="s">
        <v>163</v>
      </c>
      <c r="F5" s="49">
        <v>2012</v>
      </c>
      <c r="G5" s="49" t="s">
        <v>188</v>
      </c>
      <c r="H5" s="49" t="s">
        <v>189</v>
      </c>
      <c r="I5" s="49" t="s">
        <v>190</v>
      </c>
      <c r="J5" s="50" t="s">
        <v>268</v>
      </c>
    </row>
    <row r="6" spans="1:48" s="55" customFormat="1" ht="21" customHeight="1">
      <c r="A6" s="105" t="s">
        <v>39</v>
      </c>
      <c r="B6" s="106"/>
      <c r="C6" s="215"/>
      <c r="D6" s="108"/>
      <c r="E6" s="108"/>
      <c r="F6" s="108"/>
      <c r="G6" s="108"/>
      <c r="H6" s="108"/>
      <c r="I6" s="108"/>
      <c r="J6" s="108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55" customFormat="1" ht="12.75">
      <c r="A7" s="109"/>
      <c r="B7" s="106"/>
      <c r="C7" s="107" t="s">
        <v>158</v>
      </c>
      <c r="D7" s="113">
        <v>15580</v>
      </c>
      <c r="E7" s="113">
        <v>15895</v>
      </c>
      <c r="F7" s="113">
        <v>68466</v>
      </c>
      <c r="G7" s="113">
        <v>16537</v>
      </c>
      <c r="H7" s="113">
        <v>16451</v>
      </c>
      <c r="I7" s="111">
        <f>F7+G7+H7-D7-E7</f>
        <v>69979</v>
      </c>
      <c r="J7" s="125">
        <f>F7*(1+J8)</f>
        <v>71889.3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55" customFormat="1" ht="12.75">
      <c r="A8" s="109"/>
      <c r="B8" s="106"/>
      <c r="C8" s="107"/>
      <c r="D8" s="113"/>
      <c r="E8" s="113"/>
      <c r="F8" s="113"/>
      <c r="G8" s="113"/>
      <c r="H8" s="113"/>
      <c r="I8" s="122"/>
      <c r="J8" s="475">
        <v>0.05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55" customFormat="1" ht="12.75">
      <c r="A9" s="109"/>
      <c r="B9" s="106"/>
      <c r="C9" s="107" t="s">
        <v>181</v>
      </c>
      <c r="D9" s="113">
        <v>355</v>
      </c>
      <c r="E9" s="113">
        <v>345</v>
      </c>
      <c r="F9" s="113">
        <v>1399</v>
      </c>
      <c r="G9" s="113">
        <v>330</v>
      </c>
      <c r="H9" s="113">
        <v>328</v>
      </c>
      <c r="I9" s="111">
        <f>F9+G9+H9-D9-E9</f>
        <v>1357</v>
      </c>
      <c r="J9" s="125">
        <f>F9*(1+J10)</f>
        <v>1468.95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55" customFormat="1" ht="12.75">
      <c r="A10" s="109"/>
      <c r="B10" s="106"/>
      <c r="C10" s="107"/>
      <c r="D10" s="113"/>
      <c r="E10" s="113"/>
      <c r="F10" s="113"/>
      <c r="G10" s="113"/>
      <c r="H10" s="113"/>
      <c r="I10" s="122"/>
      <c r="J10" s="475">
        <v>0.05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ht="12.75" customHeight="1">
      <c r="A11" s="116"/>
      <c r="B11" s="117" t="s">
        <v>63</v>
      </c>
      <c r="C11" s="240"/>
      <c r="D11" s="128">
        <f t="shared" ref="D11:I11" si="0">D7+D9</f>
        <v>15935</v>
      </c>
      <c r="E11" s="128">
        <f t="shared" si="0"/>
        <v>16240</v>
      </c>
      <c r="F11" s="128">
        <f t="shared" si="0"/>
        <v>69865</v>
      </c>
      <c r="G11" s="128">
        <f t="shared" si="0"/>
        <v>16867</v>
      </c>
      <c r="H11" s="128">
        <f t="shared" si="0"/>
        <v>16779</v>
      </c>
      <c r="I11" s="128">
        <f t="shared" si="0"/>
        <v>71336</v>
      </c>
      <c r="J11" s="128">
        <f>J9+J7</f>
        <v>73358.25</v>
      </c>
    </row>
    <row r="12" spans="1:48" ht="12.75" customHeight="1">
      <c r="A12" s="116"/>
      <c r="B12" s="120"/>
      <c r="C12" s="121" t="s">
        <v>40</v>
      </c>
      <c r="D12" s="122"/>
      <c r="E12" s="122"/>
      <c r="F12" s="122"/>
      <c r="G12" s="122"/>
      <c r="H12" s="122"/>
      <c r="I12" s="122"/>
      <c r="J12" s="122">
        <f>J11/F11-1</f>
        <v>5.0000000000000044E-2</v>
      </c>
    </row>
    <row r="13" spans="1:48" ht="21" customHeight="1">
      <c r="A13" s="123" t="s">
        <v>41</v>
      </c>
      <c r="B13" s="120"/>
      <c r="C13" s="121"/>
      <c r="D13" s="122"/>
      <c r="E13" s="122"/>
      <c r="F13" s="122"/>
      <c r="G13" s="122"/>
      <c r="H13" s="122"/>
      <c r="I13" s="122"/>
      <c r="J13" s="124"/>
    </row>
    <row r="14" spans="1:48" ht="12.75">
      <c r="A14" s="123"/>
      <c r="B14" s="120"/>
      <c r="C14" s="118" t="s">
        <v>182</v>
      </c>
      <c r="D14" s="113">
        <v>10838</v>
      </c>
      <c r="E14" s="113">
        <v>10872</v>
      </c>
      <c r="F14" s="113">
        <v>47860</v>
      </c>
      <c r="G14" s="113">
        <v>11541</v>
      </c>
      <c r="H14" s="113">
        <v>11297</v>
      </c>
      <c r="I14" s="111">
        <f>F14+G14+H14-D14-E14</f>
        <v>48988</v>
      </c>
      <c r="J14" s="125">
        <f>J15*J7</f>
        <v>50325.283705111535</v>
      </c>
    </row>
    <row r="15" spans="1:48" ht="12.75">
      <c r="A15" s="123"/>
      <c r="B15" s="120"/>
      <c r="C15" s="476" t="s">
        <v>184</v>
      </c>
      <c r="D15" s="122">
        <f t="shared" ref="D15:I15" si="1">D14/D7</f>
        <v>0.69563543003851092</v>
      </c>
      <c r="E15" s="122">
        <f t="shared" si="1"/>
        <v>0.68398867568417743</v>
      </c>
      <c r="F15" s="122">
        <f t="shared" si="1"/>
        <v>0.69903309671953962</v>
      </c>
      <c r="G15" s="122">
        <f t="shared" si="1"/>
        <v>0.69788958093971099</v>
      </c>
      <c r="H15" s="122">
        <f t="shared" si="1"/>
        <v>0.68670597532064925</v>
      </c>
      <c r="I15" s="122">
        <f t="shared" si="1"/>
        <v>0.70003858300347244</v>
      </c>
      <c r="J15" s="124">
        <f>I15</f>
        <v>0.70003858300347244</v>
      </c>
    </row>
    <row r="16" spans="1:48" ht="12.75">
      <c r="A16" s="123"/>
      <c r="B16" s="120"/>
      <c r="C16" s="118" t="s">
        <v>183</v>
      </c>
      <c r="D16" s="113">
        <v>88</v>
      </c>
      <c r="E16" s="113">
        <v>86</v>
      </c>
      <c r="F16" s="113">
        <v>446</v>
      </c>
      <c r="G16" s="113">
        <v>120</v>
      </c>
      <c r="H16" s="113">
        <v>108</v>
      </c>
      <c r="I16" s="111">
        <f>F16+G16+H16-D16-E16</f>
        <v>500</v>
      </c>
      <c r="J16" s="125">
        <f>J17*J9</f>
        <v>541.24907885040534</v>
      </c>
    </row>
    <row r="17" spans="1:10" ht="12.75">
      <c r="A17" s="123"/>
      <c r="B17" s="120"/>
      <c r="C17" s="476" t="s">
        <v>185</v>
      </c>
      <c r="D17" s="122">
        <f t="shared" ref="D17:I17" si="2">D16/D9</f>
        <v>0.24788732394366197</v>
      </c>
      <c r="E17" s="122">
        <f t="shared" si="2"/>
        <v>0.24927536231884059</v>
      </c>
      <c r="F17" s="122">
        <f t="shared" si="2"/>
        <v>0.31879914224446032</v>
      </c>
      <c r="G17" s="122">
        <f t="shared" si="2"/>
        <v>0.36363636363636365</v>
      </c>
      <c r="H17" s="122">
        <f t="shared" si="2"/>
        <v>0.32926829268292684</v>
      </c>
      <c r="I17" s="122">
        <f t="shared" si="2"/>
        <v>0.36845983787767134</v>
      </c>
      <c r="J17" s="124">
        <f>I17</f>
        <v>0.36845983787767134</v>
      </c>
    </row>
    <row r="18" spans="1:10" ht="12.75" customHeight="1">
      <c r="A18" s="116"/>
      <c r="B18" s="117" t="s">
        <v>41</v>
      </c>
      <c r="C18" s="118"/>
      <c r="D18" s="128">
        <f t="shared" ref="D18:J18" si="3">D16+D14</f>
        <v>10926</v>
      </c>
      <c r="E18" s="128">
        <f t="shared" si="3"/>
        <v>10958</v>
      </c>
      <c r="F18" s="128">
        <f t="shared" si="3"/>
        <v>48306</v>
      </c>
      <c r="G18" s="128">
        <f t="shared" si="3"/>
        <v>11661</v>
      </c>
      <c r="H18" s="128">
        <f t="shared" si="3"/>
        <v>11405</v>
      </c>
      <c r="I18" s="128">
        <f t="shared" si="3"/>
        <v>49488</v>
      </c>
      <c r="J18" s="128">
        <f t="shared" si="3"/>
        <v>50866.532783961942</v>
      </c>
    </row>
    <row r="19" spans="1:10" ht="12.75" customHeight="1">
      <c r="A19" s="116"/>
      <c r="B19" s="120"/>
      <c r="C19" s="121" t="s">
        <v>42</v>
      </c>
      <c r="D19" s="241">
        <f t="shared" ref="D19:J19" si="4">D18/D11</f>
        <v>0.68566049576404142</v>
      </c>
      <c r="E19" s="241">
        <f t="shared" si="4"/>
        <v>0.67475369458128076</v>
      </c>
      <c r="F19" s="241">
        <f t="shared" si="4"/>
        <v>0.691419165533529</v>
      </c>
      <c r="G19" s="241">
        <f t="shared" si="4"/>
        <v>0.69134997332068537</v>
      </c>
      <c r="H19" s="241">
        <f t="shared" si="4"/>
        <v>0.67971869598903389</v>
      </c>
      <c r="I19" s="241">
        <f t="shared" si="4"/>
        <v>0.69373107547381407</v>
      </c>
      <c r="J19" s="241">
        <f t="shared" si="4"/>
        <v>0.69339893991421475</v>
      </c>
    </row>
    <row r="20" spans="1:10" ht="21" customHeight="1">
      <c r="A20" s="116"/>
      <c r="B20" s="117" t="s">
        <v>62</v>
      </c>
      <c r="C20" s="240"/>
      <c r="D20" s="128">
        <f t="shared" ref="D20:J20" si="5">D11-D18</f>
        <v>5009</v>
      </c>
      <c r="E20" s="128">
        <f t="shared" si="5"/>
        <v>5282</v>
      </c>
      <c r="F20" s="128">
        <f t="shared" si="5"/>
        <v>21559</v>
      </c>
      <c r="G20" s="128">
        <f t="shared" si="5"/>
        <v>5206</v>
      </c>
      <c r="H20" s="128">
        <f t="shared" si="5"/>
        <v>5374</v>
      </c>
      <c r="I20" s="128">
        <f t="shared" si="5"/>
        <v>21848</v>
      </c>
      <c r="J20" s="128">
        <f t="shared" si="5"/>
        <v>22491.717216038058</v>
      </c>
    </row>
    <row r="21" spans="1:10" ht="12.75" customHeight="1">
      <c r="A21" s="116"/>
      <c r="B21" s="129"/>
      <c r="C21" s="121" t="s">
        <v>43</v>
      </c>
      <c r="D21" s="122">
        <f t="shared" ref="D21:J21" si="6">D20/D11</f>
        <v>0.31433950423595858</v>
      </c>
      <c r="E21" s="122">
        <f t="shared" si="6"/>
        <v>0.32524630541871924</v>
      </c>
      <c r="F21" s="122">
        <f t="shared" si="6"/>
        <v>0.30858083446647105</v>
      </c>
      <c r="G21" s="122">
        <f t="shared" si="6"/>
        <v>0.30865002667931463</v>
      </c>
      <c r="H21" s="122">
        <f t="shared" si="6"/>
        <v>0.32028130401096611</v>
      </c>
      <c r="I21" s="122">
        <f t="shared" si="6"/>
        <v>0.30626892452618593</v>
      </c>
      <c r="J21" s="122">
        <f t="shared" si="6"/>
        <v>0.3066010600857853</v>
      </c>
    </row>
    <row r="22" spans="1:10" ht="21" customHeight="1">
      <c r="A22" s="117" t="s">
        <v>49</v>
      </c>
      <c r="B22" s="120"/>
      <c r="C22" s="120"/>
      <c r="D22" s="131"/>
      <c r="E22" s="131"/>
      <c r="F22" s="131"/>
      <c r="G22" s="131"/>
      <c r="H22" s="131"/>
      <c r="I22" s="131"/>
      <c r="J22" s="131"/>
    </row>
    <row r="23" spans="1:10" ht="12.75" customHeight="1">
      <c r="A23" s="116"/>
      <c r="B23" s="120" t="s">
        <v>44</v>
      </c>
      <c r="C23" s="120"/>
      <c r="D23" s="110">
        <v>3233</v>
      </c>
      <c r="E23" s="110">
        <v>3473</v>
      </c>
      <c r="F23" s="110">
        <v>14106</v>
      </c>
      <c r="G23" s="110">
        <v>3392</v>
      </c>
      <c r="H23" s="110">
        <v>3588</v>
      </c>
      <c r="I23" s="111">
        <f>F23+G23+H23-D23-E23</f>
        <v>14380</v>
      </c>
      <c r="J23" s="125">
        <f>J24*J11</f>
        <v>14787.647681395089</v>
      </c>
    </row>
    <row r="24" spans="1:10" ht="12.75" customHeight="1">
      <c r="A24" s="116"/>
      <c r="B24" s="120"/>
      <c r="C24" s="121" t="s">
        <v>100</v>
      </c>
      <c r="D24" s="134">
        <f t="shared" ref="D24:I24" si="7">D23/D11</f>
        <v>0.20288672732977722</v>
      </c>
      <c r="E24" s="134">
        <f t="shared" si="7"/>
        <v>0.21385467980295567</v>
      </c>
      <c r="F24" s="134">
        <f t="shared" si="7"/>
        <v>0.20190367136620627</v>
      </c>
      <c r="G24" s="134">
        <f t="shared" si="7"/>
        <v>0.20110274500503941</v>
      </c>
      <c r="H24" s="134">
        <f t="shared" si="7"/>
        <v>0.21383872698015377</v>
      </c>
      <c r="I24" s="134">
        <f t="shared" si="7"/>
        <v>0.20158124929909163</v>
      </c>
      <c r="J24" s="477">
        <f>I24</f>
        <v>0.20158124929909163</v>
      </c>
    </row>
    <row r="25" spans="1:10" ht="12.75" customHeight="1">
      <c r="A25" s="116"/>
      <c r="B25" s="117" t="s">
        <v>50</v>
      </c>
      <c r="C25" s="120"/>
      <c r="D25" s="128">
        <f>D23</f>
        <v>3233</v>
      </c>
      <c r="E25" s="128">
        <f t="shared" ref="E25:J25" si="8">E23</f>
        <v>3473</v>
      </c>
      <c r="F25" s="128">
        <f t="shared" si="8"/>
        <v>14106</v>
      </c>
      <c r="G25" s="128">
        <f t="shared" si="8"/>
        <v>3392</v>
      </c>
      <c r="H25" s="128">
        <f t="shared" si="8"/>
        <v>3588</v>
      </c>
      <c r="I25" s="128">
        <f t="shared" si="8"/>
        <v>14380</v>
      </c>
      <c r="J25" s="128">
        <f t="shared" si="8"/>
        <v>14787.647681395089</v>
      </c>
    </row>
    <row r="26" spans="1:10" ht="21" customHeight="1">
      <c r="A26" s="116"/>
      <c r="B26" s="117" t="s">
        <v>2</v>
      </c>
      <c r="C26" s="240"/>
      <c r="D26" s="128">
        <f>D20-D25</f>
        <v>1776</v>
      </c>
      <c r="E26" s="128">
        <f t="shared" ref="E26:J26" si="9">E20-E25</f>
        <v>1809</v>
      </c>
      <c r="F26" s="128">
        <f t="shared" si="9"/>
        <v>7453</v>
      </c>
      <c r="G26" s="128">
        <f t="shared" si="9"/>
        <v>1814</v>
      </c>
      <c r="H26" s="128">
        <f t="shared" si="9"/>
        <v>1786</v>
      </c>
      <c r="I26" s="128">
        <f t="shared" si="9"/>
        <v>7468</v>
      </c>
      <c r="J26" s="128">
        <f t="shared" si="9"/>
        <v>7704.0695346429693</v>
      </c>
    </row>
    <row r="27" spans="1:10" ht="12.75" customHeight="1">
      <c r="A27" s="116"/>
      <c r="B27" s="129"/>
      <c r="C27" s="121" t="s">
        <v>45</v>
      </c>
      <c r="D27" s="122">
        <f t="shared" ref="D27:J27" si="10">D26/D11</f>
        <v>0.11145277690618136</v>
      </c>
      <c r="E27" s="122">
        <f t="shared" si="10"/>
        <v>0.11139162561576355</v>
      </c>
      <c r="F27" s="122">
        <f t="shared" si="10"/>
        <v>0.1066771631002648</v>
      </c>
      <c r="G27" s="122">
        <f t="shared" si="10"/>
        <v>0.10754728167427521</v>
      </c>
      <c r="H27" s="122">
        <f t="shared" si="10"/>
        <v>0.10644257703081232</v>
      </c>
      <c r="I27" s="122">
        <f t="shared" si="10"/>
        <v>0.10468767522709431</v>
      </c>
      <c r="J27" s="122">
        <f t="shared" si="10"/>
        <v>0.10501981078669365</v>
      </c>
    </row>
    <row r="28" spans="1:10" ht="21" customHeight="1">
      <c r="A28" s="116"/>
      <c r="B28" s="120" t="s">
        <v>46</v>
      </c>
      <c r="C28" s="120"/>
      <c r="D28" s="141">
        <v>512</v>
      </c>
      <c r="E28" s="141">
        <v>509</v>
      </c>
      <c r="F28" s="141">
        <v>2131</v>
      </c>
      <c r="G28" s="141">
        <v>529</v>
      </c>
      <c r="H28" s="141">
        <v>531</v>
      </c>
      <c r="I28" s="111">
        <f>F28+G28+H28-D28-E28</f>
        <v>2170</v>
      </c>
      <c r="J28" s="142">
        <f>J29*J11</f>
        <v>2231.5156793203992</v>
      </c>
    </row>
    <row r="29" spans="1:10" ht="12.75">
      <c r="A29" s="116"/>
      <c r="B29" s="148"/>
      <c r="C29" s="148" t="s">
        <v>187</v>
      </c>
      <c r="D29" s="241">
        <f t="shared" ref="D29:I29" si="11">D28/D11</f>
        <v>3.2130530279259495E-2</v>
      </c>
      <c r="E29" s="241">
        <f t="shared" si="11"/>
        <v>3.1342364532019704E-2</v>
      </c>
      <c r="F29" s="241">
        <f t="shared" si="11"/>
        <v>3.050168181492879E-2</v>
      </c>
      <c r="G29" s="241">
        <f t="shared" si="11"/>
        <v>3.1363016541175077E-2</v>
      </c>
      <c r="H29" s="241">
        <f t="shared" si="11"/>
        <v>3.1646701233684967E-2</v>
      </c>
      <c r="I29" s="241">
        <f t="shared" si="11"/>
        <v>3.0419423572950546E-2</v>
      </c>
      <c r="J29" s="241">
        <f>I29</f>
        <v>3.0419423572950546E-2</v>
      </c>
    </row>
    <row r="30" spans="1:10" ht="21" customHeight="1">
      <c r="A30" s="116"/>
      <c r="B30" s="117" t="s">
        <v>1</v>
      </c>
      <c r="C30" s="240"/>
      <c r="D30" s="128">
        <f t="shared" ref="D30:J30" si="12">D26-D28</f>
        <v>1264</v>
      </c>
      <c r="E30" s="128">
        <f t="shared" si="12"/>
        <v>1300</v>
      </c>
      <c r="F30" s="128">
        <f t="shared" si="12"/>
        <v>5322</v>
      </c>
      <c r="G30" s="128">
        <f t="shared" si="12"/>
        <v>1285</v>
      </c>
      <c r="H30" s="128">
        <f t="shared" si="12"/>
        <v>1255</v>
      </c>
      <c r="I30" s="128">
        <f t="shared" si="12"/>
        <v>5298</v>
      </c>
      <c r="J30" s="128">
        <f t="shared" si="12"/>
        <v>5472.5538553225706</v>
      </c>
    </row>
    <row r="31" spans="1:10" ht="12.75" customHeight="1">
      <c r="A31" s="116"/>
      <c r="B31" s="120"/>
      <c r="C31" s="129" t="s">
        <v>47</v>
      </c>
      <c r="D31" s="122">
        <f t="shared" ref="D31:J31" si="13">D30/D11</f>
        <v>7.9322246626921875E-2</v>
      </c>
      <c r="E31" s="122">
        <f t="shared" si="13"/>
        <v>8.0049261083743842E-2</v>
      </c>
      <c r="F31" s="122">
        <f t="shared" si="13"/>
        <v>7.6175481285336008E-2</v>
      </c>
      <c r="G31" s="122">
        <f t="shared" si="13"/>
        <v>7.6184265133100143E-2</v>
      </c>
      <c r="H31" s="122">
        <f t="shared" si="13"/>
        <v>7.4795875797127362E-2</v>
      </c>
      <c r="I31" s="122">
        <f t="shared" si="13"/>
        <v>7.4268251654143774E-2</v>
      </c>
      <c r="J31" s="122">
        <f t="shared" si="13"/>
        <v>7.4600387213743111E-2</v>
      </c>
    </row>
    <row r="32" spans="1:10" ht="21" customHeight="1">
      <c r="A32" s="123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</row>
    <row r="33" spans="1:10" ht="12.75" customHeight="1">
      <c r="A33" s="123"/>
      <c r="B33" s="120" t="s">
        <v>186</v>
      </c>
      <c r="C33" s="129"/>
      <c r="D33" s="141">
        <v>19</v>
      </c>
      <c r="E33" s="141">
        <v>18</v>
      </c>
      <c r="F33" s="141">
        <v>72</v>
      </c>
      <c r="G33" s="141">
        <v>2</v>
      </c>
      <c r="H33" s="141">
        <v>3</v>
      </c>
      <c r="I33" s="111">
        <f>F33+G33+H33-D33-E33</f>
        <v>40</v>
      </c>
      <c r="J33" s="478">
        <f>F33</f>
        <v>72</v>
      </c>
    </row>
    <row r="34" spans="1:10" ht="12.75" customHeight="1">
      <c r="A34" s="116"/>
      <c r="B34" s="120" t="s">
        <v>165</v>
      </c>
      <c r="C34" s="120"/>
      <c r="D34" s="110">
        <v>164</v>
      </c>
      <c r="E34" s="110">
        <v>174</v>
      </c>
      <c r="F34" s="110">
        <v>797</v>
      </c>
      <c r="G34" s="110">
        <v>182</v>
      </c>
      <c r="H34" s="110">
        <v>182</v>
      </c>
      <c r="I34" s="111">
        <f>F34+G34+H34-D34-E34</f>
        <v>823</v>
      </c>
      <c r="J34" s="479">
        <f>F34</f>
        <v>797</v>
      </c>
    </row>
    <row r="35" spans="1:10" ht="12.75" customHeight="1">
      <c r="A35" s="116"/>
      <c r="B35" s="120" t="s">
        <v>48</v>
      </c>
      <c r="C35" s="120"/>
      <c r="D35" s="137">
        <v>0</v>
      </c>
      <c r="E35" s="137">
        <v>-1</v>
      </c>
      <c r="F35" s="137">
        <v>-3</v>
      </c>
      <c r="G35" s="137">
        <v>0</v>
      </c>
      <c r="H35" s="137">
        <v>-1</v>
      </c>
      <c r="I35" s="231">
        <f>F35+G35+H35-D35-E35</f>
        <v>-3</v>
      </c>
      <c r="J35" s="231">
        <f>F35</f>
        <v>-3</v>
      </c>
    </row>
    <row r="36" spans="1:10" ht="12.75" customHeight="1">
      <c r="A36" s="116"/>
      <c r="B36" s="117" t="s">
        <v>86</v>
      </c>
      <c r="C36" s="120"/>
      <c r="D36" s="138">
        <f t="shared" ref="D36:J36" si="14">SUM(D33:D35)</f>
        <v>183</v>
      </c>
      <c r="E36" s="138">
        <f t="shared" si="14"/>
        <v>191</v>
      </c>
      <c r="F36" s="138">
        <f t="shared" si="14"/>
        <v>866</v>
      </c>
      <c r="G36" s="138">
        <f t="shared" si="14"/>
        <v>184</v>
      </c>
      <c r="H36" s="138">
        <f t="shared" si="14"/>
        <v>184</v>
      </c>
      <c r="I36" s="138">
        <f t="shared" si="14"/>
        <v>860</v>
      </c>
      <c r="J36" s="138">
        <f t="shared" si="14"/>
        <v>866</v>
      </c>
    </row>
    <row r="37" spans="1:10" ht="21" customHeight="1">
      <c r="A37" s="116"/>
      <c r="B37" s="117" t="s">
        <v>52</v>
      </c>
      <c r="C37" s="120"/>
      <c r="D37" s="128">
        <f t="shared" ref="D37:J37" si="15">D30-D36</f>
        <v>1081</v>
      </c>
      <c r="E37" s="128">
        <f t="shared" si="15"/>
        <v>1109</v>
      </c>
      <c r="F37" s="128">
        <f t="shared" si="15"/>
        <v>4456</v>
      </c>
      <c r="G37" s="128">
        <f t="shared" si="15"/>
        <v>1101</v>
      </c>
      <c r="H37" s="128">
        <f t="shared" si="15"/>
        <v>1071</v>
      </c>
      <c r="I37" s="128">
        <f t="shared" si="15"/>
        <v>4438</v>
      </c>
      <c r="J37" s="128">
        <f t="shared" si="15"/>
        <v>4606.5538553225706</v>
      </c>
    </row>
    <row r="38" spans="1:10" ht="12.75" customHeight="1">
      <c r="A38" s="116"/>
      <c r="B38" s="129"/>
      <c r="C38" s="121" t="s">
        <v>54</v>
      </c>
      <c r="D38" s="122">
        <f t="shared" ref="D38:J38" si="16">D37/D11</f>
        <v>6.783809224976467E-2</v>
      </c>
      <c r="E38" s="122">
        <f t="shared" si="16"/>
        <v>6.8288177339901474E-2</v>
      </c>
      <c r="F38" s="122">
        <f t="shared" si="16"/>
        <v>6.3780147427180994E-2</v>
      </c>
      <c r="G38" s="122">
        <f t="shared" si="16"/>
        <v>6.527538981443054E-2</v>
      </c>
      <c r="H38" s="122">
        <f t="shared" si="16"/>
        <v>6.3829787234042548E-2</v>
      </c>
      <c r="I38" s="122">
        <f t="shared" si="16"/>
        <v>6.2212627565324662E-2</v>
      </c>
      <c r="J38" s="122">
        <f t="shared" si="16"/>
        <v>6.2795307348833582E-2</v>
      </c>
    </row>
    <row r="39" spans="1:10" ht="21" customHeight="1">
      <c r="A39" s="116"/>
      <c r="B39" s="120" t="s">
        <v>55</v>
      </c>
      <c r="C39" s="120"/>
      <c r="D39" s="480">
        <v>392</v>
      </c>
      <c r="E39" s="480">
        <v>405</v>
      </c>
      <c r="F39" s="480">
        <v>1527</v>
      </c>
      <c r="G39" s="480">
        <v>404</v>
      </c>
      <c r="H39" s="480">
        <v>367</v>
      </c>
      <c r="I39" s="111">
        <f>F39+G39+H39-D39-E39</f>
        <v>1501</v>
      </c>
      <c r="J39" s="125">
        <f>J40*J37</f>
        <v>1558.0075116807523</v>
      </c>
    </row>
    <row r="40" spans="1:10" ht="12.75" customHeight="1">
      <c r="A40" s="116"/>
      <c r="B40" s="129"/>
      <c r="C40" s="121" t="s">
        <v>53</v>
      </c>
      <c r="D40" s="241">
        <f t="shared" ref="D40:I40" si="17">D39/D37</f>
        <v>0.36262719703977797</v>
      </c>
      <c r="E40" s="241">
        <f t="shared" si="17"/>
        <v>0.36519386834986473</v>
      </c>
      <c r="F40" s="241">
        <f t="shared" si="17"/>
        <v>0.34268402154398564</v>
      </c>
      <c r="G40" s="241">
        <f t="shared" si="17"/>
        <v>0.36693914623069934</v>
      </c>
      <c r="H40" s="241">
        <f t="shared" si="17"/>
        <v>0.34267040149393091</v>
      </c>
      <c r="I40" s="241">
        <f t="shared" si="17"/>
        <v>0.33821541234790448</v>
      </c>
      <c r="J40" s="251">
        <f>I40</f>
        <v>0.33821541234790448</v>
      </c>
    </row>
    <row r="41" spans="1:10" ht="21" customHeight="1">
      <c r="A41" s="116"/>
      <c r="B41" s="117" t="s">
        <v>59</v>
      </c>
      <c r="C41" s="120"/>
      <c r="D41" s="128">
        <f t="shared" ref="D41:J41" si="18">D37-D39</f>
        <v>689</v>
      </c>
      <c r="E41" s="128">
        <f t="shared" si="18"/>
        <v>704</v>
      </c>
      <c r="F41" s="128">
        <f t="shared" si="18"/>
        <v>2929</v>
      </c>
      <c r="G41" s="128">
        <f t="shared" si="18"/>
        <v>697</v>
      </c>
      <c r="H41" s="128">
        <f t="shared" si="18"/>
        <v>704</v>
      </c>
      <c r="I41" s="128">
        <f t="shared" si="18"/>
        <v>2937</v>
      </c>
      <c r="J41" s="128">
        <f t="shared" si="18"/>
        <v>3048.5463436418186</v>
      </c>
    </row>
    <row r="42" spans="1:10" ht="21" customHeight="1">
      <c r="A42" s="117" t="s">
        <v>60</v>
      </c>
      <c r="B42" s="120"/>
      <c r="C42" s="120"/>
      <c r="D42" s="144"/>
      <c r="E42" s="144"/>
      <c r="F42" s="144"/>
      <c r="G42" s="144"/>
      <c r="H42" s="144"/>
      <c r="I42" s="144"/>
      <c r="J42" s="144"/>
    </row>
    <row r="43" spans="1:10" ht="12.75" customHeight="1">
      <c r="A43" s="116"/>
      <c r="B43" s="120" t="s">
        <v>4</v>
      </c>
      <c r="C43" s="120"/>
      <c r="D43" s="145">
        <f>D41/D46</f>
        <v>0.99422799422799424</v>
      </c>
      <c r="E43" s="145">
        <f t="shared" ref="E43:J43" si="19">E41/E46</f>
        <v>1.0340775558166864</v>
      </c>
      <c r="F43" s="145">
        <f t="shared" si="19"/>
        <v>4.3130614048004707</v>
      </c>
      <c r="G43" s="145">
        <f t="shared" si="19"/>
        <v>1.0465465465465464</v>
      </c>
      <c r="H43" s="145">
        <f t="shared" si="19"/>
        <v>1.0720268006700167</v>
      </c>
      <c r="I43" s="145">
        <f t="shared" si="19"/>
        <v>4.4723618090452257</v>
      </c>
      <c r="J43" s="145">
        <f t="shared" si="19"/>
        <v>4.6550844708113974</v>
      </c>
    </row>
    <row r="44" spans="1:10" ht="12.75" customHeight="1">
      <c r="A44" s="116"/>
      <c r="B44" s="109" t="s">
        <v>5</v>
      </c>
      <c r="C44" s="120"/>
      <c r="D44" s="252">
        <f>D41/D47</f>
        <v>0.98852223816355811</v>
      </c>
      <c r="E44" s="252">
        <f t="shared" ref="E44:J44" si="20">E41/E47</f>
        <v>1.0275872135454678</v>
      </c>
      <c r="F44" s="252">
        <f t="shared" si="20"/>
        <v>4.2827898815616319</v>
      </c>
      <c r="G44" s="252">
        <f t="shared" si="20"/>
        <v>1.0372023809523809</v>
      </c>
      <c r="H44" s="252">
        <f t="shared" si="20"/>
        <v>1.0620003017046311</v>
      </c>
      <c r="I44" s="252">
        <f t="shared" si="20"/>
        <v>4.4305325086740082</v>
      </c>
      <c r="J44" s="252">
        <f t="shared" si="20"/>
        <v>4.6139895071040655</v>
      </c>
    </row>
    <row r="45" spans="1:10" ht="21" customHeight="1">
      <c r="A45" s="117" t="s">
        <v>61</v>
      </c>
      <c r="B45" s="120"/>
      <c r="C45" s="240"/>
      <c r="D45" s="128"/>
      <c r="E45" s="128"/>
      <c r="F45" s="128"/>
      <c r="G45" s="128"/>
      <c r="H45" s="128"/>
      <c r="I45" s="128"/>
      <c r="J45" s="128"/>
    </row>
    <row r="46" spans="1:10" ht="12.75" customHeight="1">
      <c r="A46" s="116"/>
      <c r="B46" s="120" t="s">
        <v>4</v>
      </c>
      <c r="C46" s="120"/>
      <c r="D46" s="146">
        <v>693</v>
      </c>
      <c r="E46" s="146">
        <v>680.8</v>
      </c>
      <c r="F46" s="146">
        <v>679.1</v>
      </c>
      <c r="G46" s="146">
        <v>666</v>
      </c>
      <c r="H46" s="146">
        <v>656.7</v>
      </c>
      <c r="I46" s="255">
        <f>H46</f>
        <v>656.7</v>
      </c>
      <c r="J46" s="255">
        <f>D52/1000000</f>
        <v>654.88529000000005</v>
      </c>
    </row>
    <row r="47" spans="1:10" ht="12.75" customHeight="1">
      <c r="A47" s="147"/>
      <c r="B47" s="148" t="s">
        <v>5</v>
      </c>
      <c r="C47" s="148"/>
      <c r="D47" s="149">
        <v>697</v>
      </c>
      <c r="E47" s="149">
        <v>685.1</v>
      </c>
      <c r="F47" s="149">
        <v>683.9</v>
      </c>
      <c r="G47" s="149">
        <v>672</v>
      </c>
      <c r="H47" s="149">
        <v>662.9</v>
      </c>
      <c r="I47" s="257">
        <f>H47</f>
        <v>662.9</v>
      </c>
      <c r="J47" s="257">
        <f>D58/1000000</f>
        <v>660.71809199999996</v>
      </c>
    </row>
    <row r="48" spans="1:10" ht="12.75" customHeight="1">
      <c r="A48" s="116"/>
      <c r="B48" s="120"/>
      <c r="C48" s="120"/>
      <c r="D48" s="106"/>
      <c r="E48" s="106">
        <f>E46-D46</f>
        <v>-12.200000000000045</v>
      </c>
      <c r="F48" s="106">
        <f>F46-E46</f>
        <v>-1.6999999999999318</v>
      </c>
      <c r="G48" s="106">
        <f>G46-F46</f>
        <v>-13.100000000000023</v>
      </c>
      <c r="H48" s="106">
        <f>H46-G46</f>
        <v>-9.2999999999999545</v>
      </c>
      <c r="I48" s="116"/>
      <c r="J48" s="481"/>
    </row>
    <row r="49" spans="1:10" ht="12.75" customHeight="1">
      <c r="I49" s="51"/>
      <c r="J49" s="63"/>
    </row>
    <row r="50" spans="1:10" ht="12.75" customHeight="1">
      <c r="A50" s="804" t="s">
        <v>312</v>
      </c>
      <c r="B50" s="805"/>
      <c r="C50" s="805"/>
      <c r="D50" s="806"/>
      <c r="I50" s="51"/>
      <c r="J50" s="26"/>
    </row>
    <row r="51" spans="1:10" ht="12.75" customHeight="1">
      <c r="A51" s="262" t="s">
        <v>175</v>
      </c>
      <c r="B51" s="262"/>
      <c r="C51" s="262"/>
      <c r="D51" s="266">
        <v>62.79</v>
      </c>
      <c r="I51" s="26"/>
    </row>
    <row r="52" spans="1:10" ht="12.75" customHeight="1">
      <c r="A52" s="267" t="s">
        <v>287</v>
      </c>
      <c r="B52" s="267"/>
      <c r="C52" s="268"/>
      <c r="D52" s="264">
        <v>654885290</v>
      </c>
      <c r="I52" s="26"/>
    </row>
    <row r="53" spans="1:10" ht="20.100000000000001" customHeight="1">
      <c r="A53" s="267" t="s">
        <v>285</v>
      </c>
      <c r="B53" s="267"/>
      <c r="C53" s="267"/>
      <c r="D53" s="264">
        <v>23283000</v>
      </c>
      <c r="I53" s="62"/>
    </row>
    <row r="54" spans="1:10" ht="20.100000000000001" customHeight="1">
      <c r="A54" s="269" t="s">
        <v>283</v>
      </c>
      <c r="B54" s="269"/>
      <c r="C54" s="269"/>
      <c r="D54" s="266">
        <v>47.06</v>
      </c>
      <c r="I54" s="61"/>
    </row>
    <row r="55" spans="1:10" ht="20.100000000000001" customHeight="1">
      <c r="A55" s="269" t="s">
        <v>284</v>
      </c>
      <c r="B55" s="269"/>
      <c r="C55" s="269"/>
      <c r="D55" s="265">
        <f>D53*D54</f>
        <v>1095697980</v>
      </c>
    </row>
    <row r="56" spans="1:10" ht="20.100000000000001" customHeight="1">
      <c r="A56" s="267" t="s">
        <v>288</v>
      </c>
      <c r="B56" s="269"/>
      <c r="C56" s="269"/>
      <c r="D56" s="265">
        <f>+ROUNDDOWN(D55/D51,0)</f>
        <v>17450198</v>
      </c>
    </row>
    <row r="57" spans="1:10" ht="20.100000000000001" customHeight="1">
      <c r="A57" s="275" t="s">
        <v>289</v>
      </c>
      <c r="B57" s="274"/>
      <c r="C57" s="274"/>
      <c r="D57" s="276">
        <f>D53-D56</f>
        <v>5832802</v>
      </c>
    </row>
    <row r="58" spans="1:10" ht="20.100000000000001" customHeight="1">
      <c r="A58" s="270" t="s">
        <v>286</v>
      </c>
      <c r="B58" s="274"/>
      <c r="C58" s="274"/>
      <c r="D58" s="277">
        <f>D57+D52</f>
        <v>660718092</v>
      </c>
    </row>
    <row r="60" spans="1:10" ht="20.100000000000001" customHeight="1">
      <c r="A60" s="804" t="s">
        <v>310</v>
      </c>
      <c r="B60" s="805"/>
      <c r="C60" s="805"/>
      <c r="D60" s="806"/>
    </row>
    <row r="61" spans="1:10" ht="20.100000000000001" customHeight="1">
      <c r="A61" s="270" t="s">
        <v>176</v>
      </c>
      <c r="B61" s="271"/>
      <c r="C61" s="271"/>
      <c r="D61" s="273">
        <f>D58*D51/1000000</f>
        <v>41486.488996680004</v>
      </c>
    </row>
    <row r="62" spans="1:10" ht="20.100000000000001" customHeight="1">
      <c r="A62" s="262" t="s">
        <v>34</v>
      </c>
      <c r="B62" s="262"/>
      <c r="C62" s="262"/>
      <c r="D62" s="278">
        <f>2535+750</f>
        <v>3285</v>
      </c>
    </row>
    <row r="63" spans="1:10" ht="20.100000000000001" customHeight="1">
      <c r="A63" s="262" t="s">
        <v>293</v>
      </c>
      <c r="B63" s="262"/>
      <c r="C63" s="262"/>
      <c r="D63" s="278">
        <f>14479+750</f>
        <v>15229</v>
      </c>
    </row>
    <row r="64" spans="1:10" ht="20.100000000000001" customHeight="1">
      <c r="A64" s="262" t="s">
        <v>291</v>
      </c>
      <c r="B64" s="262"/>
      <c r="C64" s="262"/>
      <c r="D64" s="278">
        <v>0</v>
      </c>
    </row>
    <row r="65" spans="1:4" ht="20.100000000000001" customHeight="1">
      <c r="A65" s="262" t="s">
        <v>177</v>
      </c>
      <c r="B65" s="262"/>
      <c r="C65" s="262"/>
      <c r="D65" s="278">
        <v>0</v>
      </c>
    </row>
    <row r="66" spans="1:4" ht="20.100000000000001" customHeight="1">
      <c r="A66" s="262" t="s">
        <v>292</v>
      </c>
      <c r="B66" s="262"/>
      <c r="C66" s="262"/>
      <c r="D66" s="278">
        <v>0</v>
      </c>
    </row>
    <row r="67" spans="1:4" ht="20.100000000000001" customHeight="1">
      <c r="A67" s="262" t="s">
        <v>178</v>
      </c>
      <c r="B67" s="262"/>
      <c r="C67" s="262"/>
      <c r="D67" s="278">
        <v>0</v>
      </c>
    </row>
    <row r="68" spans="1:4" ht="20.100000000000001" customHeight="1">
      <c r="A68" s="262" t="s">
        <v>179</v>
      </c>
      <c r="B68" s="262"/>
      <c r="C68" s="262"/>
      <c r="D68" s="278">
        <v>-1442</v>
      </c>
    </row>
    <row r="69" spans="1:4" ht="20.100000000000001" customHeight="1">
      <c r="A69" s="270" t="s">
        <v>180</v>
      </c>
      <c r="B69" s="272"/>
      <c r="C69" s="272"/>
      <c r="D69" s="263">
        <f>SUM(D61:D68)</f>
        <v>58558.488996680004</v>
      </c>
    </row>
  </sheetData>
  <mergeCells count="2">
    <mergeCell ref="A50:D50"/>
    <mergeCell ref="A60:D6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66CCFF"/>
  </sheetPr>
  <dimension ref="A1:AO77"/>
  <sheetViews>
    <sheetView workbookViewId="0"/>
  </sheetViews>
  <sheetFormatPr defaultColWidth="9.140625" defaultRowHeight="20.100000000000001" customHeight="1" outlineLevelCol="2"/>
  <cols>
    <col min="1" max="1" width="2.7109375" style="482" customWidth="1"/>
    <col min="2" max="2" width="2.7109375" style="564" customWidth="1"/>
    <col min="3" max="3" width="37.5703125" style="564" bestFit="1" customWidth="1"/>
    <col min="4" max="4" width="17" style="565" customWidth="1" outlineLevel="1"/>
    <col min="5" max="5" width="9.7109375" style="565" customWidth="1" outlineLevel="1"/>
    <col min="6" max="8" width="9.7109375" style="565" customWidth="1" outlineLevel="2"/>
    <col min="9" max="9" width="9.7109375" style="565" customWidth="1"/>
    <col min="10" max="10" width="10.5703125" style="565" customWidth="1" outlineLevel="1"/>
    <col min="11" max="11" width="9.7109375" style="564" customWidth="1" outlineLevel="1" collapsed="1"/>
    <col min="12" max="12" width="9.7109375" style="482" customWidth="1"/>
    <col min="13" max="13" width="9.140625" style="482"/>
    <col min="14" max="18" width="9.140625" style="486"/>
    <col min="19" max="19" width="9.7109375" style="486" bestFit="1" customWidth="1"/>
    <col min="20" max="41" width="9.140625" style="486"/>
    <col min="42" max="16384" width="9.140625" style="482"/>
  </cols>
  <sheetData>
    <row r="1" spans="1:41" ht="58.5" customHeight="1">
      <c r="B1" s="483"/>
      <c r="C1" s="483"/>
      <c r="D1" s="484"/>
      <c r="E1" s="484"/>
      <c r="F1" s="484"/>
      <c r="G1" s="484"/>
      <c r="H1" s="484"/>
      <c r="I1" s="484"/>
      <c r="J1" s="484"/>
      <c r="K1" s="483"/>
      <c r="L1" s="485"/>
    </row>
    <row r="2" spans="1:41" ht="12.75" customHeight="1">
      <c r="A2" s="487" t="s">
        <v>394</v>
      </c>
      <c r="B2" s="488"/>
      <c r="C2" s="487"/>
      <c r="D2" s="489"/>
      <c r="E2" s="489"/>
      <c r="F2" s="489"/>
      <c r="G2" s="489"/>
      <c r="H2" s="489"/>
      <c r="I2" s="489"/>
      <c r="J2" s="489"/>
      <c r="K2" s="487"/>
      <c r="L2" s="490"/>
    </row>
    <row r="3" spans="1:41" ht="12.75" customHeight="1">
      <c r="A3" s="491"/>
      <c r="B3" s="492"/>
      <c r="C3" s="493"/>
      <c r="D3" s="494" t="s">
        <v>32</v>
      </c>
      <c r="E3" s="494"/>
      <c r="F3" s="494"/>
      <c r="G3" s="494"/>
      <c r="H3" s="494"/>
      <c r="I3" s="494"/>
      <c r="J3" s="494"/>
      <c r="K3" s="494"/>
      <c r="L3" s="495" t="s">
        <v>33</v>
      </c>
      <c r="M3" s="486"/>
    </row>
    <row r="4" spans="1:41" ht="12.75" customHeight="1">
      <c r="A4" s="491"/>
      <c r="B4" s="492"/>
      <c r="C4" s="493"/>
      <c r="D4" s="496"/>
      <c r="E4" s="496"/>
      <c r="F4" s="496"/>
      <c r="G4" s="496"/>
      <c r="H4" s="496"/>
      <c r="I4" s="496"/>
      <c r="J4" s="496"/>
      <c r="K4" s="497"/>
      <c r="L4" s="497"/>
    </row>
    <row r="5" spans="1:41" ht="12.75" customHeight="1">
      <c r="A5" s="498"/>
      <c r="B5" s="499"/>
      <c r="C5" s="500"/>
      <c r="D5" s="501" t="s">
        <v>262</v>
      </c>
      <c r="E5" s="501" t="s">
        <v>263</v>
      </c>
      <c r="F5" s="501">
        <v>2011</v>
      </c>
      <c r="G5" s="501" t="s">
        <v>265</v>
      </c>
      <c r="H5" s="501" t="s">
        <v>266</v>
      </c>
      <c r="I5" s="501" t="s">
        <v>261</v>
      </c>
      <c r="J5" s="501" t="s">
        <v>269</v>
      </c>
      <c r="K5" s="501" t="s">
        <v>190</v>
      </c>
      <c r="L5" s="502" t="s">
        <v>268</v>
      </c>
    </row>
    <row r="6" spans="1:41" s="507" customFormat="1" ht="21" customHeight="1">
      <c r="A6" s="503" t="s">
        <v>39</v>
      </c>
      <c r="B6" s="504"/>
      <c r="C6" s="505"/>
      <c r="D6" s="506"/>
      <c r="E6" s="506"/>
      <c r="F6" s="506"/>
      <c r="G6" s="506"/>
      <c r="H6" s="506"/>
      <c r="I6" s="506"/>
      <c r="J6" s="506"/>
      <c r="K6" s="506"/>
      <c r="L6" s="506"/>
      <c r="N6" s="486"/>
      <c r="O6" s="486"/>
      <c r="P6" s="486"/>
      <c r="Q6" s="486"/>
      <c r="R6" s="486"/>
      <c r="S6" s="486"/>
      <c r="T6" s="486"/>
      <c r="U6" s="486"/>
      <c r="V6" s="486"/>
      <c r="W6" s="486"/>
      <c r="X6" s="486"/>
      <c r="Y6" s="486"/>
      <c r="Z6" s="486"/>
      <c r="AA6" s="486"/>
      <c r="AB6" s="486"/>
      <c r="AC6" s="486"/>
      <c r="AD6" s="486"/>
      <c r="AE6" s="486"/>
      <c r="AF6" s="486"/>
      <c r="AG6" s="486"/>
      <c r="AH6" s="486"/>
      <c r="AI6" s="486"/>
      <c r="AJ6" s="486"/>
      <c r="AK6" s="486"/>
      <c r="AL6" s="486"/>
      <c r="AM6" s="486"/>
      <c r="AN6" s="486"/>
      <c r="AO6" s="486"/>
    </row>
    <row r="7" spans="1:41" s="507" customFormat="1" ht="15">
      <c r="A7" s="508"/>
      <c r="B7" s="504"/>
      <c r="C7" s="509" t="s">
        <v>158</v>
      </c>
      <c r="D7" s="510">
        <v>3451.6970000000001</v>
      </c>
      <c r="E7" s="511">
        <v>3575.194</v>
      </c>
      <c r="F7" s="511">
        <v>14807.188</v>
      </c>
      <c r="G7" s="511">
        <v>3901.2049999999999</v>
      </c>
      <c r="H7" s="511">
        <v>3948.6550000000002</v>
      </c>
      <c r="I7" s="511"/>
      <c r="J7" s="512"/>
      <c r="K7" s="512">
        <f>H7+G7+F7-E7-D7</f>
        <v>15630.157000000003</v>
      </c>
      <c r="L7" s="513"/>
      <c r="N7" s="486"/>
      <c r="O7" s="486"/>
      <c r="P7" s="486"/>
      <c r="Q7" s="486"/>
      <c r="R7" s="486"/>
      <c r="S7" s="486"/>
      <c r="T7" s="486"/>
      <c r="U7" s="486"/>
      <c r="V7" s="486"/>
      <c r="W7" s="486"/>
      <c r="X7" s="486"/>
      <c r="Y7" s="486"/>
      <c r="Z7" s="486"/>
      <c r="AA7" s="486"/>
      <c r="AB7" s="486"/>
      <c r="AC7" s="486"/>
      <c r="AD7" s="486"/>
      <c r="AE7" s="486"/>
      <c r="AF7" s="486"/>
      <c r="AG7" s="486"/>
      <c r="AH7" s="486"/>
      <c r="AI7" s="486"/>
      <c r="AJ7" s="486"/>
      <c r="AK7" s="486"/>
      <c r="AL7" s="486"/>
      <c r="AM7" s="486"/>
      <c r="AN7" s="486"/>
      <c r="AO7" s="486"/>
    </row>
    <row r="8" spans="1:41" s="507" customFormat="1" ht="15">
      <c r="A8" s="508"/>
      <c r="B8" s="504"/>
      <c r="C8" s="509"/>
      <c r="D8" s="514"/>
      <c r="E8" s="514"/>
      <c r="F8" s="515"/>
      <c r="G8" s="514"/>
      <c r="H8" s="514"/>
      <c r="I8" s="514"/>
      <c r="J8" s="514"/>
      <c r="K8" s="514"/>
      <c r="L8" s="516"/>
      <c r="N8" s="486"/>
      <c r="O8" s="486"/>
      <c r="P8" s="486"/>
      <c r="Q8" s="486"/>
      <c r="R8" s="486"/>
      <c r="S8" s="486"/>
      <c r="T8" s="486"/>
      <c r="U8" s="486"/>
      <c r="V8" s="486"/>
      <c r="W8" s="486"/>
      <c r="X8" s="486"/>
      <c r="Y8" s="486"/>
      <c r="Z8" s="486"/>
      <c r="AA8" s="486"/>
      <c r="AB8" s="486"/>
      <c r="AC8" s="486"/>
      <c r="AD8" s="486"/>
      <c r="AE8" s="486"/>
      <c r="AF8" s="486"/>
      <c r="AG8" s="486"/>
      <c r="AH8" s="486"/>
      <c r="AI8" s="486"/>
      <c r="AJ8" s="486"/>
      <c r="AK8" s="486"/>
      <c r="AL8" s="486"/>
      <c r="AM8" s="486"/>
      <c r="AN8" s="486"/>
      <c r="AO8" s="486"/>
    </row>
    <row r="9" spans="1:41" ht="12.75" customHeight="1">
      <c r="A9" s="517"/>
      <c r="B9" s="518" t="s">
        <v>63</v>
      </c>
      <c r="C9" s="519"/>
      <c r="D9" s="520">
        <f>SUM(D7:D8)</f>
        <v>3451.6970000000001</v>
      </c>
      <c r="E9" s="520">
        <f>SUM(E7:E8)</f>
        <v>3575.194</v>
      </c>
      <c r="F9" s="520">
        <f>SUM(F7:F8)</f>
        <v>14807.188</v>
      </c>
      <c r="G9" s="520">
        <f>SUM(G7:G8)</f>
        <v>3901.2049999999999</v>
      </c>
      <c r="H9" s="520">
        <f>SUM(H7:H8)</f>
        <v>3948.6550000000002</v>
      </c>
      <c r="I9" s="520"/>
      <c r="J9" s="520"/>
      <c r="K9" s="520">
        <f>SUM(K7:K8)</f>
        <v>15630.157000000003</v>
      </c>
      <c r="L9" s="520">
        <f>K9*(1+L10)</f>
        <v>17505.775840000006</v>
      </c>
    </row>
    <row r="10" spans="1:41" ht="12.75" customHeight="1">
      <c r="A10" s="517"/>
      <c r="B10" s="521"/>
      <c r="C10" s="522" t="s">
        <v>40</v>
      </c>
      <c r="D10" s="514"/>
      <c r="E10" s="514"/>
      <c r="F10" s="514"/>
      <c r="G10" s="514"/>
      <c r="H10" s="514"/>
      <c r="I10" s="514"/>
      <c r="J10" s="514"/>
      <c r="K10" s="514"/>
      <c r="L10" s="523">
        <v>0.12</v>
      </c>
    </row>
    <row r="11" spans="1:41" ht="9" customHeight="1">
      <c r="A11" s="524"/>
      <c r="B11" s="521"/>
      <c r="C11" s="522"/>
      <c r="D11" s="514"/>
      <c r="E11" s="514"/>
      <c r="F11" s="514"/>
      <c r="G11" s="514"/>
      <c r="H11" s="514"/>
      <c r="I11" s="514"/>
      <c r="J11" s="514"/>
      <c r="K11" s="514"/>
      <c r="L11" s="525"/>
    </row>
    <row r="12" spans="1:41" ht="12.75" customHeight="1" collapsed="1">
      <c r="A12" s="518" t="s">
        <v>41</v>
      </c>
      <c r="B12" s="518"/>
      <c r="C12" s="526"/>
      <c r="D12" s="510">
        <v>2364.3000000000002</v>
      </c>
      <c r="E12" s="511">
        <v>2426.8519999999999</v>
      </c>
      <c r="F12" s="511">
        <v>10109.278</v>
      </c>
      <c r="G12" s="511">
        <v>2672.9490000000001</v>
      </c>
      <c r="H12" s="511">
        <v>2685.4319999999998</v>
      </c>
      <c r="I12" s="511"/>
      <c r="J12" s="512"/>
      <c r="K12" s="512">
        <f>H12+G12+F12-E12-D12</f>
        <v>10676.507000000001</v>
      </c>
      <c r="L12" s="513">
        <f>L13*L9</f>
        <v>11957.687840000004</v>
      </c>
    </row>
    <row r="13" spans="1:41" ht="15" customHeight="1">
      <c r="A13" s="517"/>
      <c r="B13" s="527" t="s">
        <v>42</v>
      </c>
      <c r="C13" s="528"/>
      <c r="D13" s="529">
        <f>D12/D9</f>
        <v>0.68496742327035076</v>
      </c>
      <c r="E13" s="529">
        <f>E12/E9</f>
        <v>0.67880288454276883</v>
      </c>
      <c r="F13" s="529">
        <f>F12/F9</f>
        <v>0.6827277400678643</v>
      </c>
      <c r="G13" s="529">
        <f>G12/G9</f>
        <v>0.68515984163867316</v>
      </c>
      <c r="H13" s="529">
        <f>H12/H9</f>
        <v>0.68008777672397303</v>
      </c>
      <c r="I13" s="529"/>
      <c r="J13" s="529"/>
      <c r="K13" s="529">
        <f>K12/K9</f>
        <v>0.68307100178200386</v>
      </c>
      <c r="L13" s="530">
        <f>K13</f>
        <v>0.68307100178200386</v>
      </c>
    </row>
    <row r="14" spans="1:41" ht="21" customHeight="1">
      <c r="A14" s="503" t="s">
        <v>62</v>
      </c>
      <c r="B14" s="503"/>
      <c r="C14" s="505"/>
      <c r="D14" s="531">
        <f>D9-D12</f>
        <v>1087.3969999999999</v>
      </c>
      <c r="E14" s="531">
        <f>E9-E12</f>
        <v>1148.3420000000001</v>
      </c>
      <c r="F14" s="531">
        <f>F9-F12</f>
        <v>4697.91</v>
      </c>
      <c r="G14" s="531">
        <f>G9-G12</f>
        <v>1228.2559999999999</v>
      </c>
      <c r="H14" s="531">
        <f>H9-H12</f>
        <v>1263.2230000000004</v>
      </c>
      <c r="I14" s="531"/>
      <c r="J14" s="531"/>
      <c r="K14" s="531">
        <f>K9-K12</f>
        <v>4953.6500000000015</v>
      </c>
      <c r="L14" s="531">
        <f>L9-L12</f>
        <v>5548.0880000000016</v>
      </c>
    </row>
    <row r="15" spans="1:41" ht="12">
      <c r="A15" s="517"/>
      <c r="B15" s="532" t="s">
        <v>43</v>
      </c>
      <c r="C15" s="522"/>
      <c r="D15" s="514">
        <f>D14/D9</f>
        <v>0.31503257672964918</v>
      </c>
      <c r="E15" s="514">
        <f>E14/E9</f>
        <v>0.32119711545723117</v>
      </c>
      <c r="F15" s="514">
        <f>F14/F9</f>
        <v>0.31727225993213565</v>
      </c>
      <c r="G15" s="514">
        <f>G14/G9</f>
        <v>0.31484015836132678</v>
      </c>
      <c r="H15" s="514">
        <f>H14/H9</f>
        <v>0.31991222327602697</v>
      </c>
      <c r="I15" s="514"/>
      <c r="J15" s="514"/>
      <c r="K15" s="514">
        <f>K14/K9</f>
        <v>0.31692899821799619</v>
      </c>
      <c r="L15" s="514">
        <f>L14/L9</f>
        <v>0.31692899821799614</v>
      </c>
      <c r="N15" s="482"/>
      <c r="O15" s="482"/>
      <c r="P15" s="482"/>
      <c r="Q15" s="482"/>
      <c r="R15" s="482"/>
      <c r="S15" s="482"/>
      <c r="T15" s="482"/>
      <c r="U15" s="482"/>
      <c r="V15" s="482"/>
      <c r="W15" s="482"/>
      <c r="X15" s="482"/>
      <c r="Y15" s="482"/>
      <c r="Z15" s="482"/>
      <c r="AA15" s="482"/>
      <c r="AB15" s="482"/>
      <c r="AC15" s="482"/>
      <c r="AD15" s="482"/>
      <c r="AE15" s="482"/>
      <c r="AF15" s="482"/>
      <c r="AG15" s="482"/>
      <c r="AH15" s="482"/>
      <c r="AI15" s="482"/>
      <c r="AJ15" s="482"/>
      <c r="AK15" s="482"/>
      <c r="AL15" s="482"/>
      <c r="AM15" s="482"/>
      <c r="AN15" s="482"/>
      <c r="AO15" s="482"/>
    </row>
    <row r="16" spans="1:41" ht="12">
      <c r="A16" s="518" t="s">
        <v>49</v>
      </c>
      <c r="B16" s="521"/>
      <c r="C16" s="521"/>
      <c r="D16" s="533"/>
      <c r="E16" s="533"/>
      <c r="F16" s="533"/>
      <c r="G16" s="533"/>
      <c r="H16" s="533"/>
      <c r="I16" s="533"/>
      <c r="J16" s="533"/>
      <c r="K16" s="533"/>
      <c r="L16" s="533"/>
      <c r="N16" s="482"/>
      <c r="O16" s="482"/>
      <c r="P16" s="482"/>
      <c r="Q16" s="482"/>
      <c r="R16" s="482"/>
      <c r="S16" s="482"/>
      <c r="T16" s="482"/>
      <c r="U16" s="482"/>
      <c r="V16" s="482"/>
      <c r="W16" s="482"/>
      <c r="X16" s="482"/>
      <c r="Y16" s="482"/>
      <c r="Z16" s="482"/>
      <c r="AA16" s="482"/>
      <c r="AB16" s="482"/>
      <c r="AC16" s="482"/>
      <c r="AD16" s="482"/>
      <c r="AE16" s="482"/>
      <c r="AF16" s="482"/>
      <c r="AG16" s="482"/>
      <c r="AH16" s="482"/>
      <c r="AI16" s="482"/>
      <c r="AJ16" s="482"/>
      <c r="AK16" s="482"/>
      <c r="AL16" s="482"/>
      <c r="AM16" s="482"/>
      <c r="AN16" s="482"/>
      <c r="AO16" s="482"/>
    </row>
    <row r="17" spans="1:41" ht="12">
      <c r="A17" s="517"/>
      <c r="B17" s="521" t="s">
        <v>44</v>
      </c>
      <c r="C17" s="521"/>
      <c r="D17" s="510">
        <v>698.29300000000001</v>
      </c>
      <c r="E17" s="510">
        <v>729.928</v>
      </c>
      <c r="F17" s="510">
        <v>2931.6980000000003</v>
      </c>
      <c r="G17" s="510">
        <v>771.66100000000006</v>
      </c>
      <c r="H17" s="510">
        <v>802.02</v>
      </c>
      <c r="I17" s="511"/>
      <c r="J17" s="512"/>
      <c r="K17" s="512">
        <f>H17+G17+F17-E17-D17</f>
        <v>3077.1580000000008</v>
      </c>
      <c r="L17" s="513">
        <f>L18*L9</f>
        <v>3446.4169600000014</v>
      </c>
      <c r="N17" s="482"/>
      <c r="O17" s="482"/>
      <c r="P17" s="482"/>
      <c r="Q17" s="482"/>
      <c r="R17" s="482"/>
      <c r="S17" s="482"/>
      <c r="T17" s="482"/>
      <c r="U17" s="482"/>
      <c r="V17" s="482"/>
      <c r="W17" s="482"/>
      <c r="X17" s="482"/>
      <c r="Y17" s="482"/>
      <c r="Z17" s="482"/>
      <c r="AA17" s="482"/>
      <c r="AB17" s="482"/>
      <c r="AC17" s="482"/>
      <c r="AD17" s="482"/>
      <c r="AE17" s="482"/>
      <c r="AF17" s="482"/>
      <c r="AG17" s="482"/>
      <c r="AH17" s="482"/>
      <c r="AI17" s="482"/>
      <c r="AJ17" s="482"/>
      <c r="AK17" s="482"/>
      <c r="AL17" s="482"/>
      <c r="AM17" s="482"/>
      <c r="AN17" s="482"/>
      <c r="AO17" s="482"/>
    </row>
    <row r="18" spans="1:41" ht="12">
      <c r="A18" s="517"/>
      <c r="B18" s="521"/>
      <c r="C18" s="522" t="s">
        <v>100</v>
      </c>
      <c r="D18" s="534">
        <f>D17/D9</f>
        <v>0.20230425787663286</v>
      </c>
      <c r="E18" s="534">
        <f>E17/E9</f>
        <v>0.2041645851945377</v>
      </c>
      <c r="F18" s="534">
        <f>F17/F9</f>
        <v>0.19799154302626537</v>
      </c>
      <c r="G18" s="534">
        <f>G17/G9</f>
        <v>0.19780067953363129</v>
      </c>
      <c r="H18" s="534">
        <f>H17/H9</f>
        <v>0.203112198963951</v>
      </c>
      <c r="I18" s="534"/>
      <c r="J18" s="534"/>
      <c r="K18" s="534">
        <f>K17/K9</f>
        <v>0.19687313441573237</v>
      </c>
      <c r="L18" s="535">
        <f>K18</f>
        <v>0.19687313441573237</v>
      </c>
      <c r="N18" s="482"/>
      <c r="O18" s="482"/>
      <c r="P18" s="482"/>
      <c r="Q18" s="482"/>
      <c r="R18" s="482"/>
      <c r="S18" s="482"/>
      <c r="T18" s="482"/>
      <c r="U18" s="482"/>
      <c r="V18" s="482"/>
      <c r="W18" s="482"/>
      <c r="X18" s="482"/>
      <c r="Y18" s="482"/>
      <c r="Z18" s="482"/>
      <c r="AA18" s="482"/>
      <c r="AB18" s="482"/>
      <c r="AC18" s="482"/>
      <c r="AD18" s="482"/>
      <c r="AE18" s="482"/>
      <c r="AF18" s="482"/>
      <c r="AG18" s="482"/>
      <c r="AH18" s="482"/>
      <c r="AI18" s="482"/>
      <c r="AJ18" s="482"/>
      <c r="AK18" s="482"/>
      <c r="AL18" s="482"/>
      <c r="AM18" s="482"/>
      <c r="AN18" s="482"/>
      <c r="AO18" s="482"/>
    </row>
    <row r="19" spans="1:41" ht="12">
      <c r="A19" s="517"/>
      <c r="B19" s="503" t="s">
        <v>50</v>
      </c>
      <c r="C19" s="508"/>
      <c r="D19" s="536">
        <f>D17</f>
        <v>698.29300000000001</v>
      </c>
      <c r="E19" s="536">
        <f>E17</f>
        <v>729.928</v>
      </c>
      <c r="F19" s="536">
        <f>F17</f>
        <v>2931.6980000000003</v>
      </c>
      <c r="G19" s="536">
        <f>G17</f>
        <v>771.66100000000006</v>
      </c>
      <c r="H19" s="536">
        <f>H17</f>
        <v>802.02</v>
      </c>
      <c r="I19" s="536"/>
      <c r="J19" s="536"/>
      <c r="K19" s="536">
        <f>K17</f>
        <v>3077.1580000000008</v>
      </c>
      <c r="L19" s="536">
        <f>L17</f>
        <v>3446.4169600000014</v>
      </c>
      <c r="N19" s="537"/>
      <c r="O19" s="482"/>
      <c r="P19" s="482"/>
      <c r="Q19" s="482"/>
      <c r="R19" s="482"/>
      <c r="S19" s="482"/>
      <c r="T19" s="482"/>
      <c r="U19" s="482"/>
      <c r="V19" s="482"/>
      <c r="W19" s="482"/>
      <c r="X19" s="482"/>
      <c r="Y19" s="482"/>
      <c r="Z19" s="482"/>
      <c r="AA19" s="482"/>
      <c r="AB19" s="482"/>
      <c r="AC19" s="482"/>
      <c r="AD19" s="482"/>
      <c r="AE19" s="482"/>
      <c r="AF19" s="482"/>
      <c r="AG19" s="482"/>
      <c r="AH19" s="482"/>
      <c r="AI19" s="482"/>
      <c r="AJ19" s="482"/>
      <c r="AK19" s="482"/>
      <c r="AL19" s="482"/>
      <c r="AM19" s="482"/>
      <c r="AN19" s="482"/>
      <c r="AO19" s="482"/>
    </row>
    <row r="20" spans="1:41" ht="12">
      <c r="A20" s="518" t="s">
        <v>2</v>
      </c>
      <c r="B20" s="518"/>
      <c r="C20" s="519"/>
      <c r="D20" s="520">
        <f>D14-D17</f>
        <v>389.10399999999993</v>
      </c>
      <c r="E20" s="520">
        <f>E14-E17</f>
        <v>418.4140000000001</v>
      </c>
      <c r="F20" s="520">
        <f>F14-F17</f>
        <v>1766.2119999999995</v>
      </c>
      <c r="G20" s="520">
        <f>G14-G17</f>
        <v>456.5949999999998</v>
      </c>
      <c r="H20" s="520">
        <f>H14-H17</f>
        <v>461.20300000000043</v>
      </c>
      <c r="I20" s="520"/>
      <c r="J20" s="520"/>
      <c r="K20" s="520">
        <f>K14-K17</f>
        <v>1876.4920000000006</v>
      </c>
      <c r="L20" s="520">
        <f>L14-L17</f>
        <v>2101.6710400000002</v>
      </c>
      <c r="N20" s="482"/>
      <c r="O20" s="537"/>
      <c r="P20" s="482"/>
      <c r="Q20" s="482"/>
      <c r="R20" s="482"/>
      <c r="S20" s="482"/>
      <c r="T20" s="482"/>
      <c r="U20" s="482"/>
      <c r="V20" s="482"/>
      <c r="W20" s="482"/>
      <c r="X20" s="482"/>
      <c r="Y20" s="482"/>
      <c r="Z20" s="482"/>
      <c r="AA20" s="482"/>
      <c r="AB20" s="482"/>
      <c r="AC20" s="482"/>
      <c r="AD20" s="482"/>
      <c r="AE20" s="482"/>
      <c r="AF20" s="482"/>
      <c r="AG20" s="482"/>
      <c r="AH20" s="482"/>
      <c r="AI20" s="482"/>
      <c r="AJ20" s="482"/>
      <c r="AK20" s="482"/>
      <c r="AL20" s="482"/>
      <c r="AM20" s="482"/>
      <c r="AN20" s="482"/>
      <c r="AO20" s="482"/>
    </row>
    <row r="21" spans="1:41" ht="12">
      <c r="A21" s="517"/>
      <c r="B21" s="532" t="s">
        <v>45</v>
      </c>
      <c r="C21" s="522"/>
      <c r="D21" s="514">
        <f>D20/D9</f>
        <v>0.11272831885301633</v>
      </c>
      <c r="E21" s="514">
        <f>E20/E9</f>
        <v>0.11703253026269346</v>
      </c>
      <c r="F21" s="514">
        <f>F20/F9</f>
        <v>0.11928071690587028</v>
      </c>
      <c r="G21" s="514">
        <f>G20/G9</f>
        <v>0.1170394788276955</v>
      </c>
      <c r="H21" s="514">
        <f>H20/H9</f>
        <v>0.11680002431207599</v>
      </c>
      <c r="I21" s="514"/>
      <c r="J21" s="514"/>
      <c r="K21" s="514">
        <f>K20/K9</f>
        <v>0.12005586380226381</v>
      </c>
      <c r="L21" s="514">
        <f>L20/L9</f>
        <v>0.12005586380226377</v>
      </c>
      <c r="N21" s="482"/>
      <c r="O21" s="482"/>
      <c r="P21" s="482"/>
      <c r="Q21" s="482"/>
      <c r="R21" s="482"/>
      <c r="S21" s="482"/>
      <c r="T21" s="482"/>
      <c r="U21" s="482"/>
      <c r="V21" s="482"/>
      <c r="W21" s="482"/>
      <c r="X21" s="482"/>
      <c r="Y21" s="482"/>
      <c r="Z21" s="482"/>
      <c r="AA21" s="482"/>
      <c r="AB21" s="482"/>
      <c r="AC21" s="482"/>
      <c r="AD21" s="482"/>
      <c r="AE21" s="482"/>
      <c r="AF21" s="482"/>
      <c r="AG21" s="482"/>
      <c r="AH21" s="482"/>
      <c r="AI21" s="482"/>
      <c r="AJ21" s="482"/>
      <c r="AK21" s="482"/>
      <c r="AL21" s="482"/>
      <c r="AM21" s="482"/>
      <c r="AN21" s="482"/>
      <c r="AO21" s="482"/>
    </row>
    <row r="22" spans="1:41" ht="12">
      <c r="A22" s="521" t="s">
        <v>46</v>
      </c>
      <c r="B22" s="521"/>
      <c r="C22" s="521"/>
      <c r="D22" s="510">
        <v>67.486000000000004</v>
      </c>
      <c r="E22" s="510">
        <v>68.385000000000005</v>
      </c>
      <c r="F22" s="510">
        <v>275.40800000000002</v>
      </c>
      <c r="G22" s="510">
        <v>72.271000000000001</v>
      </c>
      <c r="H22" s="510">
        <v>73.989000000000004</v>
      </c>
      <c r="I22" s="510"/>
      <c r="J22" s="512"/>
      <c r="K22" s="512">
        <f>H22+G22+F22-E22-D22</f>
        <v>285.79700000000003</v>
      </c>
      <c r="L22" s="513">
        <f>L23*L9</f>
        <v>320.09264000000007</v>
      </c>
      <c r="N22" s="482"/>
      <c r="O22" s="482"/>
      <c r="P22" s="482"/>
      <c r="Q22" s="482"/>
      <c r="R22" s="482"/>
      <c r="S22" s="482"/>
      <c r="T22" s="482"/>
      <c r="U22" s="482"/>
      <c r="V22" s="482"/>
      <c r="W22" s="482"/>
      <c r="X22" s="482"/>
      <c r="Y22" s="482"/>
      <c r="Z22" s="482"/>
      <c r="AA22" s="482"/>
      <c r="AB22" s="482"/>
      <c r="AC22" s="482"/>
      <c r="AD22" s="482"/>
      <c r="AE22" s="482"/>
      <c r="AF22" s="482"/>
      <c r="AG22" s="482"/>
      <c r="AH22" s="482"/>
      <c r="AI22" s="482"/>
      <c r="AJ22" s="482"/>
      <c r="AK22" s="482"/>
      <c r="AL22" s="482"/>
      <c r="AM22" s="482"/>
      <c r="AN22" s="482"/>
      <c r="AO22" s="482"/>
    </row>
    <row r="23" spans="1:41" ht="12">
      <c r="A23" s="517"/>
      <c r="B23" s="527" t="s">
        <v>187</v>
      </c>
      <c r="C23" s="508"/>
      <c r="D23" s="529">
        <f>D22/D9</f>
        <v>1.9551542328309815E-2</v>
      </c>
      <c r="E23" s="529">
        <f>E22/E9</f>
        <v>1.9127633353602631E-2</v>
      </c>
      <c r="F23" s="529">
        <f>F22/F9</f>
        <v>1.8599615267936086E-2</v>
      </c>
      <c r="G23" s="529">
        <f>G22/G9</f>
        <v>1.8525301797777866E-2</v>
      </c>
      <c r="H23" s="529">
        <f>H22/H9</f>
        <v>1.8737772735273151E-2</v>
      </c>
      <c r="I23" s="529"/>
      <c r="J23" s="529"/>
      <c r="K23" s="529">
        <f>K22/K9</f>
        <v>1.8284973081204494E-2</v>
      </c>
      <c r="L23" s="529">
        <f>K23</f>
        <v>1.8284973081204494E-2</v>
      </c>
      <c r="N23" s="482"/>
      <c r="O23" s="482"/>
      <c r="P23" s="482"/>
      <c r="Q23" s="482"/>
      <c r="R23" s="482"/>
      <c r="S23" s="482"/>
      <c r="T23" s="482"/>
      <c r="U23" s="482"/>
      <c r="V23" s="482"/>
      <c r="W23" s="482"/>
      <c r="X23" s="482"/>
      <c r="Y23" s="482"/>
      <c r="Z23" s="482"/>
      <c r="AA23" s="482"/>
      <c r="AB23" s="482"/>
      <c r="AC23" s="482"/>
      <c r="AD23" s="482"/>
      <c r="AE23" s="482"/>
      <c r="AF23" s="482"/>
      <c r="AG23" s="482"/>
      <c r="AH23" s="482"/>
      <c r="AI23" s="482"/>
      <c r="AJ23" s="482"/>
      <c r="AK23" s="482"/>
      <c r="AL23" s="482"/>
      <c r="AM23" s="482"/>
      <c r="AN23" s="482"/>
      <c r="AO23" s="482"/>
    </row>
    <row r="24" spans="1:41" ht="12">
      <c r="A24" s="518" t="s">
        <v>1</v>
      </c>
      <c r="B24" s="518"/>
      <c r="C24" s="519"/>
      <c r="D24" s="520">
        <f>D20-D22</f>
        <v>321.61799999999994</v>
      </c>
      <c r="E24" s="520">
        <f>E20-E22</f>
        <v>350.02900000000011</v>
      </c>
      <c r="F24" s="520">
        <f>F20-F22</f>
        <v>1490.8039999999996</v>
      </c>
      <c r="G24" s="520">
        <f>G20-G22</f>
        <v>384.32399999999978</v>
      </c>
      <c r="H24" s="520">
        <f>H20-H22</f>
        <v>387.2140000000004</v>
      </c>
      <c r="I24" s="520"/>
      <c r="J24" s="520"/>
      <c r="K24" s="520">
        <f>K20-K22</f>
        <v>1590.6950000000006</v>
      </c>
      <c r="L24" s="520">
        <f>L20-L22</f>
        <v>1781.5784000000001</v>
      </c>
      <c r="N24" s="482"/>
      <c r="O24" s="482"/>
      <c r="P24" s="482"/>
      <c r="Q24" s="482"/>
      <c r="R24" s="482"/>
      <c r="S24" s="482"/>
      <c r="T24" s="482"/>
      <c r="U24" s="482"/>
      <c r="V24" s="482"/>
      <c r="W24" s="482"/>
      <c r="X24" s="482"/>
      <c r="Y24" s="482"/>
      <c r="Z24" s="482"/>
      <c r="AA24" s="482"/>
      <c r="AB24" s="482"/>
      <c r="AC24" s="482"/>
      <c r="AD24" s="482"/>
      <c r="AE24" s="482"/>
      <c r="AF24" s="482"/>
      <c r="AG24" s="482"/>
      <c r="AH24" s="482"/>
      <c r="AI24" s="482"/>
      <c r="AJ24" s="482"/>
      <c r="AK24" s="482"/>
      <c r="AL24" s="482"/>
      <c r="AM24" s="482"/>
      <c r="AN24" s="482"/>
      <c r="AO24" s="482"/>
    </row>
    <row r="25" spans="1:41" ht="12">
      <c r="A25" s="517"/>
      <c r="B25" s="527" t="s">
        <v>47</v>
      </c>
      <c r="C25" s="527"/>
      <c r="D25" s="529">
        <f>D24/D9</f>
        <v>9.3176776524706517E-2</v>
      </c>
      <c r="E25" s="529">
        <f>E24/E9</f>
        <v>9.7904896909090836E-2</v>
      </c>
      <c r="F25" s="529">
        <f>F24/F9</f>
        <v>0.1006811016379342</v>
      </c>
      <c r="G25" s="529">
        <f>G24/G9</f>
        <v>9.8514177029917632E-2</v>
      </c>
      <c r="H25" s="529">
        <f>H24/H9</f>
        <v>9.8062251576802831E-2</v>
      </c>
      <c r="I25" s="529"/>
      <c r="J25" s="529"/>
      <c r="K25" s="529">
        <f>K24/K9</f>
        <v>0.10177089072105931</v>
      </c>
      <c r="L25" s="529">
        <f>L24/L9</f>
        <v>0.10177089072105927</v>
      </c>
      <c r="N25" s="482"/>
      <c r="O25" s="482"/>
      <c r="P25" s="482"/>
      <c r="Q25" s="482"/>
      <c r="R25" s="482"/>
      <c r="S25" s="482"/>
      <c r="T25" s="482"/>
      <c r="U25" s="482"/>
      <c r="V25" s="482"/>
      <c r="W25" s="482"/>
      <c r="X25" s="482"/>
      <c r="Y25" s="482"/>
      <c r="Z25" s="482"/>
      <c r="AA25" s="482"/>
      <c r="AB25" s="482"/>
      <c r="AC25" s="482"/>
      <c r="AD25" s="482"/>
      <c r="AE25" s="482"/>
      <c r="AF25" s="482"/>
      <c r="AG25" s="482"/>
      <c r="AH25" s="482"/>
      <c r="AI25" s="482"/>
      <c r="AJ25" s="482"/>
      <c r="AK25" s="482"/>
      <c r="AL25" s="482"/>
      <c r="AM25" s="482"/>
      <c r="AN25" s="482"/>
      <c r="AO25" s="482"/>
    </row>
    <row r="26" spans="1:41" ht="12">
      <c r="A26" s="518" t="s">
        <v>51</v>
      </c>
      <c r="B26" s="521"/>
      <c r="C26" s="526"/>
      <c r="D26" s="513"/>
      <c r="E26" s="513"/>
      <c r="F26" s="513"/>
      <c r="G26" s="513"/>
      <c r="H26" s="513"/>
      <c r="I26" s="513"/>
      <c r="J26" s="513"/>
      <c r="K26" s="513"/>
      <c r="L26" s="513"/>
      <c r="N26" s="482"/>
      <c r="O26" s="482"/>
      <c r="P26" s="482"/>
      <c r="Q26" s="482"/>
      <c r="R26" s="482"/>
      <c r="S26" s="482"/>
      <c r="T26" s="482"/>
      <c r="U26" s="482"/>
      <c r="V26" s="482"/>
      <c r="W26" s="482"/>
      <c r="X26" s="482"/>
      <c r="Y26" s="482"/>
      <c r="Z26" s="482"/>
      <c r="AA26" s="482"/>
      <c r="AB26" s="482"/>
      <c r="AC26" s="482"/>
      <c r="AD26" s="482"/>
      <c r="AE26" s="482"/>
      <c r="AF26" s="482"/>
      <c r="AG26" s="482"/>
      <c r="AH26" s="482"/>
      <c r="AI26" s="482"/>
      <c r="AJ26" s="482"/>
      <c r="AK26" s="482"/>
      <c r="AL26" s="482"/>
      <c r="AM26" s="482"/>
      <c r="AN26" s="482"/>
      <c r="AO26" s="482"/>
    </row>
    <row r="27" spans="1:41" ht="12">
      <c r="A27" s="517"/>
      <c r="B27" s="521" t="s">
        <v>13</v>
      </c>
      <c r="C27" s="521"/>
      <c r="D27" s="510">
        <v>0</v>
      </c>
      <c r="E27" s="538">
        <v>0</v>
      </c>
      <c r="F27" s="538">
        <v>0</v>
      </c>
      <c r="G27" s="538">
        <v>0</v>
      </c>
      <c r="H27" s="538">
        <v>0</v>
      </c>
      <c r="I27" s="538"/>
      <c r="J27" s="512"/>
      <c r="K27" s="512">
        <f>H27+G27+F27-E27-D27</f>
        <v>0</v>
      </c>
      <c r="L27" s="512">
        <f>I27+H27+G27-F27-E27</f>
        <v>0</v>
      </c>
      <c r="N27" s="482"/>
      <c r="O27" s="482"/>
      <c r="P27" s="482"/>
      <c r="Q27" s="482"/>
      <c r="R27" s="482"/>
      <c r="S27" s="482"/>
      <c r="T27" s="482"/>
      <c r="U27" s="482"/>
      <c r="V27" s="482"/>
      <c r="W27" s="482"/>
      <c r="X27" s="482"/>
      <c r="Y27" s="482"/>
      <c r="Z27" s="482"/>
      <c r="AA27" s="482"/>
      <c r="AB27" s="482"/>
      <c r="AC27" s="482"/>
      <c r="AD27" s="482"/>
      <c r="AE27" s="482"/>
      <c r="AF27" s="482"/>
      <c r="AG27" s="482"/>
      <c r="AH27" s="482"/>
      <c r="AI27" s="482"/>
      <c r="AJ27" s="482"/>
      <c r="AK27" s="482"/>
      <c r="AL27" s="482"/>
      <c r="AM27" s="482"/>
      <c r="AN27" s="482"/>
      <c r="AO27" s="482"/>
    </row>
    <row r="28" spans="1:41" ht="12">
      <c r="A28" s="517"/>
      <c r="B28" s="521" t="s">
        <v>193</v>
      </c>
      <c r="C28" s="521"/>
      <c r="D28" s="539">
        <v>0</v>
      </c>
      <c r="E28" s="540">
        <v>0</v>
      </c>
      <c r="F28" s="540">
        <v>0</v>
      </c>
      <c r="G28" s="540">
        <v>0</v>
      </c>
      <c r="H28" s="540">
        <v>0</v>
      </c>
      <c r="I28" s="540"/>
      <c r="J28" s="541"/>
      <c r="K28" s="542">
        <f>H28+G28+F28-E28-D28</f>
        <v>0</v>
      </c>
      <c r="L28" s="542">
        <f>I28+H28+G28-F28-E28</f>
        <v>0</v>
      </c>
      <c r="N28" s="482"/>
      <c r="O28" s="482"/>
      <c r="P28" s="482"/>
      <c r="Q28" s="482"/>
      <c r="R28" s="482"/>
      <c r="S28" s="482"/>
      <c r="T28" s="482"/>
      <c r="U28" s="482"/>
      <c r="V28" s="482"/>
      <c r="W28" s="482"/>
      <c r="X28" s="482"/>
      <c r="Y28" s="482"/>
      <c r="Z28" s="482"/>
      <c r="AA28" s="482"/>
      <c r="AB28" s="482"/>
      <c r="AC28" s="482"/>
      <c r="AD28" s="482"/>
      <c r="AE28" s="482"/>
      <c r="AF28" s="482"/>
      <c r="AG28" s="482"/>
      <c r="AH28" s="482"/>
      <c r="AI28" s="482"/>
      <c r="AJ28" s="482"/>
      <c r="AK28" s="482"/>
      <c r="AL28" s="482"/>
      <c r="AM28" s="482"/>
      <c r="AN28" s="482"/>
      <c r="AO28" s="482"/>
    </row>
    <row r="29" spans="1:41" ht="12">
      <c r="A29" s="517"/>
      <c r="B29" s="518" t="s">
        <v>271</v>
      </c>
      <c r="C29" s="521"/>
      <c r="D29" s="506">
        <f>SUM(D27:D28)</f>
        <v>0</v>
      </c>
      <c r="E29" s="506">
        <f>SUM(E27:E28)</f>
        <v>0</v>
      </c>
      <c r="F29" s="506">
        <f>SUM(F27:F28)</f>
        <v>0</v>
      </c>
      <c r="G29" s="506">
        <f>SUM(G27:G28)</f>
        <v>0</v>
      </c>
      <c r="H29" s="506">
        <f>SUM(H27:H28)</f>
        <v>0</v>
      </c>
      <c r="I29" s="506"/>
      <c r="J29" s="506"/>
      <c r="K29" s="506">
        <f>SUM(K27:K28)</f>
        <v>0</v>
      </c>
      <c r="L29" s="506">
        <f>SUM(L27:L28)</f>
        <v>0</v>
      </c>
      <c r="N29" s="482"/>
      <c r="O29" s="482"/>
      <c r="P29" s="482"/>
      <c r="Q29" s="482"/>
      <c r="R29" s="482"/>
      <c r="S29" s="482"/>
      <c r="T29" s="482"/>
      <c r="U29" s="482"/>
      <c r="V29" s="482"/>
      <c r="W29" s="482"/>
      <c r="X29" s="482"/>
      <c r="Y29" s="482"/>
      <c r="Z29" s="482"/>
      <c r="AA29" s="482"/>
      <c r="AB29" s="482"/>
      <c r="AC29" s="482"/>
      <c r="AD29" s="482"/>
      <c r="AE29" s="482"/>
      <c r="AF29" s="482"/>
      <c r="AG29" s="482"/>
      <c r="AH29" s="482"/>
      <c r="AI29" s="482"/>
      <c r="AJ29" s="482"/>
      <c r="AK29" s="482"/>
      <c r="AL29" s="482"/>
      <c r="AM29" s="482"/>
      <c r="AN29" s="482"/>
      <c r="AO29" s="482"/>
    </row>
    <row r="30" spans="1:41" ht="12">
      <c r="A30" s="524" t="s">
        <v>87</v>
      </c>
      <c r="B30" s="521"/>
      <c r="C30" s="532"/>
      <c r="D30" s="514"/>
      <c r="E30" s="514"/>
      <c r="F30" s="514"/>
      <c r="G30" s="514"/>
      <c r="H30" s="514"/>
      <c r="I30" s="514"/>
      <c r="J30" s="514"/>
      <c r="K30" s="514"/>
      <c r="L30" s="514"/>
      <c r="N30" s="482"/>
      <c r="O30" s="482"/>
      <c r="P30" s="482"/>
      <c r="Q30" s="482"/>
      <c r="R30" s="482"/>
      <c r="S30" s="482"/>
      <c r="T30" s="482"/>
      <c r="U30" s="482"/>
      <c r="V30" s="482"/>
      <c r="W30" s="482"/>
      <c r="X30" s="482"/>
      <c r="Y30" s="482"/>
      <c r="Z30" s="482"/>
      <c r="AA30" s="482"/>
      <c r="AB30" s="482"/>
      <c r="AC30" s="482"/>
      <c r="AD30" s="482"/>
      <c r="AE30" s="482"/>
      <c r="AF30" s="482"/>
      <c r="AG30" s="482"/>
      <c r="AH30" s="482"/>
      <c r="AI30" s="482"/>
      <c r="AJ30" s="482"/>
      <c r="AK30" s="482"/>
      <c r="AL30" s="482"/>
      <c r="AM30" s="482"/>
      <c r="AN30" s="482"/>
      <c r="AO30" s="482"/>
    </row>
    <row r="31" spans="1:41" ht="12">
      <c r="A31" s="517"/>
      <c r="B31" s="521" t="s">
        <v>165</v>
      </c>
      <c r="C31" s="521"/>
      <c r="D31" s="511">
        <v>65.590999999999994</v>
      </c>
      <c r="E31" s="511">
        <v>60.652999999999999</v>
      </c>
      <c r="F31" s="511">
        <v>204.99100000000001</v>
      </c>
      <c r="G31" s="511">
        <v>37.073999999999998</v>
      </c>
      <c r="H31" s="511">
        <v>35.665999999999997</v>
      </c>
      <c r="I31" s="511"/>
      <c r="J31" s="513"/>
      <c r="K31" s="512">
        <f>H31+G31+F31-E31-D31</f>
        <v>151.48700000000002</v>
      </c>
      <c r="L31" s="512">
        <f>K31</f>
        <v>151.48700000000002</v>
      </c>
      <c r="N31" s="482"/>
      <c r="O31" s="482"/>
      <c r="P31" s="482"/>
      <c r="Q31" s="482"/>
      <c r="R31" s="482"/>
      <c r="S31" s="482"/>
      <c r="T31" s="482"/>
      <c r="U31" s="482"/>
      <c r="V31" s="482"/>
      <c r="W31" s="482"/>
      <c r="X31" s="482"/>
      <c r="Y31" s="482"/>
      <c r="Z31" s="482"/>
      <c r="AA31" s="482"/>
      <c r="AB31" s="482"/>
      <c r="AC31" s="482"/>
      <c r="AD31" s="482"/>
      <c r="AE31" s="482"/>
      <c r="AF31" s="482"/>
      <c r="AG31" s="482"/>
      <c r="AH31" s="482"/>
      <c r="AI31" s="482"/>
      <c r="AJ31" s="482"/>
      <c r="AK31" s="482"/>
      <c r="AL31" s="482"/>
      <c r="AM31" s="482"/>
      <c r="AN31" s="482"/>
      <c r="AO31" s="482"/>
    </row>
    <row r="32" spans="1:41" ht="12">
      <c r="A32" s="517"/>
      <c r="B32" s="521" t="s">
        <v>48</v>
      </c>
      <c r="C32" s="521"/>
      <c r="D32" s="511">
        <v>-1.9E-2</v>
      </c>
      <c r="E32" s="511">
        <v>-2.5999999999999999E-2</v>
      </c>
      <c r="F32" s="511">
        <v>-9.0999999999999998E-2</v>
      </c>
      <c r="G32" s="511">
        <v>0</v>
      </c>
      <c r="H32" s="511">
        <v>0</v>
      </c>
      <c r="I32" s="511"/>
      <c r="J32" s="513"/>
      <c r="K32" s="512">
        <f>H32+G32+F32-E32-D32</f>
        <v>-4.5999999999999999E-2</v>
      </c>
      <c r="L32" s="512">
        <f>K32</f>
        <v>-4.5999999999999999E-2</v>
      </c>
      <c r="N32" s="482"/>
      <c r="O32" s="482"/>
      <c r="P32" s="482"/>
      <c r="Q32" s="482"/>
      <c r="R32" s="482"/>
      <c r="S32" s="482"/>
      <c r="T32" s="482"/>
      <c r="U32" s="482"/>
      <c r="V32" s="482"/>
      <c r="W32" s="482"/>
      <c r="X32" s="482"/>
      <c r="Y32" s="482"/>
      <c r="Z32" s="482"/>
      <c r="AA32" s="482"/>
      <c r="AB32" s="482"/>
      <c r="AC32" s="482"/>
      <c r="AD32" s="482"/>
      <c r="AE32" s="482"/>
      <c r="AF32" s="482"/>
      <c r="AG32" s="482"/>
      <c r="AH32" s="482"/>
      <c r="AI32" s="482"/>
      <c r="AJ32" s="482"/>
      <c r="AK32" s="482"/>
      <c r="AL32" s="482"/>
      <c r="AM32" s="482"/>
      <c r="AN32" s="482"/>
      <c r="AO32" s="482"/>
    </row>
    <row r="33" spans="1:41" ht="12">
      <c r="A33" s="517"/>
      <c r="B33" s="518" t="s">
        <v>86</v>
      </c>
      <c r="C33" s="521"/>
      <c r="D33" s="543">
        <f>SUM(D31:D32)</f>
        <v>65.571999999999989</v>
      </c>
      <c r="E33" s="543">
        <f>SUM(E31:E32)</f>
        <v>60.626999999999995</v>
      </c>
      <c r="F33" s="543">
        <f>SUM(F31:F32)</f>
        <v>204.9</v>
      </c>
      <c r="G33" s="543">
        <f>SUM(G31:G32)</f>
        <v>37.073999999999998</v>
      </c>
      <c r="H33" s="543">
        <f>SUM(H31:H32)</f>
        <v>35.665999999999997</v>
      </c>
      <c r="I33" s="543"/>
      <c r="J33" s="543"/>
      <c r="K33" s="543">
        <f>SUM(K31:K32)</f>
        <v>151.44100000000003</v>
      </c>
      <c r="L33" s="543">
        <f>SUM(L31:L32)</f>
        <v>151.44100000000003</v>
      </c>
      <c r="N33" s="482"/>
      <c r="O33" s="482"/>
      <c r="P33" s="482"/>
      <c r="Q33" s="482"/>
      <c r="R33" s="482"/>
      <c r="S33" s="482"/>
      <c r="T33" s="482"/>
      <c r="U33" s="482"/>
      <c r="V33" s="482"/>
      <c r="W33" s="482"/>
      <c r="X33" s="482"/>
      <c r="Y33" s="482"/>
      <c r="Z33" s="482"/>
      <c r="AA33" s="482"/>
      <c r="AB33" s="482"/>
      <c r="AC33" s="482"/>
      <c r="AD33" s="482"/>
      <c r="AE33" s="482"/>
      <c r="AF33" s="482"/>
      <c r="AG33" s="482"/>
      <c r="AH33" s="482"/>
      <c r="AI33" s="482"/>
      <c r="AJ33" s="482"/>
      <c r="AK33" s="482"/>
      <c r="AL33" s="482"/>
      <c r="AM33" s="482"/>
      <c r="AN33" s="482"/>
      <c r="AO33" s="482"/>
    </row>
    <row r="34" spans="1:41" ht="12">
      <c r="A34" s="518" t="s">
        <v>273</v>
      </c>
      <c r="B34" s="518"/>
      <c r="C34" s="521"/>
      <c r="D34" s="520">
        <f>D24-D29-D33</f>
        <v>256.04599999999994</v>
      </c>
      <c r="E34" s="520">
        <f>E24-E29-E33</f>
        <v>289.4020000000001</v>
      </c>
      <c r="F34" s="520">
        <f>F24-F29-F33</f>
        <v>1285.9039999999995</v>
      </c>
      <c r="G34" s="520">
        <f>G24-G29-G33</f>
        <v>347.24999999999977</v>
      </c>
      <c r="H34" s="520">
        <f>H24-H29-H33</f>
        <v>351.5480000000004</v>
      </c>
      <c r="I34" s="520"/>
      <c r="J34" s="520"/>
      <c r="K34" s="520">
        <f>K24-K29-K33</f>
        <v>1439.2540000000006</v>
      </c>
      <c r="L34" s="520">
        <f>L24-L29-L33</f>
        <v>1630.1374000000001</v>
      </c>
      <c r="N34" s="482"/>
      <c r="O34" s="482"/>
      <c r="P34" s="482"/>
      <c r="Q34" s="482"/>
      <c r="R34" s="482"/>
      <c r="S34" s="482"/>
      <c r="T34" s="482"/>
      <c r="U34" s="482"/>
      <c r="V34" s="482"/>
      <c r="W34" s="482"/>
      <c r="X34" s="482"/>
      <c r="Y34" s="482"/>
      <c r="Z34" s="482"/>
      <c r="AA34" s="482"/>
      <c r="AB34" s="482"/>
      <c r="AC34" s="482"/>
      <c r="AD34" s="482"/>
      <c r="AE34" s="482"/>
      <c r="AF34" s="482"/>
      <c r="AG34" s="482"/>
      <c r="AH34" s="482"/>
      <c r="AI34" s="482"/>
      <c r="AJ34" s="482"/>
      <c r="AK34" s="482"/>
      <c r="AL34" s="482"/>
      <c r="AM34" s="482"/>
      <c r="AN34" s="482"/>
      <c r="AO34" s="482"/>
    </row>
    <row r="35" spans="1:41" ht="12">
      <c r="A35" s="517"/>
      <c r="B35" s="532" t="s">
        <v>54</v>
      </c>
      <c r="C35" s="522"/>
      <c r="D35" s="514">
        <f>D34/D9</f>
        <v>7.4179744050535124E-2</v>
      </c>
      <c r="E35" s="514">
        <f>E34/E9</f>
        <v>8.0947215731509981E-2</v>
      </c>
      <c r="F35" s="514">
        <f>F34/F9</f>
        <v>8.6843227762084169E-2</v>
      </c>
      <c r="G35" s="514">
        <f>G34/G9</f>
        <v>8.9010959434328574E-2</v>
      </c>
      <c r="H35" s="514">
        <f>H34/H9</f>
        <v>8.9029808884291073E-2</v>
      </c>
      <c r="I35" s="514"/>
      <c r="J35" s="514"/>
      <c r="K35" s="514">
        <f>K34/K9</f>
        <v>9.2081864564764151E-2</v>
      </c>
      <c r="L35" s="514">
        <f>L34/L9</f>
        <v>9.3119974510081444E-2</v>
      </c>
      <c r="N35" s="482"/>
      <c r="O35" s="482"/>
      <c r="P35" s="482"/>
      <c r="Q35" s="482"/>
      <c r="R35" s="482"/>
      <c r="S35" s="482"/>
      <c r="T35" s="482"/>
      <c r="U35" s="482"/>
      <c r="V35" s="482"/>
      <c r="W35" s="482"/>
      <c r="X35" s="482"/>
      <c r="Y35" s="482"/>
      <c r="Z35" s="482"/>
      <c r="AA35" s="482"/>
      <c r="AB35" s="482"/>
      <c r="AC35" s="482"/>
      <c r="AD35" s="482"/>
      <c r="AE35" s="482"/>
      <c r="AF35" s="482"/>
      <c r="AG35" s="482"/>
      <c r="AH35" s="482"/>
      <c r="AI35" s="482"/>
      <c r="AJ35" s="482"/>
      <c r="AK35" s="482"/>
      <c r="AL35" s="482"/>
      <c r="AM35" s="482"/>
      <c r="AN35" s="482"/>
      <c r="AO35" s="482"/>
    </row>
    <row r="36" spans="1:41" ht="12">
      <c r="A36" s="521" t="s">
        <v>55</v>
      </c>
      <c r="B36" s="521"/>
      <c r="C36" s="521"/>
      <c r="D36" s="513">
        <f>D34*D37</f>
        <v>97.671680432195586</v>
      </c>
      <c r="E36" s="513">
        <f>E34*E37</f>
        <v>106.56630880374452</v>
      </c>
      <c r="F36" s="513">
        <f>F34*F37</f>
        <v>481.29112235235925</v>
      </c>
      <c r="G36" s="513">
        <f>G34*G37</f>
        <v>132.8030609498841</v>
      </c>
      <c r="H36" s="513">
        <f>H34*H37</f>
        <v>119.90931240557431</v>
      </c>
      <c r="I36" s="513"/>
      <c r="J36" s="513"/>
      <c r="K36" s="512">
        <f>H36+G36+F36-E36-D36</f>
        <v>529.76550647187753</v>
      </c>
      <c r="L36" s="512">
        <f>L37*L34</f>
        <v>600.02651743872116</v>
      </c>
      <c r="N36" s="482"/>
      <c r="O36" s="482"/>
      <c r="P36" s="482"/>
      <c r="Q36" s="482"/>
      <c r="R36" s="482"/>
      <c r="S36" s="482"/>
      <c r="T36" s="482"/>
      <c r="U36" s="482"/>
      <c r="V36" s="482"/>
      <c r="W36" s="482"/>
      <c r="X36" s="482"/>
      <c r="Y36" s="482"/>
      <c r="Z36" s="482"/>
      <c r="AA36" s="482"/>
      <c r="AB36" s="482"/>
      <c r="AC36" s="482"/>
      <c r="AD36" s="482"/>
      <c r="AE36" s="482"/>
      <c r="AF36" s="482"/>
      <c r="AG36" s="482"/>
      <c r="AH36" s="482"/>
      <c r="AI36" s="482"/>
      <c r="AJ36" s="482"/>
      <c r="AK36" s="482"/>
      <c r="AL36" s="482"/>
      <c r="AM36" s="482"/>
      <c r="AN36" s="482"/>
      <c r="AO36" s="482"/>
    </row>
    <row r="37" spans="1:41" ht="12">
      <c r="A37" s="517"/>
      <c r="B37" s="532" t="s">
        <v>272</v>
      </c>
      <c r="C37" s="522"/>
      <c r="D37" s="530">
        <v>0.3814614578325598</v>
      </c>
      <c r="E37" s="530">
        <v>0.36822934466155893</v>
      </c>
      <c r="F37" s="530">
        <v>0.37428231217288338</v>
      </c>
      <c r="G37" s="530">
        <v>0.38244222015805379</v>
      </c>
      <c r="H37" s="530">
        <v>0.34108944555387649</v>
      </c>
      <c r="I37" s="544"/>
      <c r="J37" s="529"/>
      <c r="K37" s="530">
        <f>K36/K34</f>
        <v>0.36808340047821808</v>
      </c>
      <c r="L37" s="530">
        <f>K37</f>
        <v>0.36808340047821808</v>
      </c>
      <c r="N37" s="545"/>
      <c r="O37" s="482"/>
      <c r="P37" s="482"/>
      <c r="Q37" s="482"/>
      <c r="R37" s="482"/>
      <c r="S37" s="482"/>
      <c r="T37" s="482"/>
      <c r="U37" s="482"/>
      <c r="V37" s="482"/>
      <c r="W37" s="482"/>
      <c r="X37" s="482"/>
      <c r="Y37" s="482"/>
      <c r="Z37" s="482"/>
      <c r="AA37" s="482"/>
      <c r="AB37" s="482"/>
      <c r="AC37" s="482"/>
      <c r="AD37" s="482"/>
      <c r="AE37" s="482"/>
      <c r="AF37" s="482"/>
      <c r="AG37" s="482"/>
      <c r="AH37" s="482"/>
      <c r="AI37" s="482"/>
      <c r="AJ37" s="482"/>
      <c r="AK37" s="482"/>
      <c r="AL37" s="482"/>
      <c r="AM37" s="482"/>
      <c r="AN37" s="482"/>
      <c r="AO37" s="482"/>
    </row>
    <row r="38" spans="1:41" ht="12">
      <c r="A38" s="518" t="s">
        <v>278</v>
      </c>
      <c r="B38" s="518"/>
      <c r="C38" s="521"/>
      <c r="D38" s="520">
        <f>D34-D36</f>
        <v>158.37431956780435</v>
      </c>
      <c r="E38" s="520">
        <f>E34-E36</f>
        <v>182.8356911962556</v>
      </c>
      <c r="F38" s="520">
        <f>F34-F36</f>
        <v>804.61287764764029</v>
      </c>
      <c r="G38" s="520">
        <f>G34-G36</f>
        <v>214.44693905011567</v>
      </c>
      <c r="H38" s="520">
        <f>H34-H36</f>
        <v>231.63868759442607</v>
      </c>
      <c r="I38" s="520"/>
      <c r="J38" s="520"/>
      <c r="K38" s="520">
        <f>K34-K36</f>
        <v>909.48849352812306</v>
      </c>
      <c r="L38" s="520">
        <f>L34-L36</f>
        <v>1030.1108825612789</v>
      </c>
      <c r="N38" s="482"/>
      <c r="O38" s="482"/>
      <c r="P38" s="482"/>
      <c r="Q38" s="482"/>
      <c r="R38" s="482"/>
      <c r="S38" s="482"/>
      <c r="T38" s="482"/>
      <c r="U38" s="482"/>
      <c r="V38" s="482"/>
      <c r="W38" s="482"/>
      <c r="X38" s="482"/>
      <c r="Y38" s="482"/>
      <c r="Z38" s="482"/>
      <c r="AA38" s="482"/>
      <c r="AB38" s="482"/>
      <c r="AC38" s="482"/>
      <c r="AD38" s="482"/>
      <c r="AE38" s="482"/>
      <c r="AF38" s="482"/>
      <c r="AG38" s="482"/>
      <c r="AH38" s="482"/>
      <c r="AI38" s="482"/>
      <c r="AJ38" s="482"/>
      <c r="AK38" s="482"/>
      <c r="AL38" s="482"/>
      <c r="AM38" s="482"/>
      <c r="AN38" s="482"/>
      <c r="AO38" s="482"/>
    </row>
    <row r="39" spans="1:41" ht="12">
      <c r="A39" s="517"/>
      <c r="B39" s="521" t="s">
        <v>276</v>
      </c>
      <c r="C39" s="521"/>
      <c r="D39" s="510">
        <v>0</v>
      </c>
      <c r="E39" s="510">
        <v>0</v>
      </c>
      <c r="F39" s="510">
        <v>0</v>
      </c>
      <c r="G39" s="510">
        <v>0</v>
      </c>
      <c r="H39" s="510">
        <v>0</v>
      </c>
      <c r="I39" s="510"/>
      <c r="J39" s="546"/>
      <c r="K39" s="510">
        <v>0</v>
      </c>
      <c r="L39" s="546">
        <f>L40*L38</f>
        <v>0</v>
      </c>
      <c r="N39" s="482"/>
      <c r="O39" s="482"/>
      <c r="P39" s="482"/>
      <c r="Q39" s="482"/>
      <c r="R39" s="482"/>
      <c r="S39" s="482"/>
      <c r="T39" s="482"/>
      <c r="U39" s="482"/>
      <c r="V39" s="482"/>
      <c r="W39" s="482"/>
      <c r="X39" s="482"/>
      <c r="Y39" s="482"/>
      <c r="Z39" s="482"/>
      <c r="AA39" s="482"/>
      <c r="AB39" s="482"/>
      <c r="AC39" s="482"/>
      <c r="AD39" s="482"/>
      <c r="AE39" s="482"/>
      <c r="AF39" s="482"/>
      <c r="AG39" s="482"/>
      <c r="AH39" s="482"/>
      <c r="AI39" s="482"/>
      <c r="AJ39" s="482"/>
      <c r="AK39" s="482"/>
      <c r="AL39" s="482"/>
      <c r="AM39" s="482"/>
      <c r="AN39" s="482"/>
      <c r="AO39" s="482"/>
    </row>
    <row r="40" spans="1:41" ht="12">
      <c r="A40" s="517"/>
      <c r="B40" s="521"/>
      <c r="C40" s="532" t="s">
        <v>277</v>
      </c>
      <c r="D40" s="529">
        <f>D39/D38</f>
        <v>0</v>
      </c>
      <c r="E40" s="529">
        <f>E39/E38</f>
        <v>0</v>
      </c>
      <c r="F40" s="529">
        <f>F39/F38</f>
        <v>0</v>
      </c>
      <c r="G40" s="529">
        <f>G39/G38</f>
        <v>0</v>
      </c>
      <c r="H40" s="529">
        <f>H39/H38</f>
        <v>0</v>
      </c>
      <c r="I40" s="529"/>
      <c r="J40" s="529"/>
      <c r="K40" s="529">
        <f>K39/K38</f>
        <v>0</v>
      </c>
      <c r="L40" s="547">
        <f>K40</f>
        <v>0</v>
      </c>
      <c r="N40" s="482"/>
      <c r="O40" s="482"/>
      <c r="P40" s="482"/>
      <c r="Q40" s="482"/>
      <c r="R40" s="482"/>
      <c r="S40" s="482"/>
      <c r="T40" s="482"/>
      <c r="U40" s="482"/>
      <c r="V40" s="482"/>
      <c r="W40" s="482"/>
      <c r="X40" s="482"/>
      <c r="Y40" s="482"/>
      <c r="Z40" s="482"/>
      <c r="AA40" s="482"/>
      <c r="AB40" s="482"/>
      <c r="AC40" s="482"/>
      <c r="AD40" s="482"/>
      <c r="AE40" s="482"/>
      <c r="AF40" s="482"/>
      <c r="AG40" s="482"/>
      <c r="AH40" s="482"/>
      <c r="AI40" s="482"/>
      <c r="AJ40" s="482"/>
      <c r="AK40" s="482"/>
      <c r="AL40" s="482"/>
      <c r="AM40" s="482"/>
      <c r="AN40" s="482"/>
      <c r="AO40" s="482"/>
    </row>
    <row r="41" spans="1:41" ht="12">
      <c r="A41" s="518" t="s">
        <v>274</v>
      </c>
      <c r="B41" s="521"/>
      <c r="C41" s="532"/>
      <c r="D41" s="520">
        <f>D38-D39</f>
        <v>158.37431956780435</v>
      </c>
      <c r="E41" s="520">
        <f>E38-E39</f>
        <v>182.8356911962556</v>
      </c>
      <c r="F41" s="520">
        <f>F38-F39</f>
        <v>804.61287764764029</v>
      </c>
      <c r="G41" s="520">
        <f>G38-G39</f>
        <v>214.44693905011567</v>
      </c>
      <c r="H41" s="520">
        <f>H38-H39</f>
        <v>231.63868759442607</v>
      </c>
      <c r="I41" s="520"/>
      <c r="J41" s="520"/>
      <c r="K41" s="520">
        <f>K38-K39</f>
        <v>909.48849352812306</v>
      </c>
      <c r="L41" s="520">
        <f>L38-L39</f>
        <v>1030.1108825612789</v>
      </c>
      <c r="M41" s="548"/>
      <c r="N41" s="482"/>
      <c r="O41" s="482"/>
      <c r="P41" s="482"/>
      <c r="Q41" s="482"/>
      <c r="R41" s="482"/>
      <c r="S41" s="482"/>
      <c r="T41" s="482"/>
      <c r="U41" s="482"/>
      <c r="V41" s="482"/>
      <c r="W41" s="482"/>
      <c r="X41" s="482"/>
      <c r="Y41" s="482"/>
      <c r="Z41" s="482"/>
      <c r="AA41" s="482"/>
      <c r="AB41" s="482"/>
      <c r="AC41" s="482"/>
      <c r="AD41" s="482"/>
      <c r="AE41" s="482"/>
      <c r="AF41" s="482"/>
      <c r="AG41" s="482"/>
      <c r="AH41" s="482"/>
      <c r="AI41" s="482"/>
      <c r="AJ41" s="482"/>
      <c r="AK41" s="482"/>
      <c r="AL41" s="482"/>
      <c r="AM41" s="482"/>
      <c r="AN41" s="482"/>
      <c r="AO41" s="482"/>
    </row>
    <row r="42" spans="1:41" ht="12">
      <c r="A42" s="518" t="s">
        <v>56</v>
      </c>
      <c r="B42" s="521"/>
      <c r="C42" s="521"/>
      <c r="D42" s="533"/>
      <c r="E42" s="533"/>
      <c r="F42" s="533"/>
      <c r="G42" s="533"/>
      <c r="H42" s="533"/>
      <c r="I42" s="533"/>
      <c r="J42" s="533"/>
      <c r="K42" s="533"/>
      <c r="L42" s="533"/>
      <c r="N42" s="482"/>
      <c r="O42" s="482"/>
      <c r="P42" s="482"/>
      <c r="Q42" s="482"/>
      <c r="R42" s="482"/>
      <c r="S42" s="482"/>
      <c r="T42" s="482"/>
      <c r="U42" s="482"/>
      <c r="V42" s="482"/>
      <c r="W42" s="482"/>
      <c r="X42" s="482"/>
      <c r="Y42" s="482"/>
      <c r="Z42" s="482"/>
      <c r="AA42" s="482"/>
      <c r="AB42" s="482"/>
      <c r="AC42" s="482"/>
      <c r="AD42" s="482"/>
      <c r="AE42" s="482"/>
      <c r="AF42" s="482"/>
      <c r="AG42" s="482"/>
      <c r="AH42" s="482"/>
      <c r="AI42" s="482"/>
      <c r="AJ42" s="482"/>
      <c r="AK42" s="482"/>
      <c r="AL42" s="482"/>
      <c r="AM42" s="482"/>
      <c r="AN42" s="482"/>
      <c r="AO42" s="482"/>
    </row>
    <row r="43" spans="1:41" ht="12">
      <c r="A43" s="517"/>
      <c r="B43" s="521" t="s">
        <v>192</v>
      </c>
      <c r="C43" s="521"/>
      <c r="D43" s="511">
        <v>0</v>
      </c>
      <c r="E43" s="511">
        <v>0</v>
      </c>
      <c r="F43" s="511">
        <v>0</v>
      </c>
      <c r="G43" s="511">
        <v>0</v>
      </c>
      <c r="H43" s="511">
        <v>0</v>
      </c>
      <c r="I43" s="511"/>
      <c r="J43" s="513"/>
      <c r="K43" s="511">
        <v>0</v>
      </c>
      <c r="L43" s="511">
        <f>K43</f>
        <v>0</v>
      </c>
      <c r="N43" s="482"/>
      <c r="O43" s="482"/>
      <c r="P43" s="482"/>
      <c r="Q43" s="482"/>
      <c r="R43" s="482"/>
      <c r="S43" s="482"/>
      <c r="T43" s="482"/>
      <c r="U43" s="482"/>
      <c r="V43" s="482"/>
      <c r="W43" s="482"/>
      <c r="X43" s="482"/>
      <c r="Y43" s="482"/>
      <c r="Z43" s="482"/>
      <c r="AA43" s="482"/>
      <c r="AB43" s="482"/>
      <c r="AC43" s="482"/>
      <c r="AD43" s="482"/>
      <c r="AE43" s="482"/>
      <c r="AF43" s="482"/>
      <c r="AG43" s="482"/>
      <c r="AH43" s="482"/>
      <c r="AI43" s="482"/>
      <c r="AJ43" s="482"/>
      <c r="AK43" s="482"/>
      <c r="AL43" s="482"/>
      <c r="AM43" s="482"/>
      <c r="AN43" s="482"/>
      <c r="AO43" s="482"/>
    </row>
    <row r="44" spans="1:41" ht="12">
      <c r="A44" s="517"/>
      <c r="B44" s="521" t="s">
        <v>58</v>
      </c>
      <c r="C44" s="521"/>
      <c r="D44" s="511">
        <f>2.272*(1-D37)</f>
        <v>1.4053195678044239</v>
      </c>
      <c r="E44" s="511">
        <f>58.239*(1-E37)</f>
        <v>36.793691196255466</v>
      </c>
      <c r="F44" s="540">
        <f>60.615*(1-F37)</f>
        <v>37.927877647640678</v>
      </c>
      <c r="G44" s="540">
        <f>1.671*(1-G37)</f>
        <v>1.0319390501158923</v>
      </c>
      <c r="H44" s="540">
        <f>26.557*(1-H37)</f>
        <v>17.498687594425704</v>
      </c>
      <c r="I44" s="539"/>
      <c r="J44" s="542"/>
      <c r="K44" s="512">
        <f>H44+G44+F44-E44-D44</f>
        <v>18.25949352812238</v>
      </c>
      <c r="L44" s="539">
        <f>K44</f>
        <v>18.25949352812238</v>
      </c>
      <c r="N44" s="482"/>
      <c r="O44" s="482"/>
      <c r="P44" s="482"/>
      <c r="Q44" s="482"/>
      <c r="R44" s="482"/>
      <c r="S44" s="482"/>
      <c r="T44" s="482"/>
      <c r="U44" s="482"/>
      <c r="V44" s="482"/>
      <c r="W44" s="482"/>
      <c r="X44" s="482"/>
      <c r="Y44" s="482"/>
      <c r="Z44" s="482"/>
      <c r="AA44" s="482"/>
      <c r="AB44" s="482"/>
      <c r="AC44" s="482"/>
      <c r="AD44" s="482"/>
      <c r="AE44" s="482"/>
      <c r="AF44" s="482"/>
      <c r="AG44" s="482"/>
      <c r="AH44" s="482"/>
      <c r="AI44" s="482"/>
      <c r="AJ44" s="482"/>
      <c r="AK44" s="482"/>
      <c r="AL44" s="482"/>
      <c r="AM44" s="482"/>
      <c r="AN44" s="482"/>
      <c r="AO44" s="482"/>
    </row>
    <row r="45" spans="1:41" ht="12">
      <c r="A45" s="517"/>
      <c r="B45" s="518" t="s">
        <v>88</v>
      </c>
      <c r="C45" s="521"/>
      <c r="D45" s="549">
        <f>SUM(D43:D44)</f>
        <v>1.4053195678044239</v>
      </c>
      <c r="E45" s="549">
        <f>SUM(E43:E44)</f>
        <v>36.793691196255466</v>
      </c>
      <c r="F45" s="549">
        <f>SUM(F43:F44)</f>
        <v>37.927877647640678</v>
      </c>
      <c r="G45" s="549">
        <f>SUM(G43:G44)</f>
        <v>1.0319390501158923</v>
      </c>
      <c r="H45" s="549">
        <f>SUM(H43:H44)</f>
        <v>17.498687594425704</v>
      </c>
      <c r="I45" s="549"/>
      <c r="J45" s="549"/>
      <c r="K45" s="549">
        <f>SUM(K43:K44)</f>
        <v>18.25949352812238</v>
      </c>
      <c r="L45" s="549">
        <f>SUM(L43:L44)</f>
        <v>18.25949352812238</v>
      </c>
      <c r="N45" s="482"/>
      <c r="O45" s="482"/>
      <c r="P45" s="482"/>
      <c r="Q45" s="482"/>
      <c r="R45" s="482"/>
      <c r="S45" s="482"/>
      <c r="T45" s="482"/>
      <c r="U45" s="482"/>
      <c r="V45" s="482"/>
      <c r="W45" s="482"/>
      <c r="X45" s="482"/>
      <c r="Y45" s="482"/>
      <c r="Z45" s="482"/>
      <c r="AA45" s="482"/>
      <c r="AB45" s="482"/>
      <c r="AC45" s="482"/>
      <c r="AD45" s="482"/>
      <c r="AE45" s="482"/>
      <c r="AF45" s="482"/>
      <c r="AG45" s="482"/>
      <c r="AH45" s="482"/>
      <c r="AI45" s="482"/>
      <c r="AJ45" s="482"/>
      <c r="AK45" s="482"/>
      <c r="AL45" s="482"/>
      <c r="AM45" s="482"/>
      <c r="AN45" s="482"/>
      <c r="AO45" s="482"/>
    </row>
    <row r="46" spans="1:41" ht="12">
      <c r="A46" s="503" t="s">
        <v>275</v>
      </c>
      <c r="B46" s="503"/>
      <c r="C46" s="505"/>
      <c r="D46" s="531">
        <f>D41-D45</f>
        <v>156.96899999999994</v>
      </c>
      <c r="E46" s="531">
        <f>E41-E45</f>
        <v>146.04200000000014</v>
      </c>
      <c r="F46" s="531">
        <f>F41-F45</f>
        <v>766.6849999999996</v>
      </c>
      <c r="G46" s="531">
        <f>G41-G45</f>
        <v>213.41499999999979</v>
      </c>
      <c r="H46" s="531">
        <f>H41-H45</f>
        <v>214.14000000000038</v>
      </c>
      <c r="I46" s="531"/>
      <c r="J46" s="531"/>
      <c r="K46" s="531">
        <f>K41-K45</f>
        <v>891.22900000000072</v>
      </c>
      <c r="L46" s="531">
        <f>L41-L45</f>
        <v>1011.8513890331566</v>
      </c>
      <c r="N46" s="550"/>
      <c r="O46" s="550"/>
      <c r="P46" s="550"/>
      <c r="Q46" s="550"/>
      <c r="R46" s="550"/>
      <c r="S46" s="482"/>
      <c r="T46" s="482"/>
      <c r="U46" s="482"/>
      <c r="V46" s="482"/>
      <c r="W46" s="482"/>
      <c r="X46" s="482"/>
      <c r="Y46" s="482"/>
      <c r="Z46" s="482"/>
      <c r="AA46" s="482"/>
      <c r="AB46" s="482"/>
      <c r="AC46" s="482"/>
      <c r="AD46" s="482"/>
      <c r="AE46" s="482"/>
      <c r="AF46" s="482"/>
      <c r="AG46" s="482"/>
      <c r="AH46" s="482"/>
      <c r="AI46" s="482"/>
      <c r="AJ46" s="482"/>
      <c r="AK46" s="482"/>
      <c r="AL46" s="482"/>
      <c r="AM46" s="482"/>
      <c r="AN46" s="482"/>
      <c r="AO46" s="482"/>
    </row>
    <row r="47" spans="1:41" ht="12">
      <c r="A47" s="518" t="s">
        <v>279</v>
      </c>
      <c r="B47" s="521"/>
      <c r="C47" s="521"/>
      <c r="D47" s="551"/>
      <c r="E47" s="551"/>
      <c r="F47" s="551"/>
      <c r="G47" s="551"/>
      <c r="H47" s="551"/>
      <c r="I47" s="551"/>
      <c r="J47" s="551"/>
      <c r="K47" s="551"/>
      <c r="L47" s="551"/>
      <c r="N47" s="552"/>
      <c r="O47" s="552"/>
      <c r="P47" s="552"/>
      <c r="Q47" s="552"/>
      <c r="R47" s="552"/>
      <c r="S47" s="482"/>
      <c r="T47" s="482"/>
      <c r="U47" s="482"/>
      <c r="V47" s="482"/>
      <c r="W47" s="482"/>
      <c r="X47" s="482"/>
      <c r="Y47" s="482"/>
      <c r="Z47" s="482"/>
      <c r="AA47" s="482"/>
      <c r="AB47" s="482"/>
      <c r="AC47" s="482"/>
      <c r="AD47" s="482"/>
      <c r="AE47" s="482"/>
      <c r="AF47" s="482"/>
      <c r="AG47" s="482"/>
      <c r="AH47" s="482"/>
      <c r="AI47" s="482"/>
      <c r="AJ47" s="482"/>
      <c r="AK47" s="482"/>
      <c r="AL47" s="482"/>
      <c r="AM47" s="482"/>
      <c r="AN47" s="482"/>
      <c r="AO47" s="482"/>
    </row>
    <row r="48" spans="1:41" ht="12">
      <c r="A48" s="517"/>
      <c r="B48" s="521" t="s">
        <v>4</v>
      </c>
      <c r="C48" s="521"/>
      <c r="D48" s="553">
        <f>D46/D54</f>
        <v>0.45961607158543211</v>
      </c>
      <c r="E48" s="553">
        <f>E46/E54</f>
        <v>0.42760603629506916</v>
      </c>
      <c r="F48" s="553">
        <f>F46/F54</f>
        <v>2.2468013152265005</v>
      </c>
      <c r="G48" s="553">
        <f>G46/G54</f>
        <v>0.63501249702451734</v>
      </c>
      <c r="H48" s="553">
        <f>H46/H54</f>
        <v>0.64306113194855385</v>
      </c>
      <c r="I48" s="553"/>
      <c r="J48" s="553"/>
      <c r="K48" s="553">
        <f>K46/K54</f>
        <v>2.6763553262602837</v>
      </c>
      <c r="L48" s="553">
        <f>L46/L54</f>
        <v>3.0322563639167393</v>
      </c>
      <c r="N48" s="552"/>
      <c r="O48" s="552"/>
      <c r="P48" s="552"/>
      <c r="Q48" s="552"/>
      <c r="R48" s="552"/>
      <c r="S48" s="482"/>
      <c r="T48" s="482"/>
      <c r="U48" s="482"/>
      <c r="V48" s="482"/>
      <c r="W48" s="482"/>
      <c r="X48" s="482"/>
      <c r="Y48" s="482"/>
      <c r="Z48" s="482"/>
      <c r="AA48" s="482"/>
      <c r="AB48" s="482"/>
      <c r="AC48" s="482"/>
      <c r="AD48" s="482"/>
      <c r="AE48" s="482"/>
      <c r="AF48" s="482"/>
      <c r="AG48" s="482"/>
      <c r="AH48" s="482"/>
      <c r="AI48" s="482"/>
      <c r="AJ48" s="482"/>
      <c r="AK48" s="482"/>
      <c r="AL48" s="482"/>
      <c r="AM48" s="482"/>
      <c r="AN48" s="482"/>
      <c r="AO48" s="482"/>
    </row>
    <row r="49" spans="1:41" ht="12">
      <c r="A49" s="517"/>
      <c r="B49" s="508" t="s">
        <v>5</v>
      </c>
      <c r="C49" s="521"/>
      <c r="D49" s="554">
        <f>D46/D55</f>
        <v>0.45446491388070964</v>
      </c>
      <c r="E49" s="554">
        <f>E46/E55</f>
        <v>0.42254466546112157</v>
      </c>
      <c r="F49" s="554">
        <f>F46/F55</f>
        <v>2.2215219766050343</v>
      </c>
      <c r="G49" s="554">
        <f>G46/G55</f>
        <v>0.62863412766208071</v>
      </c>
      <c r="H49" s="554">
        <f>H46/H55</f>
        <v>0.63823128805648643</v>
      </c>
      <c r="I49" s="554"/>
      <c r="J49" s="554"/>
      <c r="K49" s="554">
        <f>K46/K55</f>
        <v>2.656254004965414</v>
      </c>
      <c r="L49" s="554">
        <f>L46/L55</f>
        <v>3.0098900774932869</v>
      </c>
      <c r="N49" s="552"/>
      <c r="O49" s="552"/>
      <c r="P49" s="552"/>
      <c r="Q49" s="552"/>
      <c r="R49" s="552"/>
      <c r="S49" s="482"/>
      <c r="T49" s="482"/>
      <c r="U49" s="482"/>
      <c r="V49" s="482"/>
      <c r="W49" s="482"/>
      <c r="X49" s="482"/>
      <c r="Y49" s="482"/>
      <c r="Z49" s="482"/>
      <c r="AA49" s="482"/>
      <c r="AB49" s="482"/>
      <c r="AC49" s="482"/>
      <c r="AD49" s="482"/>
      <c r="AE49" s="482"/>
      <c r="AF49" s="482"/>
      <c r="AG49" s="482"/>
      <c r="AH49" s="482"/>
      <c r="AI49" s="482"/>
      <c r="AJ49" s="482"/>
      <c r="AK49" s="482"/>
      <c r="AL49" s="482"/>
      <c r="AM49" s="482"/>
      <c r="AN49" s="482"/>
      <c r="AO49" s="482"/>
    </row>
    <row r="50" spans="1:41" ht="12">
      <c r="A50" s="518" t="s">
        <v>280</v>
      </c>
      <c r="B50" s="521"/>
      <c r="C50" s="521"/>
      <c r="D50" s="551"/>
      <c r="E50" s="551"/>
      <c r="F50" s="551"/>
      <c r="G50" s="551"/>
      <c r="H50" s="551"/>
      <c r="I50" s="551"/>
      <c r="J50" s="551"/>
      <c r="K50" s="551"/>
      <c r="L50" s="551"/>
      <c r="N50" s="552"/>
      <c r="O50" s="552"/>
      <c r="P50" s="552"/>
      <c r="Q50" s="552"/>
      <c r="R50" s="552"/>
      <c r="S50" s="482"/>
      <c r="T50" s="482"/>
      <c r="U50" s="482"/>
      <c r="V50" s="482"/>
      <c r="W50" s="482"/>
      <c r="X50" s="482"/>
      <c r="Y50" s="482"/>
      <c r="Z50" s="482"/>
      <c r="AA50" s="482"/>
      <c r="AB50" s="482"/>
      <c r="AC50" s="482"/>
      <c r="AD50" s="482"/>
      <c r="AE50" s="482"/>
      <c r="AF50" s="482"/>
      <c r="AG50" s="482"/>
      <c r="AH50" s="482"/>
      <c r="AI50" s="482"/>
      <c r="AJ50" s="482"/>
      <c r="AK50" s="482"/>
      <c r="AL50" s="482"/>
      <c r="AM50" s="482"/>
      <c r="AN50" s="482"/>
      <c r="AO50" s="482"/>
    </row>
    <row r="51" spans="1:41" ht="12">
      <c r="A51" s="517"/>
      <c r="B51" s="521" t="s">
        <v>4</v>
      </c>
      <c r="C51" s="521"/>
      <c r="D51" s="553">
        <f>D41/D54</f>
        <v>0.46373094432512213</v>
      </c>
      <c r="E51" s="553">
        <f>E41/E54</f>
        <v>0.53533671961285145</v>
      </c>
      <c r="F51" s="553">
        <f>F41/F54</f>
        <v>2.3579504904190096</v>
      </c>
      <c r="G51" s="553">
        <f>G41/G54</f>
        <v>0.63808301312221993</v>
      </c>
      <c r="H51" s="553">
        <f>H41/H54</f>
        <v>0.69560958554006169</v>
      </c>
      <c r="I51" s="553"/>
      <c r="J51" s="553"/>
      <c r="K51" s="553">
        <f>K41/K54</f>
        <v>2.7311884754944371</v>
      </c>
      <c r="L51" s="553">
        <f>L41/L54</f>
        <v>3.0869753335724024</v>
      </c>
      <c r="N51" s="552"/>
      <c r="O51" s="552"/>
      <c r="P51" s="552"/>
      <c r="Q51" s="552"/>
      <c r="R51" s="552"/>
      <c r="S51" s="482"/>
      <c r="T51" s="482"/>
      <c r="U51" s="482"/>
      <c r="V51" s="482"/>
      <c r="W51" s="482"/>
      <c r="X51" s="482"/>
      <c r="Y51" s="482"/>
      <c r="Z51" s="482"/>
      <c r="AA51" s="482"/>
      <c r="AB51" s="482"/>
      <c r="AC51" s="482"/>
      <c r="AD51" s="482"/>
      <c r="AE51" s="482"/>
      <c r="AF51" s="482"/>
      <c r="AG51" s="482"/>
      <c r="AH51" s="482"/>
      <c r="AI51" s="482"/>
      <c r="AJ51" s="482"/>
      <c r="AK51" s="482"/>
      <c r="AL51" s="482"/>
      <c r="AM51" s="482"/>
      <c r="AN51" s="482"/>
      <c r="AO51" s="482"/>
    </row>
    <row r="52" spans="1:41" ht="12">
      <c r="A52" s="517"/>
      <c r="B52" s="508" t="s">
        <v>5</v>
      </c>
      <c r="C52" s="521"/>
      <c r="D52" s="554">
        <f>D41/D55</f>
        <v>0.45853366908942672</v>
      </c>
      <c r="E52" s="554">
        <f>E41/E55</f>
        <v>0.52900019152623678</v>
      </c>
      <c r="F52" s="554">
        <f>F41/F55</f>
        <v>2.3314205838821045</v>
      </c>
      <c r="G52" s="554">
        <f>G41/G55</f>
        <v>0.63167380202690993</v>
      </c>
      <c r="H52" s="554">
        <f>H41/H55</f>
        <v>0.69038506559776014</v>
      </c>
      <c r="I52" s="554"/>
      <c r="J52" s="554"/>
      <c r="K52" s="554">
        <f>K41/K55</f>
        <v>2.7106753184692551</v>
      </c>
      <c r="L52" s="554">
        <f>L41/L55</f>
        <v>3.0642054334694868</v>
      </c>
      <c r="N52" s="552"/>
      <c r="O52" s="552"/>
      <c r="P52" s="552"/>
      <c r="Q52" s="552"/>
      <c r="R52" s="552"/>
      <c r="S52" s="482"/>
      <c r="T52" s="482"/>
      <c r="U52" s="482"/>
      <c r="V52" s="482"/>
      <c r="W52" s="482"/>
      <c r="X52" s="482"/>
      <c r="Y52" s="482"/>
      <c r="Z52" s="482"/>
      <c r="AA52" s="482"/>
      <c r="AB52" s="482"/>
      <c r="AC52" s="482"/>
      <c r="AD52" s="482"/>
      <c r="AE52" s="482"/>
      <c r="AF52" s="482"/>
      <c r="AG52" s="482"/>
      <c r="AH52" s="482"/>
      <c r="AI52" s="482"/>
      <c r="AJ52" s="482"/>
      <c r="AK52" s="482"/>
      <c r="AL52" s="482"/>
      <c r="AM52" s="482"/>
      <c r="AN52" s="482"/>
      <c r="AO52" s="482"/>
    </row>
    <row r="53" spans="1:41" ht="12">
      <c r="A53" s="518" t="s">
        <v>61</v>
      </c>
      <c r="B53" s="521"/>
      <c r="C53" s="519"/>
      <c r="D53" s="520"/>
      <c r="E53" s="520"/>
      <c r="F53" s="520"/>
      <c r="G53" s="520"/>
      <c r="H53" s="520"/>
      <c r="I53" s="520"/>
      <c r="J53" s="520"/>
      <c r="K53" s="520"/>
      <c r="L53" s="520"/>
      <c r="N53" s="552"/>
      <c r="O53" s="552"/>
      <c r="P53" s="552"/>
      <c r="Q53" s="552"/>
      <c r="R53" s="552"/>
      <c r="S53" s="482"/>
      <c r="T53" s="482"/>
      <c r="U53" s="482"/>
      <c r="V53" s="482"/>
      <c r="W53" s="482"/>
      <c r="X53" s="482"/>
      <c r="Y53" s="482"/>
      <c r="Z53" s="482"/>
      <c r="AA53" s="482"/>
      <c r="AB53" s="482"/>
      <c r="AC53" s="482"/>
      <c r="AD53" s="482"/>
      <c r="AE53" s="482"/>
      <c r="AF53" s="482"/>
      <c r="AG53" s="482"/>
      <c r="AH53" s="482"/>
      <c r="AI53" s="482"/>
      <c r="AJ53" s="482"/>
      <c r="AK53" s="482"/>
      <c r="AL53" s="482"/>
      <c r="AM53" s="482"/>
      <c r="AN53" s="482"/>
      <c r="AO53" s="482"/>
    </row>
    <row r="54" spans="1:41" ht="12">
      <c r="A54" s="517"/>
      <c r="B54" s="521" t="s">
        <v>4</v>
      </c>
      <c r="C54" s="521"/>
      <c r="D54" s="555">
        <v>341.52199999999999</v>
      </c>
      <c r="E54" s="555">
        <v>341.53399999999999</v>
      </c>
      <c r="F54" s="555">
        <v>341.23399999999998</v>
      </c>
      <c r="G54" s="555">
        <v>336.08</v>
      </c>
      <c r="H54" s="555">
        <v>333.00099999999998</v>
      </c>
      <c r="I54" s="555"/>
      <c r="J54" s="556"/>
      <c r="K54" s="555">
        <v>333.00099999999998</v>
      </c>
      <c r="L54" s="557">
        <f>D60/1000000</f>
        <v>333.69585799999999</v>
      </c>
      <c r="N54" s="558"/>
      <c r="O54" s="558"/>
      <c r="P54" s="558"/>
      <c r="Q54" s="558"/>
      <c r="R54" s="558"/>
      <c r="S54" s="482"/>
      <c r="T54" s="482"/>
      <c r="U54" s="482"/>
      <c r="V54" s="482"/>
      <c r="W54" s="482"/>
      <c r="X54" s="482"/>
      <c r="Y54" s="482"/>
      <c r="Z54" s="482"/>
      <c r="AA54" s="482"/>
      <c r="AB54" s="482"/>
      <c r="AC54" s="482"/>
      <c r="AD54" s="482"/>
      <c r="AE54" s="482"/>
      <c r="AF54" s="482"/>
      <c r="AG54" s="482"/>
      <c r="AH54" s="482"/>
      <c r="AI54" s="482"/>
      <c r="AJ54" s="482"/>
      <c r="AK54" s="482"/>
      <c r="AL54" s="482"/>
      <c r="AM54" s="482"/>
      <c r="AN54" s="482"/>
      <c r="AO54" s="482"/>
    </row>
    <row r="55" spans="1:41" ht="12">
      <c r="A55" s="559"/>
      <c r="B55" s="560" t="s">
        <v>5</v>
      </c>
      <c r="C55" s="560"/>
      <c r="D55" s="561">
        <v>345.39299999999997</v>
      </c>
      <c r="E55" s="561">
        <v>345.625</v>
      </c>
      <c r="F55" s="561">
        <v>345.11700000000002</v>
      </c>
      <c r="G55" s="561">
        <v>339.49</v>
      </c>
      <c r="H55" s="561">
        <v>335.52100000000002</v>
      </c>
      <c r="I55" s="561"/>
      <c r="J55" s="562"/>
      <c r="K55" s="561">
        <v>335.52100000000002</v>
      </c>
      <c r="L55" s="563">
        <f>D66/1000000</f>
        <v>336.17552899999998</v>
      </c>
      <c r="N55" s="558"/>
      <c r="O55" s="558"/>
      <c r="P55" s="558"/>
      <c r="Q55" s="558"/>
      <c r="R55" s="558"/>
      <c r="S55" s="482"/>
      <c r="T55" s="482"/>
      <c r="U55" s="482"/>
      <c r="V55" s="482"/>
      <c r="W55" s="482"/>
      <c r="X55" s="482"/>
      <c r="Y55" s="482"/>
      <c r="Z55" s="482"/>
      <c r="AA55" s="482"/>
      <c r="AB55" s="482"/>
      <c r="AC55" s="482"/>
      <c r="AD55" s="482"/>
      <c r="AE55" s="482"/>
      <c r="AF55" s="482"/>
      <c r="AG55" s="482"/>
      <c r="AH55" s="482"/>
      <c r="AI55" s="482"/>
      <c r="AJ55" s="482"/>
      <c r="AK55" s="482"/>
      <c r="AL55" s="482"/>
      <c r="AM55" s="482"/>
      <c r="AN55" s="482"/>
      <c r="AO55" s="482"/>
    </row>
    <row r="56" spans="1:41" ht="12">
      <c r="K56" s="482"/>
      <c r="N56" s="482"/>
      <c r="O56" s="482"/>
      <c r="P56" s="482"/>
      <c r="Q56" s="482"/>
      <c r="R56" s="482"/>
      <c r="S56" s="482"/>
      <c r="T56" s="482"/>
      <c r="U56" s="482"/>
      <c r="V56" s="482"/>
      <c r="W56" s="482"/>
      <c r="X56" s="482"/>
      <c r="Y56" s="482"/>
      <c r="Z56" s="482"/>
      <c r="AA56" s="482"/>
      <c r="AB56" s="482"/>
      <c r="AC56" s="482"/>
      <c r="AD56" s="482"/>
      <c r="AE56" s="482"/>
      <c r="AF56" s="482"/>
      <c r="AG56" s="482"/>
      <c r="AH56" s="482"/>
      <c r="AI56" s="482"/>
      <c r="AJ56" s="482"/>
      <c r="AK56" s="482"/>
      <c r="AL56" s="482"/>
      <c r="AM56" s="482"/>
      <c r="AN56" s="482"/>
      <c r="AO56" s="482"/>
    </row>
    <row r="57" spans="1:41" ht="12.75">
      <c r="C57" s="566"/>
      <c r="D57" s="566"/>
      <c r="E57" s="567"/>
      <c r="F57" s="567"/>
      <c r="K57" s="482"/>
      <c r="L57" s="568"/>
      <c r="N57" s="482"/>
      <c r="O57" s="482"/>
      <c r="P57" s="482"/>
      <c r="Q57" s="482"/>
      <c r="R57" s="482"/>
      <c r="S57" s="482"/>
      <c r="T57" s="482"/>
      <c r="U57" s="482"/>
      <c r="V57" s="482"/>
      <c r="W57" s="482"/>
      <c r="X57" s="482"/>
      <c r="Y57" s="482"/>
      <c r="Z57" s="482"/>
      <c r="AA57" s="482"/>
      <c r="AB57" s="482"/>
      <c r="AC57" s="482"/>
      <c r="AD57" s="482"/>
      <c r="AE57" s="482"/>
      <c r="AF57" s="482"/>
      <c r="AG57" s="482"/>
      <c r="AH57" s="482"/>
      <c r="AI57" s="482"/>
      <c r="AJ57" s="482"/>
      <c r="AK57" s="482"/>
      <c r="AL57" s="482"/>
      <c r="AM57" s="482"/>
      <c r="AN57" s="482"/>
      <c r="AO57" s="482"/>
    </row>
    <row r="58" spans="1:41" ht="15">
      <c r="A58" s="813" t="s">
        <v>314</v>
      </c>
      <c r="B58" s="814"/>
      <c r="C58" s="814"/>
      <c r="D58" s="815"/>
      <c r="E58" s="569"/>
      <c r="K58" s="482"/>
      <c r="L58" s="570"/>
      <c r="N58" s="482"/>
      <c r="O58" s="482"/>
      <c r="P58" s="482"/>
      <c r="Q58" s="482"/>
      <c r="R58" s="482"/>
      <c r="S58" s="482"/>
      <c r="T58" s="482"/>
      <c r="U58" s="482"/>
      <c r="V58" s="482"/>
      <c r="W58" s="482"/>
      <c r="X58" s="482"/>
      <c r="Y58" s="482"/>
      <c r="Z58" s="482"/>
      <c r="AA58" s="482"/>
      <c r="AB58" s="482"/>
      <c r="AC58" s="482"/>
      <c r="AD58" s="482"/>
      <c r="AE58" s="482"/>
      <c r="AF58" s="482"/>
      <c r="AG58" s="482"/>
      <c r="AH58" s="482"/>
      <c r="AI58" s="482"/>
      <c r="AJ58" s="482"/>
      <c r="AK58" s="482"/>
      <c r="AL58" s="482"/>
      <c r="AM58" s="482"/>
      <c r="AN58" s="482"/>
      <c r="AO58" s="482"/>
    </row>
    <row r="59" spans="1:41" ht="12.75">
      <c r="A59" s="571" t="s">
        <v>175</v>
      </c>
      <c r="B59" s="571"/>
      <c r="C59" s="571"/>
      <c r="D59" s="796">
        <v>47.16</v>
      </c>
      <c r="E59" s="572"/>
      <c r="K59" s="573"/>
      <c r="N59" s="482"/>
      <c r="O59" s="482"/>
      <c r="P59" s="482"/>
      <c r="Q59" s="482"/>
      <c r="R59" s="482"/>
      <c r="S59" s="482"/>
      <c r="T59" s="482"/>
      <c r="U59" s="482"/>
      <c r="V59" s="482"/>
      <c r="W59" s="482"/>
      <c r="X59" s="482"/>
      <c r="Y59" s="482"/>
      <c r="Z59" s="482"/>
      <c r="AA59" s="482"/>
      <c r="AB59" s="482"/>
      <c r="AC59" s="482"/>
      <c r="AD59" s="482"/>
      <c r="AE59" s="482"/>
      <c r="AF59" s="482"/>
      <c r="AG59" s="482"/>
      <c r="AH59" s="482"/>
      <c r="AI59" s="482"/>
      <c r="AJ59" s="482"/>
      <c r="AK59" s="482"/>
      <c r="AL59" s="482"/>
      <c r="AM59" s="482"/>
      <c r="AN59" s="482"/>
      <c r="AO59" s="482"/>
    </row>
    <row r="60" spans="1:41" ht="12.75">
      <c r="A60" s="574" t="s">
        <v>287</v>
      </c>
      <c r="B60" s="574"/>
      <c r="C60" s="575"/>
      <c r="D60" s="797">
        <v>333695858</v>
      </c>
      <c r="E60" s="576"/>
      <c r="K60" s="577"/>
      <c r="N60" s="482"/>
      <c r="O60" s="482"/>
      <c r="P60" s="482"/>
      <c r="Q60" s="482"/>
      <c r="R60" s="482"/>
      <c r="S60" s="482"/>
      <c r="T60" s="482"/>
      <c r="U60" s="482"/>
      <c r="V60" s="482"/>
      <c r="W60" s="482"/>
      <c r="X60" s="482"/>
      <c r="Y60" s="482"/>
      <c r="Z60" s="482"/>
      <c r="AA60" s="482"/>
      <c r="AB60" s="482"/>
      <c r="AC60" s="482"/>
      <c r="AD60" s="482"/>
      <c r="AE60" s="482"/>
      <c r="AF60" s="482"/>
      <c r="AG60" s="482"/>
      <c r="AH60" s="482"/>
      <c r="AI60" s="482"/>
      <c r="AJ60" s="482"/>
      <c r="AK60" s="482"/>
      <c r="AL60" s="482"/>
      <c r="AM60" s="482"/>
      <c r="AN60" s="482"/>
      <c r="AO60" s="482"/>
    </row>
    <row r="61" spans="1:41" ht="12.75">
      <c r="A61" s="574" t="s">
        <v>285</v>
      </c>
      <c r="B61" s="574"/>
      <c r="C61" s="574"/>
      <c r="D61" s="797">
        <v>3098603</v>
      </c>
      <c r="E61" s="576"/>
      <c r="N61" s="482"/>
      <c r="O61" s="482"/>
      <c r="P61" s="482"/>
      <c r="Q61" s="482"/>
      <c r="R61" s="482"/>
      <c r="S61" s="482"/>
      <c r="T61" s="482"/>
      <c r="U61" s="482"/>
      <c r="V61" s="482"/>
      <c r="W61" s="482"/>
      <c r="X61" s="482"/>
      <c r="Y61" s="482"/>
      <c r="Z61" s="482"/>
      <c r="AA61" s="482"/>
      <c r="AB61" s="482"/>
      <c r="AC61" s="482"/>
      <c r="AD61" s="482"/>
      <c r="AE61" s="482"/>
      <c r="AF61" s="482"/>
      <c r="AG61" s="482"/>
      <c r="AH61" s="482"/>
      <c r="AI61" s="482"/>
      <c r="AJ61" s="482"/>
      <c r="AK61" s="482"/>
      <c r="AL61" s="482"/>
      <c r="AM61" s="482"/>
      <c r="AN61" s="482"/>
      <c r="AO61" s="482"/>
    </row>
    <row r="62" spans="1:41" ht="12.75">
      <c r="A62" s="578" t="s">
        <v>283</v>
      </c>
      <c r="B62" s="578"/>
      <c r="C62" s="578"/>
      <c r="D62" s="796">
        <v>9.42</v>
      </c>
      <c r="E62" s="579"/>
      <c r="N62" s="482"/>
      <c r="O62" s="482"/>
      <c r="P62" s="482"/>
      <c r="Q62" s="482"/>
      <c r="R62" s="482"/>
      <c r="S62" s="482"/>
      <c r="T62" s="482"/>
      <c r="U62" s="482"/>
      <c r="V62" s="482"/>
      <c r="W62" s="482"/>
      <c r="X62" s="482"/>
      <c r="Y62" s="482"/>
      <c r="Z62" s="482"/>
      <c r="AA62" s="482"/>
      <c r="AB62" s="482"/>
      <c r="AC62" s="482"/>
      <c r="AD62" s="482"/>
      <c r="AE62" s="482"/>
      <c r="AF62" s="482"/>
      <c r="AG62" s="482"/>
      <c r="AH62" s="482"/>
      <c r="AI62" s="482"/>
      <c r="AJ62" s="482"/>
      <c r="AK62" s="482"/>
      <c r="AL62" s="482"/>
      <c r="AM62" s="482"/>
      <c r="AN62" s="482"/>
      <c r="AO62" s="482"/>
    </row>
    <row r="63" spans="1:41" ht="12.75">
      <c r="A63" s="578" t="s">
        <v>284</v>
      </c>
      <c r="B63" s="578"/>
      <c r="C63" s="578"/>
      <c r="D63" s="798">
        <f>D61*D62</f>
        <v>29188840.260000002</v>
      </c>
      <c r="E63" s="579"/>
      <c r="F63" s="482"/>
      <c r="G63" s="482"/>
      <c r="H63" s="482"/>
      <c r="I63" s="482"/>
      <c r="J63" s="482"/>
      <c r="K63" s="482"/>
      <c r="N63" s="482"/>
      <c r="O63" s="482"/>
      <c r="P63" s="482"/>
      <c r="Q63" s="482"/>
      <c r="R63" s="482"/>
      <c r="S63" s="482"/>
      <c r="T63" s="482"/>
      <c r="U63" s="482"/>
      <c r="V63" s="482"/>
      <c r="W63" s="482"/>
      <c r="X63" s="482"/>
      <c r="Y63" s="482"/>
      <c r="Z63" s="482"/>
      <c r="AA63" s="482"/>
      <c r="AB63" s="482"/>
      <c r="AC63" s="482"/>
      <c r="AD63" s="482"/>
      <c r="AE63" s="482"/>
      <c r="AF63" s="482"/>
      <c r="AG63" s="482"/>
      <c r="AH63" s="482"/>
      <c r="AI63" s="482"/>
      <c r="AJ63" s="482"/>
      <c r="AK63" s="482"/>
      <c r="AL63" s="482"/>
      <c r="AM63" s="482"/>
      <c r="AN63" s="482"/>
      <c r="AO63" s="482"/>
    </row>
    <row r="64" spans="1:41" ht="12.75">
      <c r="A64" s="574" t="s">
        <v>288</v>
      </c>
      <c r="B64" s="578"/>
      <c r="C64" s="578"/>
      <c r="D64" s="798">
        <f>+ROUNDDOWN(D63/D59,0)</f>
        <v>618932</v>
      </c>
      <c r="E64" s="576"/>
      <c r="F64" s="482"/>
      <c r="G64" s="482"/>
      <c r="H64" s="482"/>
      <c r="I64" s="482"/>
      <c r="J64" s="482"/>
      <c r="K64" s="482"/>
      <c r="N64" s="482"/>
      <c r="O64" s="482"/>
      <c r="P64" s="482"/>
      <c r="Q64" s="482"/>
      <c r="R64" s="482"/>
      <c r="S64" s="482"/>
      <c r="T64" s="482"/>
      <c r="U64" s="482"/>
      <c r="V64" s="482"/>
      <c r="W64" s="482"/>
      <c r="X64" s="482"/>
      <c r="Y64" s="482"/>
      <c r="Z64" s="482"/>
      <c r="AA64" s="482"/>
      <c r="AB64" s="482"/>
      <c r="AC64" s="482"/>
      <c r="AD64" s="482"/>
      <c r="AE64" s="482"/>
      <c r="AF64" s="482"/>
      <c r="AG64" s="482"/>
      <c r="AH64" s="482"/>
      <c r="AI64" s="482"/>
      <c r="AJ64" s="482"/>
      <c r="AK64" s="482"/>
      <c r="AL64" s="482"/>
      <c r="AM64" s="482"/>
      <c r="AN64" s="482"/>
      <c r="AO64" s="482"/>
    </row>
    <row r="65" spans="1:41" ht="12.75">
      <c r="A65" s="580" t="s">
        <v>289</v>
      </c>
      <c r="B65" s="581"/>
      <c r="C65" s="581"/>
      <c r="D65" s="799">
        <f>D61-D64</f>
        <v>2479671</v>
      </c>
      <c r="E65" s="576"/>
      <c r="F65" s="482"/>
      <c r="G65" s="482"/>
      <c r="H65" s="482"/>
      <c r="I65" s="482"/>
      <c r="J65" s="482"/>
      <c r="K65" s="482"/>
      <c r="N65" s="482"/>
      <c r="O65" s="482"/>
      <c r="P65" s="482"/>
      <c r="Q65" s="482"/>
      <c r="R65" s="482"/>
      <c r="S65" s="482"/>
      <c r="T65" s="482"/>
      <c r="U65" s="482"/>
      <c r="V65" s="482"/>
      <c r="W65" s="482"/>
      <c r="X65" s="482"/>
      <c r="Y65" s="482"/>
      <c r="Z65" s="482"/>
      <c r="AA65" s="482"/>
      <c r="AB65" s="482"/>
      <c r="AC65" s="482"/>
      <c r="AD65" s="482"/>
      <c r="AE65" s="482"/>
      <c r="AF65" s="482"/>
      <c r="AG65" s="482"/>
      <c r="AH65" s="482"/>
      <c r="AI65" s="482"/>
      <c r="AJ65" s="482"/>
      <c r="AK65" s="482"/>
      <c r="AL65" s="482"/>
      <c r="AM65" s="482"/>
      <c r="AN65" s="482"/>
      <c r="AO65" s="482"/>
    </row>
    <row r="66" spans="1:41" ht="15">
      <c r="A66" s="582" t="s">
        <v>286</v>
      </c>
      <c r="B66" s="581"/>
      <c r="C66" s="581"/>
      <c r="D66" s="800">
        <f>D65+D60</f>
        <v>336175529</v>
      </c>
      <c r="E66" s="486"/>
      <c r="F66" s="482"/>
      <c r="G66" s="482"/>
      <c r="H66" s="482"/>
      <c r="I66" s="482"/>
      <c r="J66" s="482"/>
      <c r="K66" s="482"/>
      <c r="N66" s="482"/>
      <c r="O66" s="482"/>
      <c r="P66" s="482"/>
      <c r="Q66" s="482"/>
      <c r="R66" s="482"/>
      <c r="S66" s="482"/>
      <c r="T66" s="482"/>
      <c r="U66" s="482"/>
      <c r="V66" s="482"/>
      <c r="W66" s="482"/>
      <c r="X66" s="482"/>
      <c r="Y66" s="482"/>
      <c r="Z66" s="482"/>
      <c r="AA66" s="482"/>
      <c r="AB66" s="482"/>
      <c r="AC66" s="482"/>
      <c r="AD66" s="482"/>
      <c r="AE66" s="482"/>
      <c r="AF66" s="482"/>
      <c r="AG66" s="482"/>
      <c r="AH66" s="482"/>
      <c r="AI66" s="482"/>
      <c r="AJ66" s="482"/>
      <c r="AK66" s="482"/>
      <c r="AL66" s="482"/>
      <c r="AM66" s="482"/>
      <c r="AN66" s="482"/>
      <c r="AO66" s="482"/>
    </row>
    <row r="68" spans="1:41" ht="15">
      <c r="A68" s="813" t="s">
        <v>315</v>
      </c>
      <c r="B68" s="814"/>
      <c r="C68" s="814"/>
      <c r="D68" s="815"/>
      <c r="F68" s="482"/>
      <c r="G68" s="482"/>
      <c r="H68" s="482"/>
      <c r="I68" s="482"/>
      <c r="J68" s="482"/>
      <c r="K68" s="482"/>
      <c r="N68" s="482"/>
      <c r="O68" s="482"/>
      <c r="P68" s="482"/>
      <c r="Q68" s="482"/>
      <c r="R68" s="482"/>
      <c r="S68" s="482"/>
      <c r="T68" s="482"/>
      <c r="U68" s="482"/>
      <c r="V68" s="482"/>
      <c r="W68" s="482"/>
      <c r="X68" s="482"/>
      <c r="Y68" s="482"/>
      <c r="Z68" s="482"/>
      <c r="AA68" s="482"/>
      <c r="AB68" s="482"/>
      <c r="AC68" s="482"/>
      <c r="AD68" s="482"/>
      <c r="AE68" s="482"/>
      <c r="AF68" s="482"/>
      <c r="AG68" s="482"/>
      <c r="AH68" s="482"/>
      <c r="AI68" s="482"/>
      <c r="AJ68" s="482"/>
      <c r="AK68" s="482"/>
      <c r="AL68" s="482"/>
      <c r="AM68" s="482"/>
      <c r="AN68" s="482"/>
      <c r="AO68" s="482"/>
    </row>
    <row r="69" spans="1:41" ht="12.75">
      <c r="A69" s="582" t="s">
        <v>176</v>
      </c>
      <c r="B69" s="583"/>
      <c r="C69" s="583"/>
      <c r="D69" s="801">
        <f>D66*D59/1000000</f>
        <v>15854.037947639999</v>
      </c>
      <c r="F69" s="482"/>
      <c r="G69" s="482"/>
      <c r="H69" s="482"/>
      <c r="I69" s="482"/>
      <c r="J69" s="482"/>
      <c r="K69" s="482"/>
      <c r="N69" s="482"/>
      <c r="O69" s="482"/>
      <c r="P69" s="482"/>
      <c r="Q69" s="482"/>
      <c r="R69" s="482"/>
      <c r="S69" s="482"/>
      <c r="T69" s="482"/>
      <c r="U69" s="482"/>
      <c r="V69" s="482"/>
      <c r="W69" s="482"/>
      <c r="X69" s="482"/>
      <c r="Y69" s="482"/>
      <c r="Z69" s="482"/>
      <c r="AA69" s="482"/>
      <c r="AB69" s="482"/>
      <c r="AC69" s="482"/>
      <c r="AD69" s="482"/>
      <c r="AE69" s="482"/>
      <c r="AF69" s="482"/>
      <c r="AG69" s="482"/>
      <c r="AH69" s="482"/>
      <c r="AI69" s="482"/>
      <c r="AJ69" s="482"/>
      <c r="AK69" s="482"/>
      <c r="AL69" s="482"/>
      <c r="AM69" s="482"/>
      <c r="AN69" s="482"/>
      <c r="AO69" s="482"/>
    </row>
    <row r="70" spans="1:41" ht="12.75">
      <c r="A70" s="571" t="s">
        <v>34</v>
      </c>
      <c r="B70" s="571"/>
      <c r="C70" s="571"/>
      <c r="D70" s="802">
        <v>0</v>
      </c>
      <c r="F70" s="482"/>
      <c r="G70" s="482"/>
      <c r="H70" s="482"/>
      <c r="I70" s="482"/>
      <c r="J70" s="482"/>
      <c r="K70" s="482"/>
      <c r="N70" s="482"/>
      <c r="O70" s="482"/>
      <c r="P70" s="482"/>
      <c r="Q70" s="482"/>
      <c r="R70" s="482"/>
      <c r="S70" s="482"/>
      <c r="T70" s="482"/>
      <c r="U70" s="482"/>
      <c r="V70" s="482"/>
      <c r="W70" s="482"/>
      <c r="X70" s="482"/>
      <c r="Y70" s="482"/>
      <c r="Z70" s="482"/>
      <c r="AA70" s="482"/>
      <c r="AB70" s="482"/>
      <c r="AC70" s="482"/>
      <c r="AD70" s="482"/>
      <c r="AE70" s="482"/>
      <c r="AF70" s="482"/>
      <c r="AG70" s="482"/>
      <c r="AH70" s="482"/>
      <c r="AI70" s="482"/>
      <c r="AJ70" s="482"/>
      <c r="AK70" s="482"/>
      <c r="AL70" s="482"/>
      <c r="AM70" s="482"/>
      <c r="AN70" s="482"/>
      <c r="AO70" s="482"/>
    </row>
    <row r="71" spans="1:41" ht="12.75">
      <c r="A71" s="571" t="s">
        <v>293</v>
      </c>
      <c r="B71" s="571"/>
      <c r="C71" s="571"/>
      <c r="D71" s="802">
        <v>2613.3919999999998</v>
      </c>
      <c r="F71" s="482"/>
      <c r="G71" s="482"/>
      <c r="H71" s="482"/>
      <c r="I71" s="482"/>
      <c r="J71" s="482"/>
      <c r="K71" s="482"/>
      <c r="N71" s="482"/>
      <c r="O71" s="482"/>
      <c r="P71" s="482"/>
      <c r="Q71" s="482"/>
      <c r="R71" s="482"/>
      <c r="S71" s="482"/>
      <c r="T71" s="482"/>
      <c r="U71" s="482"/>
      <c r="V71" s="482"/>
      <c r="W71" s="482"/>
      <c r="X71" s="482"/>
      <c r="Y71" s="482"/>
      <c r="Z71" s="482"/>
      <c r="AA71" s="482"/>
      <c r="AB71" s="482"/>
      <c r="AC71" s="482"/>
      <c r="AD71" s="482"/>
      <c r="AE71" s="482"/>
      <c r="AF71" s="482"/>
      <c r="AG71" s="482"/>
      <c r="AH71" s="482"/>
      <c r="AI71" s="482"/>
      <c r="AJ71" s="482"/>
      <c r="AK71" s="482"/>
      <c r="AL71" s="482"/>
      <c r="AM71" s="482"/>
      <c r="AN71" s="482"/>
      <c r="AO71" s="482"/>
    </row>
    <row r="72" spans="1:41" ht="12.75">
      <c r="A72" s="571" t="s">
        <v>291</v>
      </c>
      <c r="B72" s="571"/>
      <c r="C72" s="571"/>
      <c r="D72" s="802">
        <v>5.0890000000000004</v>
      </c>
      <c r="F72" s="482"/>
      <c r="G72" s="482"/>
      <c r="H72" s="482"/>
      <c r="I72" s="482"/>
      <c r="J72" s="482"/>
      <c r="K72" s="482"/>
      <c r="N72" s="482"/>
      <c r="O72" s="482"/>
      <c r="P72" s="482"/>
      <c r="Q72" s="482"/>
      <c r="R72" s="482"/>
      <c r="S72" s="482"/>
      <c r="T72" s="482"/>
      <c r="U72" s="482"/>
      <c r="V72" s="482"/>
      <c r="W72" s="482"/>
      <c r="X72" s="482"/>
      <c r="Y72" s="482"/>
      <c r="Z72" s="482"/>
      <c r="AA72" s="482"/>
      <c r="AB72" s="482"/>
      <c r="AC72" s="482"/>
      <c r="AD72" s="482"/>
      <c r="AE72" s="482"/>
      <c r="AF72" s="482"/>
      <c r="AG72" s="482"/>
      <c r="AH72" s="482"/>
      <c r="AI72" s="482"/>
      <c r="AJ72" s="482"/>
      <c r="AK72" s="482"/>
      <c r="AL72" s="482"/>
      <c r="AM72" s="482"/>
      <c r="AN72" s="482"/>
      <c r="AO72" s="482"/>
    </row>
    <row r="73" spans="1:41" ht="12.75">
      <c r="A73" s="571" t="s">
        <v>177</v>
      </c>
      <c r="B73" s="571"/>
      <c r="C73" s="571"/>
      <c r="D73" s="802">
        <v>0</v>
      </c>
      <c r="F73" s="482"/>
      <c r="G73" s="482"/>
      <c r="H73" s="482"/>
      <c r="I73" s="482"/>
      <c r="J73" s="482"/>
      <c r="K73" s="482"/>
      <c r="N73" s="482"/>
      <c r="O73" s="482"/>
      <c r="P73" s="482"/>
      <c r="Q73" s="482"/>
      <c r="R73" s="482"/>
      <c r="S73" s="482"/>
      <c r="T73" s="482"/>
      <c r="U73" s="482"/>
      <c r="V73" s="482"/>
      <c r="W73" s="482"/>
      <c r="X73" s="482"/>
      <c r="Y73" s="482"/>
      <c r="Z73" s="482"/>
      <c r="AA73" s="482"/>
      <c r="AB73" s="482"/>
      <c r="AC73" s="482"/>
      <c r="AD73" s="482"/>
      <c r="AE73" s="482"/>
      <c r="AF73" s="482"/>
      <c r="AG73" s="482"/>
      <c r="AH73" s="482"/>
      <c r="AI73" s="482"/>
      <c r="AJ73" s="482"/>
      <c r="AK73" s="482"/>
      <c r="AL73" s="482"/>
      <c r="AM73" s="482"/>
      <c r="AN73" s="482"/>
      <c r="AO73" s="482"/>
    </row>
    <row r="74" spans="1:41" ht="12.75">
      <c r="A74" s="571" t="s">
        <v>292</v>
      </c>
      <c r="B74" s="571"/>
      <c r="C74" s="571"/>
      <c r="D74" s="802">
        <v>0</v>
      </c>
      <c r="F74" s="482"/>
      <c r="G74" s="482"/>
      <c r="H74" s="482"/>
      <c r="I74" s="482"/>
      <c r="J74" s="482"/>
      <c r="K74" s="482"/>
      <c r="N74" s="482"/>
      <c r="O74" s="482"/>
      <c r="P74" s="482"/>
      <c r="Q74" s="482"/>
      <c r="R74" s="482"/>
      <c r="S74" s="482"/>
      <c r="T74" s="482"/>
      <c r="U74" s="482"/>
      <c r="V74" s="482"/>
      <c r="W74" s="482"/>
      <c r="X74" s="482"/>
      <c r="Y74" s="482"/>
      <c r="Z74" s="482"/>
      <c r="AA74" s="482"/>
      <c r="AB74" s="482"/>
      <c r="AC74" s="482"/>
      <c r="AD74" s="482"/>
      <c r="AE74" s="482"/>
      <c r="AF74" s="482"/>
      <c r="AG74" s="482"/>
      <c r="AH74" s="482"/>
      <c r="AI74" s="482"/>
      <c r="AJ74" s="482"/>
      <c r="AK74" s="482"/>
      <c r="AL74" s="482"/>
      <c r="AM74" s="482"/>
      <c r="AN74" s="482"/>
      <c r="AO74" s="482"/>
    </row>
    <row r="75" spans="1:41" ht="12.75">
      <c r="A75" s="571" t="s">
        <v>178</v>
      </c>
      <c r="B75" s="571"/>
      <c r="C75" s="571"/>
      <c r="D75" s="802">
        <v>0</v>
      </c>
      <c r="F75" s="482"/>
      <c r="G75" s="482"/>
      <c r="H75" s="482"/>
      <c r="I75" s="482"/>
      <c r="J75" s="482"/>
      <c r="K75" s="482"/>
      <c r="N75" s="482"/>
      <c r="O75" s="482"/>
      <c r="P75" s="482"/>
      <c r="Q75" s="482"/>
      <c r="R75" s="482"/>
      <c r="S75" s="482"/>
      <c r="T75" s="482"/>
      <c r="U75" s="482"/>
      <c r="V75" s="482"/>
      <c r="W75" s="482"/>
      <c r="X75" s="482"/>
      <c r="Y75" s="482"/>
      <c r="Z75" s="482"/>
      <c r="AA75" s="482"/>
      <c r="AB75" s="482"/>
      <c r="AC75" s="482"/>
      <c r="AD75" s="482"/>
      <c r="AE75" s="482"/>
      <c r="AF75" s="482"/>
      <c r="AG75" s="482"/>
      <c r="AH75" s="482"/>
      <c r="AI75" s="482"/>
      <c r="AJ75" s="482"/>
      <c r="AK75" s="482"/>
      <c r="AL75" s="482"/>
      <c r="AM75" s="482"/>
      <c r="AN75" s="482"/>
      <c r="AO75" s="482"/>
    </row>
    <row r="76" spans="1:41" ht="12.75">
      <c r="A76" s="571" t="s">
        <v>179</v>
      </c>
      <c r="B76" s="571"/>
      <c r="C76" s="571"/>
      <c r="D76" s="802">
        <v>-134.15700000000001</v>
      </c>
      <c r="F76" s="482"/>
      <c r="G76" s="482"/>
      <c r="H76" s="482"/>
      <c r="I76" s="482"/>
      <c r="J76" s="482"/>
      <c r="K76" s="482"/>
      <c r="N76" s="482"/>
      <c r="O76" s="482"/>
      <c r="P76" s="482"/>
      <c r="Q76" s="482"/>
      <c r="R76" s="482"/>
      <c r="S76" s="482"/>
      <c r="T76" s="482"/>
      <c r="U76" s="482"/>
      <c r="V76" s="482"/>
      <c r="W76" s="482"/>
      <c r="X76" s="482"/>
      <c r="Y76" s="482"/>
      <c r="Z76" s="482"/>
      <c r="AA76" s="482"/>
      <c r="AB76" s="482"/>
      <c r="AC76" s="482"/>
      <c r="AD76" s="482"/>
      <c r="AE76" s="482"/>
      <c r="AF76" s="482"/>
      <c r="AG76" s="482"/>
      <c r="AH76" s="482"/>
      <c r="AI76" s="482"/>
      <c r="AJ76" s="482"/>
      <c r="AK76" s="482"/>
      <c r="AL76" s="482"/>
      <c r="AM76" s="482"/>
      <c r="AN76" s="482"/>
      <c r="AO76" s="482"/>
    </row>
    <row r="77" spans="1:41" ht="12.75">
      <c r="A77" s="582" t="s">
        <v>180</v>
      </c>
      <c r="B77" s="584"/>
      <c r="C77" s="584"/>
      <c r="D77" s="803">
        <f>SUM(D69:D76)</f>
        <v>18338.361947639998</v>
      </c>
      <c r="F77" s="482"/>
      <c r="G77" s="482"/>
      <c r="H77" s="482"/>
      <c r="I77" s="482"/>
      <c r="J77" s="482"/>
      <c r="K77" s="482"/>
      <c r="N77" s="482"/>
      <c r="O77" s="482"/>
      <c r="P77" s="482"/>
      <c r="Q77" s="482"/>
      <c r="R77" s="482"/>
      <c r="S77" s="482"/>
      <c r="T77" s="482"/>
      <c r="U77" s="482"/>
      <c r="V77" s="482"/>
      <c r="W77" s="482"/>
      <c r="X77" s="482"/>
      <c r="Y77" s="482"/>
      <c r="Z77" s="482"/>
      <c r="AA77" s="482"/>
      <c r="AB77" s="482"/>
      <c r="AC77" s="482"/>
      <c r="AD77" s="482"/>
      <c r="AE77" s="482"/>
      <c r="AF77" s="482"/>
      <c r="AG77" s="482"/>
      <c r="AH77" s="482"/>
      <c r="AI77" s="482"/>
      <c r="AJ77" s="482"/>
      <c r="AK77" s="482"/>
      <c r="AL77" s="482"/>
      <c r="AM77" s="482"/>
      <c r="AN77" s="482"/>
      <c r="AO77" s="482"/>
    </row>
  </sheetData>
  <mergeCells count="2">
    <mergeCell ref="A58:D58"/>
    <mergeCell ref="A68:D68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66CCFF"/>
  </sheetPr>
  <dimension ref="A1:AN64"/>
  <sheetViews>
    <sheetView showGridLines="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 outlineLevelRow="1"/>
  <cols>
    <col min="1" max="1" width="2.7109375" style="585" customWidth="1"/>
    <col min="2" max="2" width="2.7109375" style="586" customWidth="1"/>
    <col min="3" max="3" width="37.5703125" style="586" bestFit="1" customWidth="1"/>
    <col min="4" max="4" width="17" style="587" customWidth="1"/>
    <col min="5" max="9" width="9.7109375" style="587" customWidth="1"/>
    <col min="10" max="10" width="9.7109375" style="586" customWidth="1"/>
    <col min="11" max="11" width="9.7109375" style="585" customWidth="1" collapsed="1"/>
    <col min="12" max="12" width="9.140625" style="585"/>
    <col min="13" max="17" width="9.140625" style="588"/>
    <col min="18" max="18" width="9.7109375" style="588" bestFit="1" customWidth="1"/>
    <col min="19" max="40" width="9.140625" style="588"/>
    <col min="41" max="16384" width="9.140625" style="585"/>
  </cols>
  <sheetData>
    <row r="1" spans="1:40" ht="58.5" customHeight="1"/>
    <row r="2" spans="1:40" ht="12.75" customHeight="1">
      <c r="A2" s="589" t="s">
        <v>317</v>
      </c>
      <c r="B2" s="590"/>
      <c r="C2" s="589"/>
      <c r="D2" s="591"/>
      <c r="E2" s="591"/>
      <c r="F2" s="591"/>
      <c r="G2" s="591"/>
      <c r="H2" s="591"/>
      <c r="I2" s="591"/>
      <c r="J2" s="589"/>
      <c r="K2" s="592"/>
    </row>
    <row r="3" spans="1:40" ht="12.75" customHeight="1">
      <c r="A3" s="593" t="s">
        <v>318</v>
      </c>
      <c r="B3" s="594"/>
      <c r="C3" s="595"/>
      <c r="D3" s="596"/>
      <c r="E3" s="596" t="s">
        <v>32</v>
      </c>
      <c r="F3" s="596"/>
      <c r="G3" s="596"/>
      <c r="H3" s="596"/>
      <c r="I3" s="596"/>
      <c r="J3" s="596"/>
      <c r="K3" s="597" t="s">
        <v>33</v>
      </c>
      <c r="L3" s="588"/>
    </row>
    <row r="4" spans="1:40" ht="12.75" customHeight="1">
      <c r="A4" s="593"/>
      <c r="B4" s="594"/>
      <c r="C4" s="595"/>
      <c r="D4" s="598"/>
      <c r="E4" s="598"/>
      <c r="F4" s="598"/>
      <c r="G4" s="598"/>
      <c r="H4" s="598"/>
      <c r="I4" s="598"/>
      <c r="J4" s="599"/>
      <c r="K4" s="599"/>
    </row>
    <row r="5" spans="1:40" ht="12.75" customHeight="1">
      <c r="A5" s="600"/>
      <c r="B5" s="601"/>
      <c r="C5" s="602"/>
      <c r="D5" s="603"/>
      <c r="E5" s="603" t="s">
        <v>262</v>
      </c>
      <c r="F5" s="603" t="s">
        <v>263</v>
      </c>
      <c r="G5" s="603" t="s">
        <v>319</v>
      </c>
      <c r="H5" s="603" t="s">
        <v>265</v>
      </c>
      <c r="I5" s="603" t="s">
        <v>266</v>
      </c>
      <c r="J5" s="603" t="s">
        <v>161</v>
      </c>
      <c r="K5" s="604" t="s">
        <v>268</v>
      </c>
    </row>
    <row r="6" spans="1:40" ht="12.75" customHeight="1">
      <c r="A6" s="297"/>
      <c r="B6" s="587"/>
      <c r="C6" s="605"/>
      <c r="D6" s="606"/>
      <c r="E6" s="606"/>
      <c r="F6" s="606"/>
      <c r="G6" s="606"/>
      <c r="H6" s="606"/>
      <c r="I6" s="606"/>
      <c r="J6" s="606"/>
      <c r="K6" s="606"/>
      <c r="M6" s="607"/>
      <c r="N6" s="607"/>
      <c r="O6" s="607"/>
      <c r="P6" s="607"/>
      <c r="Q6" s="607"/>
      <c r="R6" s="607"/>
      <c r="S6" s="607"/>
      <c r="T6" s="607"/>
      <c r="U6" s="607"/>
      <c r="V6" s="607"/>
      <c r="W6" s="607"/>
      <c r="X6" s="607"/>
      <c r="Y6" s="607"/>
      <c r="Z6" s="607"/>
      <c r="AA6" s="607"/>
      <c r="AB6" s="607"/>
      <c r="AC6" s="607"/>
      <c r="AD6" s="607"/>
      <c r="AE6" s="607"/>
      <c r="AF6" s="607"/>
      <c r="AG6" s="607"/>
      <c r="AH6" s="607"/>
      <c r="AI6" s="607"/>
      <c r="AJ6" s="607"/>
      <c r="AK6" s="607"/>
      <c r="AL6" s="607"/>
      <c r="AM6" s="607"/>
      <c r="AN6" s="607"/>
    </row>
    <row r="7" spans="1:40" ht="12.75" customHeight="1">
      <c r="A7" s="297" t="s">
        <v>320</v>
      </c>
      <c r="B7" s="587"/>
      <c r="C7" s="605"/>
      <c r="D7" s="608"/>
      <c r="E7" s="609">
        <v>1545.9</v>
      </c>
      <c r="F7" s="609">
        <v>1542.4</v>
      </c>
      <c r="G7" s="609">
        <v>6630.5</v>
      </c>
      <c r="H7" s="609">
        <v>1723.6</v>
      </c>
      <c r="I7" s="609">
        <v>1704.6</v>
      </c>
      <c r="J7" s="610">
        <f>G7+H7+I7-F7-E7</f>
        <v>6970.4000000000015</v>
      </c>
      <c r="K7" s="610">
        <f>G7*(1+K8)</f>
        <v>7293.55</v>
      </c>
      <c r="M7" s="607"/>
      <c r="N7" s="607"/>
      <c r="O7" s="607"/>
      <c r="P7" s="607"/>
      <c r="Q7" s="607"/>
      <c r="R7" s="607"/>
      <c r="S7" s="607"/>
      <c r="T7" s="607"/>
      <c r="U7" s="607"/>
      <c r="V7" s="607"/>
      <c r="W7" s="607"/>
      <c r="X7" s="607"/>
      <c r="Y7" s="607"/>
      <c r="Z7" s="607"/>
      <c r="AA7" s="607"/>
      <c r="AB7" s="607"/>
      <c r="AC7" s="607"/>
      <c r="AD7" s="607"/>
      <c r="AE7" s="607"/>
      <c r="AF7" s="607"/>
      <c r="AG7" s="607"/>
      <c r="AH7" s="607"/>
      <c r="AI7" s="607"/>
      <c r="AJ7" s="607"/>
      <c r="AK7" s="607"/>
      <c r="AL7" s="607"/>
      <c r="AM7" s="607"/>
      <c r="AN7" s="607"/>
    </row>
    <row r="8" spans="1:40" s="294" customFormat="1" ht="12.75" customHeight="1">
      <c r="A8" s="611"/>
      <c r="B8" s="612" t="s">
        <v>40</v>
      </c>
      <c r="C8" s="613"/>
      <c r="D8" s="614"/>
      <c r="E8" s="615"/>
      <c r="F8" s="615"/>
      <c r="G8" s="615"/>
      <c r="H8" s="615"/>
      <c r="I8" s="615"/>
      <c r="J8" s="615"/>
      <c r="K8" s="616">
        <v>0.1</v>
      </c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7"/>
      <c r="Y8" s="617"/>
      <c r="Z8" s="617"/>
      <c r="AA8" s="617"/>
      <c r="AB8" s="617"/>
      <c r="AC8" s="617"/>
      <c r="AD8" s="617"/>
      <c r="AE8" s="617"/>
      <c r="AF8" s="617"/>
      <c r="AG8" s="617"/>
      <c r="AH8" s="617"/>
      <c r="AI8" s="617"/>
      <c r="AJ8" s="617"/>
      <c r="AK8" s="617"/>
      <c r="AL8" s="617"/>
      <c r="AM8" s="617"/>
      <c r="AN8" s="617"/>
    </row>
    <row r="9" spans="1:40" ht="12.75" customHeight="1">
      <c r="A9" s="297" t="s">
        <v>321</v>
      </c>
      <c r="B9" s="587"/>
      <c r="C9" s="605"/>
      <c r="D9" s="608"/>
      <c r="E9" s="618">
        <f>1005.1-E18</f>
        <v>965.9</v>
      </c>
      <c r="F9" s="618">
        <f>1000-F18</f>
        <v>960.4</v>
      </c>
      <c r="G9" s="618">
        <f>4252.2-G18</f>
        <v>4088.2999999999997</v>
      </c>
      <c r="H9" s="618">
        <f>1120.9-H18</f>
        <v>1079.1000000000001</v>
      </c>
      <c r="I9" s="618">
        <f>1105-I18</f>
        <v>1062</v>
      </c>
      <c r="J9" s="610">
        <f>G9+H9+I9-F9-E9</f>
        <v>4303.1000000000004</v>
      </c>
      <c r="K9" s="608">
        <f>K10*K$7</f>
        <v>4502.5931087168592</v>
      </c>
      <c r="M9" s="607"/>
      <c r="N9" s="607"/>
      <c r="O9" s="607"/>
      <c r="P9" s="607"/>
      <c r="Q9" s="607"/>
      <c r="R9" s="607"/>
      <c r="S9" s="607"/>
      <c r="T9" s="607"/>
      <c r="U9" s="607"/>
      <c r="V9" s="607"/>
      <c r="W9" s="607"/>
      <c r="X9" s="607"/>
      <c r="Y9" s="607"/>
      <c r="Z9" s="607"/>
      <c r="AA9" s="607"/>
      <c r="AB9" s="607"/>
      <c r="AC9" s="607"/>
      <c r="AD9" s="607"/>
      <c r="AE9" s="607"/>
      <c r="AF9" s="607"/>
      <c r="AG9" s="607"/>
      <c r="AH9" s="607"/>
      <c r="AI9" s="607"/>
      <c r="AJ9" s="607"/>
      <c r="AK9" s="607"/>
      <c r="AL9" s="607"/>
      <c r="AM9" s="607"/>
      <c r="AN9" s="607"/>
    </row>
    <row r="10" spans="1:40" s="294" customFormat="1" ht="12.75" customHeight="1">
      <c r="A10" s="611"/>
      <c r="B10" s="612" t="s">
        <v>322</v>
      </c>
      <c r="C10" s="613"/>
      <c r="D10" s="614"/>
      <c r="E10" s="619">
        <f t="shared" ref="E10:J10" si="0">E9/E$7</f>
        <v>0.62481402419302667</v>
      </c>
      <c r="F10" s="619">
        <f t="shared" si="0"/>
        <v>0.62266597510373434</v>
      </c>
      <c r="G10" s="619">
        <f t="shared" si="0"/>
        <v>0.61659000075409087</v>
      </c>
      <c r="H10" s="619">
        <f t="shared" si="0"/>
        <v>0.62607333488048278</v>
      </c>
      <c r="I10" s="619">
        <f t="shared" si="0"/>
        <v>0.62302006335797255</v>
      </c>
      <c r="J10" s="619">
        <f t="shared" si="0"/>
        <v>0.6173390336279122</v>
      </c>
      <c r="K10" s="616">
        <f>J10</f>
        <v>0.6173390336279122</v>
      </c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7"/>
      <c r="Y10" s="617"/>
      <c r="Z10" s="617"/>
      <c r="AA10" s="617"/>
      <c r="AB10" s="617"/>
      <c r="AC10" s="617"/>
      <c r="AD10" s="617"/>
      <c r="AE10" s="617"/>
      <c r="AF10" s="617"/>
      <c r="AG10" s="617"/>
      <c r="AH10" s="617"/>
      <c r="AI10" s="617"/>
      <c r="AJ10" s="617"/>
      <c r="AK10" s="617"/>
      <c r="AL10" s="617"/>
      <c r="AM10" s="617"/>
      <c r="AN10" s="617"/>
    </row>
    <row r="11" spans="1:40" s="620" customFormat="1" ht="12.75" customHeight="1">
      <c r="A11" s="620" t="s">
        <v>62</v>
      </c>
      <c r="B11" s="621"/>
      <c r="C11" s="622"/>
      <c r="D11" s="608"/>
      <c r="E11" s="623">
        <f>E7-E9</f>
        <v>580.00000000000011</v>
      </c>
      <c r="F11" s="623">
        <f t="shared" ref="F11:K11" si="1">F7-F9</f>
        <v>582.00000000000011</v>
      </c>
      <c r="G11" s="623">
        <f t="shared" si="1"/>
        <v>2542.2000000000003</v>
      </c>
      <c r="H11" s="623">
        <f t="shared" si="1"/>
        <v>644.49999999999977</v>
      </c>
      <c r="I11" s="623">
        <f t="shared" si="1"/>
        <v>642.59999999999991</v>
      </c>
      <c r="J11" s="623">
        <f t="shared" si="1"/>
        <v>2667.3000000000011</v>
      </c>
      <c r="K11" s="623">
        <f t="shared" si="1"/>
        <v>2790.956891283141</v>
      </c>
      <c r="M11" s="624"/>
      <c r="N11" s="624"/>
      <c r="O11" s="624"/>
      <c r="P11" s="624"/>
      <c r="Q11" s="624"/>
      <c r="R11" s="624"/>
      <c r="S11" s="624"/>
      <c r="T11" s="624"/>
      <c r="U11" s="624"/>
      <c r="V11" s="624"/>
      <c r="W11" s="624"/>
      <c r="X11" s="624"/>
      <c r="Y11" s="624"/>
      <c r="Z11" s="624"/>
      <c r="AA11" s="624"/>
      <c r="AB11" s="624"/>
      <c r="AC11" s="624"/>
      <c r="AD11" s="624"/>
      <c r="AE11" s="624"/>
      <c r="AF11" s="624"/>
      <c r="AG11" s="624"/>
      <c r="AH11" s="624"/>
      <c r="AI11" s="624"/>
      <c r="AJ11" s="624"/>
      <c r="AK11" s="624"/>
      <c r="AL11" s="624"/>
      <c r="AM11" s="624"/>
      <c r="AN11" s="624"/>
    </row>
    <row r="12" spans="1:40" s="294" customFormat="1" ht="12.75" customHeight="1">
      <c r="A12" s="611"/>
      <c r="B12" s="612" t="s">
        <v>323</v>
      </c>
      <c r="C12" s="613"/>
      <c r="D12" s="614"/>
      <c r="E12" s="619">
        <f t="shared" ref="E12:J12" si="2">E11/E$7</f>
        <v>0.37518597580697333</v>
      </c>
      <c r="F12" s="619">
        <f t="shared" si="2"/>
        <v>0.37733402489626561</v>
      </c>
      <c r="G12" s="619">
        <f t="shared" si="2"/>
        <v>0.38340999924590907</v>
      </c>
      <c r="H12" s="619">
        <f t="shared" si="2"/>
        <v>0.37392666511951717</v>
      </c>
      <c r="I12" s="619">
        <f t="shared" si="2"/>
        <v>0.37697993664202745</v>
      </c>
      <c r="J12" s="619">
        <f t="shared" si="2"/>
        <v>0.38266096637208774</v>
      </c>
      <c r="K12" s="616">
        <f>J12</f>
        <v>0.38266096637208774</v>
      </c>
      <c r="M12" s="617"/>
      <c r="N12" s="617"/>
      <c r="O12" s="617"/>
      <c r="P12" s="617"/>
      <c r="Q12" s="617"/>
      <c r="R12" s="617"/>
      <c r="S12" s="617"/>
      <c r="T12" s="617"/>
      <c r="U12" s="617"/>
      <c r="V12" s="617"/>
      <c r="W12" s="617"/>
      <c r="X12" s="617"/>
      <c r="Y12" s="617"/>
      <c r="Z12" s="617"/>
      <c r="AA12" s="617"/>
      <c r="AB12" s="617"/>
      <c r="AC12" s="617"/>
      <c r="AD12" s="617"/>
      <c r="AE12" s="617"/>
      <c r="AF12" s="617"/>
      <c r="AG12" s="617"/>
      <c r="AH12" s="617"/>
      <c r="AI12" s="617"/>
      <c r="AJ12" s="617"/>
      <c r="AK12" s="617"/>
      <c r="AL12" s="617"/>
      <c r="AM12" s="617"/>
      <c r="AN12" s="617"/>
    </row>
    <row r="13" spans="1:40" ht="12.75" customHeight="1">
      <c r="A13" s="585" t="s">
        <v>324</v>
      </c>
      <c r="C13" s="625"/>
      <c r="D13" s="608"/>
      <c r="E13" s="618">
        <v>379.1</v>
      </c>
      <c r="F13" s="618">
        <v>388.9</v>
      </c>
      <c r="G13" s="618">
        <v>1596.2</v>
      </c>
      <c r="H13" s="618">
        <v>414.7</v>
      </c>
      <c r="I13" s="618">
        <v>415.2</v>
      </c>
      <c r="J13" s="608">
        <f>G13+H13+I13-F13-E13</f>
        <v>1658.1</v>
      </c>
      <c r="K13" s="608">
        <f>K14*K$7</f>
        <v>1734.9700526512104</v>
      </c>
      <c r="M13" s="607"/>
      <c r="N13" s="607"/>
      <c r="O13" s="607"/>
      <c r="P13" s="607"/>
      <c r="Q13" s="607"/>
      <c r="R13" s="607"/>
      <c r="S13" s="607"/>
      <c r="T13" s="607"/>
      <c r="U13" s="607"/>
      <c r="V13" s="607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7"/>
      <c r="AL13" s="607"/>
      <c r="AM13" s="607"/>
      <c r="AN13" s="607"/>
    </row>
    <row r="14" spans="1:40" s="294" customFormat="1" ht="12.75" customHeight="1">
      <c r="A14" s="611"/>
      <c r="B14" s="612" t="s">
        <v>325</v>
      </c>
      <c r="C14" s="613"/>
      <c r="D14" s="614"/>
      <c r="E14" s="619">
        <f t="shared" ref="E14:J14" si="3">E13/E$7</f>
        <v>0.24522931625590272</v>
      </c>
      <c r="F14" s="619">
        <f t="shared" si="3"/>
        <v>0.25213952282157676</v>
      </c>
      <c r="G14" s="619">
        <f t="shared" si="3"/>
        <v>0.24073599276072696</v>
      </c>
      <c r="H14" s="619">
        <f t="shared" si="3"/>
        <v>0.24060106753307031</v>
      </c>
      <c r="I14" s="619">
        <f t="shared" si="3"/>
        <v>0.24357620556142204</v>
      </c>
      <c r="J14" s="619">
        <f t="shared" si="3"/>
        <v>0.23787730976701474</v>
      </c>
      <c r="K14" s="616">
        <f>J14</f>
        <v>0.23787730976701474</v>
      </c>
      <c r="M14" s="617"/>
      <c r="N14" s="617"/>
      <c r="O14" s="617"/>
      <c r="P14" s="617"/>
      <c r="Q14" s="617"/>
      <c r="R14" s="617"/>
      <c r="S14" s="617"/>
      <c r="T14" s="617"/>
      <c r="U14" s="617"/>
      <c r="V14" s="617"/>
      <c r="W14" s="617"/>
      <c r="X14" s="617"/>
      <c r="Y14" s="617"/>
      <c r="Z14" s="617"/>
      <c r="AA14" s="617"/>
      <c r="AB14" s="617"/>
      <c r="AC14" s="617"/>
      <c r="AD14" s="617"/>
      <c r="AE14" s="617"/>
      <c r="AF14" s="617"/>
      <c r="AG14" s="617"/>
      <c r="AH14" s="617"/>
      <c r="AI14" s="617"/>
      <c r="AJ14" s="617"/>
      <c r="AK14" s="617"/>
      <c r="AL14" s="617"/>
      <c r="AM14" s="617"/>
      <c r="AN14" s="617"/>
    </row>
    <row r="15" spans="1:40" s="620" customFormat="1" ht="12.75" customHeight="1" collapsed="1">
      <c r="A15" s="621" t="s">
        <v>2</v>
      </c>
      <c r="B15" s="621"/>
      <c r="C15" s="622"/>
      <c r="D15" s="626"/>
      <c r="E15" s="623">
        <f>E11-E13</f>
        <v>200.90000000000009</v>
      </c>
      <c r="F15" s="623">
        <f t="shared" ref="F15:K15" si="4">F11-F13</f>
        <v>193.10000000000014</v>
      </c>
      <c r="G15" s="623">
        <f t="shared" si="4"/>
        <v>946.00000000000023</v>
      </c>
      <c r="H15" s="623">
        <f t="shared" si="4"/>
        <v>229.79999999999978</v>
      </c>
      <c r="I15" s="623">
        <f t="shared" si="4"/>
        <v>227.39999999999992</v>
      </c>
      <c r="J15" s="623">
        <f t="shared" si="4"/>
        <v>1009.2000000000012</v>
      </c>
      <c r="K15" s="623">
        <f t="shared" si="4"/>
        <v>1055.9868386319306</v>
      </c>
      <c r="M15" s="624"/>
      <c r="N15" s="624"/>
      <c r="O15" s="624"/>
      <c r="P15" s="624"/>
      <c r="Q15" s="624"/>
      <c r="R15" s="624"/>
      <c r="S15" s="624"/>
      <c r="T15" s="624"/>
      <c r="U15" s="624"/>
      <c r="V15" s="624"/>
      <c r="W15" s="624"/>
      <c r="X15" s="624"/>
      <c r="Y15" s="624"/>
      <c r="Z15" s="624"/>
      <c r="AA15" s="624"/>
      <c r="AB15" s="624"/>
      <c r="AC15" s="624"/>
      <c r="AD15" s="624"/>
      <c r="AE15" s="624"/>
      <c r="AF15" s="624"/>
      <c r="AG15" s="624"/>
      <c r="AH15" s="624"/>
      <c r="AI15" s="624"/>
      <c r="AJ15" s="624"/>
      <c r="AK15" s="624"/>
      <c r="AL15" s="624"/>
      <c r="AM15" s="624"/>
      <c r="AN15" s="624"/>
    </row>
    <row r="16" spans="1:40" s="294" customFormat="1" ht="12.75" customHeight="1">
      <c r="A16" s="611"/>
      <c r="B16" s="612" t="s">
        <v>45</v>
      </c>
      <c r="C16" s="613"/>
      <c r="D16" s="614"/>
      <c r="E16" s="619">
        <f t="shared" ref="E16:K16" si="5">E15/E$7</f>
        <v>0.12995665955107064</v>
      </c>
      <c r="F16" s="619">
        <f t="shared" si="5"/>
        <v>0.12519450207468888</v>
      </c>
      <c r="G16" s="619">
        <f t="shared" si="5"/>
        <v>0.14267400648518214</v>
      </c>
      <c r="H16" s="619">
        <f t="shared" si="5"/>
        <v>0.13332559758644685</v>
      </c>
      <c r="I16" s="619">
        <f t="shared" si="5"/>
        <v>0.13340373108060538</v>
      </c>
      <c r="J16" s="619">
        <f t="shared" si="5"/>
        <v>0.14478365660507303</v>
      </c>
      <c r="K16" s="619">
        <f t="shared" si="5"/>
        <v>0.14478365660507306</v>
      </c>
      <c r="M16" s="617"/>
      <c r="N16" s="617"/>
      <c r="O16" s="617"/>
      <c r="P16" s="617"/>
      <c r="Q16" s="617"/>
      <c r="R16" s="617"/>
      <c r="S16" s="617"/>
      <c r="T16" s="617"/>
      <c r="U16" s="617"/>
      <c r="V16" s="617"/>
      <c r="W16" s="617"/>
      <c r="X16" s="617"/>
      <c r="Y16" s="617"/>
      <c r="Z16" s="617"/>
      <c r="AA16" s="617"/>
      <c r="AB16" s="617"/>
      <c r="AC16" s="617"/>
      <c r="AD16" s="617"/>
      <c r="AE16" s="617"/>
      <c r="AF16" s="617"/>
      <c r="AG16" s="617"/>
      <c r="AH16" s="617"/>
      <c r="AI16" s="617"/>
      <c r="AJ16" s="617"/>
      <c r="AK16" s="617"/>
      <c r="AL16" s="617"/>
      <c r="AM16" s="617"/>
      <c r="AN16" s="617"/>
    </row>
    <row r="17" spans="1:40" s="294" customFormat="1" ht="12.75" customHeight="1">
      <c r="A17" s="611"/>
      <c r="B17" s="612"/>
      <c r="C17" s="613"/>
      <c r="D17" s="614"/>
      <c r="E17" s="619"/>
      <c r="F17" s="619"/>
      <c r="G17" s="619"/>
      <c r="H17" s="619"/>
      <c r="I17" s="619"/>
      <c r="J17" s="619"/>
      <c r="K17" s="616"/>
      <c r="M17" s="617"/>
      <c r="N17" s="617"/>
      <c r="O17" s="617"/>
      <c r="P17" s="617"/>
      <c r="Q17" s="617"/>
      <c r="R17" s="617"/>
      <c r="S17" s="617"/>
      <c r="T17" s="617"/>
      <c r="U17" s="617"/>
      <c r="V17" s="617"/>
      <c r="W17" s="617"/>
      <c r="X17" s="617"/>
      <c r="Y17" s="617"/>
      <c r="Z17" s="617"/>
      <c r="AA17" s="617"/>
      <c r="AB17" s="617"/>
      <c r="AC17" s="617"/>
      <c r="AD17" s="617"/>
      <c r="AE17" s="617"/>
      <c r="AF17" s="617"/>
      <c r="AG17" s="617"/>
      <c r="AH17" s="617"/>
      <c r="AI17" s="617"/>
      <c r="AJ17" s="617"/>
      <c r="AK17" s="617"/>
      <c r="AL17" s="617"/>
      <c r="AM17" s="617"/>
      <c r="AN17" s="617"/>
    </row>
    <row r="18" spans="1:40" ht="12.75" customHeight="1">
      <c r="A18" s="585" t="s">
        <v>3</v>
      </c>
      <c r="B18" s="297"/>
      <c r="C18" s="605"/>
      <c r="D18" s="608"/>
      <c r="E18" s="618">
        <v>39.200000000000003</v>
      </c>
      <c r="F18" s="618">
        <f>78.8-E18</f>
        <v>39.599999999999994</v>
      </c>
      <c r="G18" s="618">
        <v>163.9</v>
      </c>
      <c r="H18" s="618">
        <v>41.8</v>
      </c>
      <c r="I18" s="618">
        <f>84.8-H18</f>
        <v>43</v>
      </c>
      <c r="J18" s="608">
        <f>G18+H18+I18-F18-E18</f>
        <v>169.89999999999998</v>
      </c>
      <c r="K18" s="608">
        <f>K19*K$7</f>
        <v>177.77661898886717</v>
      </c>
      <c r="M18" s="607"/>
      <c r="N18" s="607"/>
      <c r="O18" s="607"/>
      <c r="P18" s="607"/>
      <c r="Q18" s="607"/>
      <c r="R18" s="607"/>
      <c r="S18" s="607"/>
      <c r="T18" s="607"/>
      <c r="U18" s="607"/>
      <c r="V18" s="607"/>
      <c r="W18" s="607"/>
      <c r="X18" s="607"/>
      <c r="Y18" s="607"/>
      <c r="Z18" s="607"/>
      <c r="AA18" s="607"/>
      <c r="AB18" s="607"/>
      <c r="AC18" s="607"/>
      <c r="AD18" s="607"/>
      <c r="AE18" s="607"/>
      <c r="AF18" s="607"/>
      <c r="AG18" s="607"/>
      <c r="AH18" s="607"/>
      <c r="AI18" s="607"/>
      <c r="AJ18" s="607"/>
      <c r="AK18" s="607"/>
      <c r="AL18" s="607"/>
      <c r="AM18" s="607"/>
      <c r="AN18" s="607"/>
    </row>
    <row r="19" spans="1:40" s="294" customFormat="1" ht="12.75" customHeight="1">
      <c r="A19" s="611"/>
      <c r="B19" s="612" t="s">
        <v>326</v>
      </c>
      <c r="C19" s="613"/>
      <c r="D19" s="614"/>
      <c r="E19" s="619">
        <f t="shared" ref="E19:J19" si="6">E18/E$7</f>
        <v>2.5357396985574748E-2</v>
      </c>
      <c r="F19" s="619">
        <f t="shared" si="6"/>
        <v>2.5674273858921157E-2</v>
      </c>
      <c r="G19" s="619">
        <f t="shared" si="6"/>
        <v>2.4719101123595506E-2</v>
      </c>
      <c r="H19" s="619">
        <f t="shared" si="6"/>
        <v>2.4251566488744488E-2</v>
      </c>
      <c r="I19" s="619">
        <f t="shared" si="6"/>
        <v>2.5225859439164614E-2</v>
      </c>
      <c r="J19" s="619">
        <f t="shared" si="6"/>
        <v>2.4374497876735905E-2</v>
      </c>
      <c r="K19" s="616">
        <f>J19</f>
        <v>2.4374497876735905E-2</v>
      </c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617"/>
      <c r="AB19" s="617"/>
      <c r="AC19" s="617"/>
      <c r="AD19" s="617"/>
      <c r="AE19" s="617"/>
      <c r="AF19" s="617"/>
      <c r="AG19" s="617"/>
      <c r="AH19" s="617"/>
      <c r="AI19" s="617"/>
      <c r="AJ19" s="617"/>
      <c r="AK19" s="617"/>
      <c r="AL19" s="617"/>
      <c r="AM19" s="617"/>
      <c r="AN19" s="617"/>
    </row>
    <row r="20" spans="1:40" s="294" customFormat="1" ht="12.75" customHeight="1">
      <c r="A20" s="611"/>
      <c r="B20" s="612"/>
      <c r="C20" s="613"/>
      <c r="D20" s="614"/>
      <c r="E20" s="619"/>
      <c r="F20" s="619"/>
      <c r="G20" s="619"/>
      <c r="H20" s="619"/>
      <c r="I20" s="619"/>
      <c r="J20" s="619"/>
      <c r="K20" s="616"/>
      <c r="M20" s="617"/>
      <c r="N20" s="617"/>
      <c r="O20" s="617"/>
      <c r="P20" s="617"/>
      <c r="Q20" s="617"/>
      <c r="R20" s="617"/>
      <c r="S20" s="617"/>
      <c r="T20" s="617"/>
      <c r="U20" s="617"/>
      <c r="V20" s="617"/>
      <c r="W20" s="617"/>
      <c r="X20" s="617"/>
      <c r="Y20" s="617"/>
      <c r="Z20" s="617"/>
      <c r="AA20" s="617"/>
      <c r="AB20" s="617"/>
      <c r="AC20" s="617"/>
      <c r="AD20" s="617"/>
      <c r="AE20" s="617"/>
      <c r="AF20" s="617"/>
      <c r="AG20" s="617"/>
      <c r="AH20" s="617"/>
      <c r="AI20" s="617"/>
      <c r="AJ20" s="617"/>
      <c r="AK20" s="617"/>
      <c r="AL20" s="617"/>
      <c r="AM20" s="617"/>
      <c r="AN20" s="617"/>
    </row>
    <row r="21" spans="1:40" s="620" customFormat="1" ht="12.75" customHeight="1">
      <c r="A21" s="620" t="s">
        <v>1</v>
      </c>
      <c r="B21" s="296"/>
      <c r="C21" s="627"/>
      <c r="D21" s="626"/>
      <c r="E21" s="628">
        <f>E15-E18</f>
        <v>161.7000000000001</v>
      </c>
      <c r="F21" s="628">
        <f t="shared" ref="F21:K21" si="7">F15-F18</f>
        <v>153.50000000000014</v>
      </c>
      <c r="G21" s="628">
        <f t="shared" si="7"/>
        <v>782.10000000000025</v>
      </c>
      <c r="H21" s="628">
        <f t="shared" si="7"/>
        <v>187.99999999999977</v>
      </c>
      <c r="I21" s="628">
        <f t="shared" si="7"/>
        <v>184.39999999999992</v>
      </c>
      <c r="J21" s="628">
        <f t="shared" si="7"/>
        <v>839.30000000000121</v>
      </c>
      <c r="K21" s="628">
        <f t="shared" si="7"/>
        <v>878.2102196430634</v>
      </c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24"/>
      <c r="AB21" s="624"/>
      <c r="AC21" s="624"/>
      <c r="AD21" s="624"/>
      <c r="AE21" s="624"/>
      <c r="AF21" s="624"/>
      <c r="AG21" s="624"/>
      <c r="AH21" s="624"/>
      <c r="AI21" s="624"/>
      <c r="AJ21" s="624"/>
      <c r="AK21" s="624"/>
      <c r="AL21" s="624"/>
      <c r="AM21" s="624"/>
      <c r="AN21" s="624"/>
    </row>
    <row r="22" spans="1:40" s="294" customFormat="1" ht="12.75" customHeight="1">
      <c r="A22" s="611"/>
      <c r="B22" s="612" t="s">
        <v>47</v>
      </c>
      <c r="C22" s="613"/>
      <c r="D22" s="614"/>
      <c r="E22" s="619">
        <f t="shared" ref="E22:K22" si="8">E21/E$7</f>
        <v>0.10459926256549588</v>
      </c>
      <c r="F22" s="619">
        <f t="shared" si="8"/>
        <v>9.9520228215767725E-2</v>
      </c>
      <c r="G22" s="619">
        <f t="shared" si="8"/>
        <v>0.11795490536158665</v>
      </c>
      <c r="H22" s="619">
        <f t="shared" si="8"/>
        <v>0.10907403109770236</v>
      </c>
      <c r="I22" s="619">
        <f t="shared" si="8"/>
        <v>0.10817787164144077</v>
      </c>
      <c r="J22" s="619">
        <f t="shared" si="8"/>
        <v>0.12040915872833712</v>
      </c>
      <c r="K22" s="619">
        <f t="shared" si="8"/>
        <v>0.12040915872833714</v>
      </c>
      <c r="M22" s="617"/>
      <c r="N22" s="617"/>
      <c r="O22" s="617"/>
      <c r="P22" s="617"/>
      <c r="Q22" s="617"/>
      <c r="R22" s="617"/>
      <c r="S22" s="617"/>
      <c r="T22" s="617"/>
      <c r="U22" s="617"/>
      <c r="V22" s="617"/>
      <c r="W22" s="617"/>
      <c r="X22" s="617"/>
      <c r="Y22" s="617"/>
      <c r="Z22" s="617"/>
      <c r="AA22" s="617"/>
      <c r="AB22" s="617"/>
      <c r="AC22" s="617"/>
      <c r="AD22" s="617"/>
      <c r="AE22" s="617"/>
      <c r="AF22" s="617"/>
      <c r="AG22" s="617"/>
      <c r="AH22" s="617"/>
      <c r="AI22" s="617"/>
      <c r="AJ22" s="617"/>
      <c r="AK22" s="617"/>
      <c r="AL22" s="617"/>
      <c r="AM22" s="617"/>
      <c r="AN22" s="617"/>
    </row>
    <row r="23" spans="1:40" s="294" customFormat="1" ht="12.75" customHeight="1">
      <c r="A23" s="611"/>
      <c r="B23" s="612"/>
      <c r="C23" s="613"/>
      <c r="D23" s="614"/>
      <c r="E23" s="619"/>
      <c r="F23" s="619"/>
      <c r="G23" s="619"/>
      <c r="H23" s="619"/>
      <c r="I23" s="619"/>
      <c r="J23" s="619"/>
      <c r="K23" s="616"/>
      <c r="M23" s="617"/>
      <c r="N23" s="617"/>
      <c r="O23" s="617"/>
      <c r="P23" s="617"/>
      <c r="Q23" s="617"/>
      <c r="R23" s="617"/>
      <c r="S23" s="617"/>
      <c r="T23" s="617"/>
      <c r="U23" s="617"/>
      <c r="V23" s="617"/>
      <c r="W23" s="617"/>
      <c r="X23" s="617"/>
      <c r="Y23" s="617"/>
      <c r="Z23" s="617"/>
      <c r="AA23" s="617"/>
      <c r="AB23" s="617"/>
      <c r="AC23" s="617"/>
      <c r="AD23" s="617"/>
      <c r="AE23" s="617"/>
      <c r="AF23" s="617"/>
      <c r="AG23" s="617"/>
      <c r="AH23" s="617"/>
      <c r="AI23" s="617"/>
      <c r="AJ23" s="617"/>
      <c r="AK23" s="617"/>
      <c r="AL23" s="617"/>
      <c r="AM23" s="617"/>
      <c r="AN23" s="617"/>
    </row>
    <row r="24" spans="1:40" ht="12.75" customHeight="1">
      <c r="A24" s="585" t="s">
        <v>327</v>
      </c>
      <c r="B24" s="297"/>
      <c r="C24" s="605"/>
      <c r="D24" s="608"/>
      <c r="E24" s="618">
        <v>0.9</v>
      </c>
      <c r="F24" s="618">
        <v>0.7</v>
      </c>
      <c r="G24" s="618">
        <v>2.9</v>
      </c>
      <c r="H24" s="618">
        <v>0.5</v>
      </c>
      <c r="I24" s="618">
        <v>1.1000000000000001</v>
      </c>
      <c r="J24" s="608">
        <f>G24+H24+I24-F24-E24</f>
        <v>2.9</v>
      </c>
      <c r="K24" s="618">
        <f>J24</f>
        <v>2.9</v>
      </c>
      <c r="M24" s="607"/>
      <c r="N24" s="607"/>
      <c r="O24" s="607"/>
      <c r="P24" s="607"/>
      <c r="Q24" s="607"/>
      <c r="R24" s="607"/>
      <c r="S24" s="607"/>
      <c r="T24" s="607"/>
      <c r="U24" s="607"/>
      <c r="V24" s="607"/>
      <c r="W24" s="607"/>
      <c r="X24" s="607"/>
      <c r="Y24" s="607"/>
      <c r="Z24" s="607"/>
      <c r="AA24" s="607"/>
      <c r="AB24" s="607"/>
      <c r="AC24" s="607"/>
      <c r="AD24" s="607"/>
      <c r="AE24" s="607"/>
      <c r="AF24" s="607"/>
      <c r="AG24" s="607"/>
      <c r="AH24" s="607"/>
      <c r="AI24" s="607"/>
      <c r="AJ24" s="607"/>
      <c r="AK24" s="607"/>
      <c r="AL24" s="607"/>
      <c r="AM24" s="607"/>
      <c r="AN24" s="607"/>
    </row>
    <row r="25" spans="1:40" ht="12.75" customHeight="1">
      <c r="A25" s="297" t="s">
        <v>328</v>
      </c>
      <c r="B25" s="297"/>
      <c r="C25" s="605"/>
      <c r="D25" s="608"/>
      <c r="E25" s="618">
        <v>-0.7</v>
      </c>
      <c r="F25" s="618">
        <v>0.5</v>
      </c>
      <c r="G25" s="618">
        <v>-0.3</v>
      </c>
      <c r="H25" s="618">
        <v>-1.1000000000000001</v>
      </c>
      <c r="I25" s="618">
        <v>0</v>
      </c>
      <c r="J25" s="608">
        <f>G25+H25+I25-F25-E25</f>
        <v>-1.2000000000000002</v>
      </c>
      <c r="K25" s="618">
        <f>J25</f>
        <v>-1.2000000000000002</v>
      </c>
      <c r="M25" s="607"/>
      <c r="N25" s="607"/>
      <c r="O25" s="607"/>
      <c r="P25" s="607"/>
      <c r="Q25" s="607"/>
      <c r="R25" s="607"/>
      <c r="S25" s="607"/>
      <c r="T25" s="607"/>
      <c r="U25" s="607"/>
      <c r="V25" s="607"/>
      <c r="W25" s="607"/>
      <c r="X25" s="607"/>
      <c r="Y25" s="607"/>
      <c r="Z25" s="607"/>
      <c r="AA25" s="607"/>
      <c r="AB25" s="607"/>
      <c r="AC25" s="607"/>
      <c r="AD25" s="607"/>
      <c r="AE25" s="607"/>
      <c r="AF25" s="607"/>
      <c r="AG25" s="607"/>
      <c r="AH25" s="607"/>
      <c r="AI25" s="607"/>
      <c r="AJ25" s="607"/>
      <c r="AK25" s="607"/>
      <c r="AL25" s="607"/>
      <c r="AM25" s="607"/>
      <c r="AN25" s="607"/>
    </row>
    <row r="26" spans="1:40" s="620" customFormat="1" ht="12.75" customHeight="1">
      <c r="A26" s="620" t="s">
        <v>329</v>
      </c>
      <c r="B26" s="621"/>
      <c r="C26" s="622"/>
      <c r="D26" s="626"/>
      <c r="E26" s="623">
        <f>E21-E24-E25</f>
        <v>161.50000000000009</v>
      </c>
      <c r="F26" s="623">
        <f t="shared" ref="F26:K26" si="9">F21-F24-F25</f>
        <v>152.30000000000015</v>
      </c>
      <c r="G26" s="623">
        <f t="shared" si="9"/>
        <v>779.50000000000023</v>
      </c>
      <c r="H26" s="623">
        <f t="shared" si="9"/>
        <v>188.59999999999977</v>
      </c>
      <c r="I26" s="623">
        <f t="shared" si="9"/>
        <v>183.29999999999993</v>
      </c>
      <c r="J26" s="623">
        <f t="shared" si="9"/>
        <v>837.60000000000127</v>
      </c>
      <c r="K26" s="623">
        <f t="shared" si="9"/>
        <v>876.51021964306346</v>
      </c>
      <c r="M26" s="624"/>
      <c r="N26" s="624"/>
      <c r="O26" s="624"/>
      <c r="P26" s="624"/>
      <c r="Q26" s="624"/>
      <c r="R26" s="624"/>
      <c r="S26" s="624"/>
      <c r="T26" s="624"/>
      <c r="U26" s="624"/>
      <c r="V26" s="624"/>
      <c r="W26" s="624"/>
      <c r="X26" s="624"/>
      <c r="Y26" s="624"/>
      <c r="Z26" s="624"/>
      <c r="AA26" s="624"/>
      <c r="AB26" s="624"/>
      <c r="AC26" s="624"/>
      <c r="AD26" s="624"/>
      <c r="AE26" s="624"/>
      <c r="AF26" s="624"/>
      <c r="AG26" s="624"/>
      <c r="AH26" s="624"/>
      <c r="AI26" s="624"/>
      <c r="AJ26" s="624"/>
      <c r="AK26" s="624"/>
      <c r="AL26" s="624"/>
      <c r="AM26" s="624"/>
      <c r="AN26" s="624"/>
    </row>
    <row r="27" spans="1:40" s="294" customFormat="1" ht="12.75" customHeight="1">
      <c r="A27" s="611"/>
      <c r="B27" s="612" t="s">
        <v>218</v>
      </c>
      <c r="C27" s="613"/>
      <c r="D27" s="614"/>
      <c r="E27" s="619">
        <f t="shared" ref="E27:K27" si="10">E26/E$7</f>
        <v>0.10446988809107968</v>
      </c>
      <c r="F27" s="619">
        <f t="shared" si="10"/>
        <v>9.8742219917012541E-2</v>
      </c>
      <c r="G27" s="619">
        <f t="shared" si="10"/>
        <v>0.11756277807103541</v>
      </c>
      <c r="H27" s="619">
        <f t="shared" si="10"/>
        <v>0.10942213970758864</v>
      </c>
      <c r="I27" s="619">
        <f t="shared" si="10"/>
        <v>0.1075325589581133</v>
      </c>
      <c r="J27" s="619">
        <f t="shared" si="10"/>
        <v>0.12016527028578003</v>
      </c>
      <c r="K27" s="619">
        <f t="shared" si="10"/>
        <v>0.12017607607311438</v>
      </c>
      <c r="M27" s="617"/>
      <c r="N27" s="617"/>
      <c r="O27" s="617"/>
      <c r="P27" s="617"/>
      <c r="Q27" s="617"/>
      <c r="R27" s="617"/>
      <c r="S27" s="617"/>
      <c r="T27" s="617"/>
      <c r="U27" s="617"/>
      <c r="V27" s="617"/>
      <c r="W27" s="617"/>
      <c r="X27" s="617"/>
      <c r="Y27" s="617"/>
      <c r="Z27" s="617"/>
      <c r="AA27" s="617"/>
      <c r="AB27" s="617"/>
      <c r="AC27" s="617"/>
      <c r="AD27" s="617"/>
      <c r="AE27" s="617"/>
      <c r="AF27" s="617"/>
      <c r="AG27" s="617"/>
      <c r="AH27" s="617"/>
      <c r="AI27" s="617"/>
      <c r="AJ27" s="617"/>
      <c r="AK27" s="617"/>
      <c r="AL27" s="617"/>
      <c r="AM27" s="617"/>
      <c r="AN27" s="617"/>
    </row>
    <row r="28" spans="1:40" s="294" customFormat="1" ht="12.75" customHeight="1">
      <c r="A28" s="611"/>
      <c r="B28" s="612"/>
      <c r="C28" s="613"/>
      <c r="D28" s="614"/>
      <c r="E28" s="619"/>
      <c r="F28" s="619"/>
      <c r="G28" s="619"/>
      <c r="H28" s="619"/>
      <c r="I28" s="619"/>
      <c r="J28" s="619"/>
      <c r="K28" s="616"/>
      <c r="M28" s="617"/>
      <c r="N28" s="617"/>
      <c r="O28" s="617"/>
      <c r="P28" s="617"/>
      <c r="Q28" s="617"/>
      <c r="R28" s="617"/>
      <c r="S28" s="617"/>
      <c r="T28" s="617"/>
      <c r="U28" s="617"/>
      <c r="V28" s="617"/>
      <c r="W28" s="617"/>
      <c r="X28" s="617"/>
      <c r="Y28" s="617"/>
      <c r="Z28" s="617"/>
      <c r="AA28" s="617"/>
      <c r="AB28" s="617"/>
      <c r="AC28" s="617"/>
      <c r="AD28" s="617"/>
      <c r="AE28" s="617"/>
      <c r="AF28" s="617"/>
      <c r="AG28" s="617"/>
      <c r="AH28" s="617"/>
      <c r="AI28" s="617"/>
      <c r="AJ28" s="617"/>
      <c r="AK28" s="617"/>
      <c r="AL28" s="617"/>
      <c r="AM28" s="617"/>
      <c r="AN28" s="617"/>
    </row>
    <row r="29" spans="1:40" s="294" customFormat="1" ht="12.75" customHeight="1">
      <c r="A29" s="586" t="s">
        <v>330</v>
      </c>
      <c r="B29" s="612"/>
      <c r="C29" s="613"/>
      <c r="D29" s="614"/>
      <c r="E29" s="608">
        <f t="shared" ref="E29:K29" si="11">E26*E32</f>
        <v>60.500000000000021</v>
      </c>
      <c r="F29" s="608">
        <f t="shared" si="11"/>
        <v>57.400000000000013</v>
      </c>
      <c r="G29" s="608">
        <f t="shared" si="11"/>
        <v>291.20000000000005</v>
      </c>
      <c r="H29" s="608">
        <f t="shared" si="11"/>
        <v>72.499999999999972</v>
      </c>
      <c r="I29" s="608">
        <f t="shared" si="11"/>
        <v>64.099999999999994</v>
      </c>
      <c r="J29" s="608">
        <f t="shared" si="11"/>
        <v>292.90867430441955</v>
      </c>
      <c r="K29" s="608">
        <f t="shared" si="11"/>
        <v>306.51557599083679</v>
      </c>
      <c r="M29" s="617"/>
      <c r="N29" s="617"/>
      <c r="O29" s="617"/>
      <c r="P29" s="617"/>
      <c r="Q29" s="617"/>
      <c r="R29" s="617"/>
      <c r="S29" s="617"/>
      <c r="T29" s="617"/>
      <c r="U29" s="617"/>
      <c r="V29" s="617"/>
      <c r="W29" s="617"/>
      <c r="X29" s="617"/>
      <c r="Y29" s="617"/>
      <c r="Z29" s="617"/>
      <c r="AA29" s="617"/>
      <c r="AB29" s="617"/>
      <c r="AC29" s="617"/>
      <c r="AD29" s="617"/>
      <c r="AE29" s="617"/>
      <c r="AF29" s="617"/>
      <c r="AG29" s="617"/>
      <c r="AH29" s="617"/>
      <c r="AI29" s="617"/>
      <c r="AJ29" s="617"/>
      <c r="AK29" s="617"/>
      <c r="AL29" s="617"/>
      <c r="AM29" s="617"/>
      <c r="AN29" s="617"/>
    </row>
    <row r="30" spans="1:40" s="294" customFormat="1" ht="12.75" customHeight="1" outlineLevel="1">
      <c r="B30" s="612"/>
      <c r="C30" s="297" t="s">
        <v>331</v>
      </c>
      <c r="D30" s="614"/>
      <c r="E30" s="618">
        <v>161.50000000000003</v>
      </c>
      <c r="F30" s="618">
        <v>152.30000000000013</v>
      </c>
      <c r="G30" s="618">
        <v>779.50000000000011</v>
      </c>
      <c r="H30" s="618">
        <v>188.59999999999982</v>
      </c>
      <c r="I30" s="618">
        <v>183.29999999999993</v>
      </c>
      <c r="J30" s="608"/>
      <c r="K30" s="616"/>
      <c r="M30" s="617"/>
      <c r="N30" s="617"/>
      <c r="O30" s="617"/>
      <c r="P30" s="617"/>
      <c r="Q30" s="617"/>
      <c r="R30" s="617"/>
      <c r="S30" s="617"/>
      <c r="T30" s="617"/>
      <c r="U30" s="617"/>
      <c r="V30" s="617"/>
      <c r="W30" s="617"/>
      <c r="X30" s="617"/>
      <c r="Y30" s="617"/>
      <c r="Z30" s="617"/>
      <c r="AA30" s="617"/>
      <c r="AB30" s="617"/>
      <c r="AC30" s="617"/>
      <c r="AD30" s="617"/>
      <c r="AE30" s="617"/>
      <c r="AF30" s="617"/>
      <c r="AG30" s="617"/>
      <c r="AH30" s="617"/>
      <c r="AI30" s="617"/>
      <c r="AJ30" s="617"/>
      <c r="AK30" s="617"/>
      <c r="AL30" s="617"/>
      <c r="AM30" s="617"/>
      <c r="AN30" s="617"/>
    </row>
    <row r="31" spans="1:40" ht="12.75" customHeight="1" outlineLevel="1">
      <c r="C31" s="586" t="s">
        <v>330</v>
      </c>
      <c r="D31" s="608"/>
      <c r="E31" s="618">
        <v>60.5</v>
      </c>
      <c r="F31" s="618">
        <v>57.4</v>
      </c>
      <c r="G31" s="618">
        <v>291.2</v>
      </c>
      <c r="H31" s="618">
        <v>72.5</v>
      </c>
      <c r="I31" s="618">
        <v>64.099999999999994</v>
      </c>
      <c r="J31" s="608"/>
      <c r="K31" s="608"/>
      <c r="M31" s="607"/>
      <c r="N31" s="607"/>
      <c r="O31" s="607"/>
      <c r="P31" s="607"/>
      <c r="Q31" s="607"/>
      <c r="R31" s="607"/>
      <c r="S31" s="607"/>
      <c r="T31" s="607"/>
      <c r="U31" s="607"/>
      <c r="V31" s="607"/>
      <c r="W31" s="607"/>
      <c r="X31" s="607"/>
      <c r="Y31" s="607"/>
      <c r="Z31" s="607"/>
      <c r="AA31" s="607"/>
      <c r="AB31" s="607"/>
      <c r="AC31" s="607"/>
      <c r="AD31" s="607"/>
      <c r="AE31" s="607"/>
      <c r="AF31" s="607"/>
      <c r="AG31" s="607"/>
      <c r="AH31" s="607"/>
      <c r="AI31" s="607"/>
      <c r="AJ31" s="607"/>
      <c r="AK31" s="607"/>
      <c r="AL31" s="607"/>
      <c r="AM31" s="607"/>
      <c r="AN31" s="607"/>
    </row>
    <row r="32" spans="1:40" s="294" customFormat="1" ht="12.75" customHeight="1">
      <c r="A32" s="611"/>
      <c r="B32" s="612" t="s">
        <v>332</v>
      </c>
      <c r="C32" s="613"/>
      <c r="D32" s="614"/>
      <c r="E32" s="619">
        <f>E31/E30</f>
        <v>0.37461300309597517</v>
      </c>
      <c r="F32" s="619">
        <f>F31/F30</f>
        <v>0.37688772160210082</v>
      </c>
      <c r="G32" s="619">
        <f>G31/G30</f>
        <v>0.37357280307889668</v>
      </c>
      <c r="H32" s="619">
        <f>H31/H30</f>
        <v>0.38441145281018063</v>
      </c>
      <c r="I32" s="619">
        <f>I31/I30</f>
        <v>0.3496999454446264</v>
      </c>
      <c r="J32" s="616">
        <f>I32</f>
        <v>0.3496999454446264</v>
      </c>
      <c r="K32" s="616">
        <f>J32</f>
        <v>0.3496999454446264</v>
      </c>
      <c r="M32" s="617"/>
      <c r="N32" s="617"/>
      <c r="O32" s="617"/>
      <c r="P32" s="617"/>
      <c r="Q32" s="617"/>
      <c r="R32" s="617"/>
      <c r="S32" s="617"/>
      <c r="T32" s="617"/>
      <c r="U32" s="617"/>
      <c r="V32" s="617"/>
      <c r="W32" s="617"/>
      <c r="X32" s="617"/>
      <c r="Y32" s="617"/>
      <c r="Z32" s="617"/>
      <c r="AA32" s="617"/>
      <c r="AB32" s="617"/>
      <c r="AC32" s="617"/>
      <c r="AD32" s="617"/>
      <c r="AE32" s="617"/>
      <c r="AF32" s="617"/>
      <c r="AG32" s="617"/>
      <c r="AH32" s="617"/>
      <c r="AI32" s="617"/>
      <c r="AJ32" s="617"/>
      <c r="AK32" s="617"/>
      <c r="AL32" s="617"/>
      <c r="AM32" s="617"/>
      <c r="AN32" s="617"/>
    </row>
    <row r="33" spans="1:40" s="620" customFormat="1" ht="12.75" customHeight="1">
      <c r="A33" s="620" t="s">
        <v>59</v>
      </c>
      <c r="B33" s="621"/>
      <c r="C33" s="621"/>
      <c r="D33" s="626"/>
      <c r="E33" s="623">
        <f>E26-E29</f>
        <v>101.00000000000006</v>
      </c>
      <c r="F33" s="623">
        <f t="shared" ref="F33:K33" si="12">F26-F29</f>
        <v>94.900000000000148</v>
      </c>
      <c r="G33" s="623">
        <f t="shared" si="12"/>
        <v>488.30000000000018</v>
      </c>
      <c r="H33" s="623">
        <f t="shared" si="12"/>
        <v>116.0999999999998</v>
      </c>
      <c r="I33" s="623">
        <f t="shared" si="12"/>
        <v>119.19999999999993</v>
      </c>
      <c r="J33" s="623">
        <f t="shared" si="12"/>
        <v>544.69132569558178</v>
      </c>
      <c r="K33" s="623">
        <f t="shared" si="12"/>
        <v>569.99464365222661</v>
      </c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24"/>
      <c r="AB33" s="624"/>
      <c r="AC33" s="624"/>
      <c r="AD33" s="624"/>
      <c r="AE33" s="624"/>
      <c r="AF33" s="624"/>
      <c r="AG33" s="624"/>
      <c r="AH33" s="624"/>
      <c r="AI33" s="624"/>
      <c r="AJ33" s="624"/>
      <c r="AK33" s="624"/>
      <c r="AL33" s="624"/>
      <c r="AM33" s="624"/>
      <c r="AN33" s="624"/>
    </row>
    <row r="34" spans="1:40" ht="12.75" customHeight="1">
      <c r="D34" s="608"/>
      <c r="E34" s="608"/>
      <c r="F34" s="608"/>
      <c r="G34" s="608"/>
      <c r="H34" s="608"/>
      <c r="I34" s="608"/>
      <c r="J34" s="608"/>
      <c r="K34" s="608"/>
      <c r="M34" s="629"/>
      <c r="N34" s="629"/>
      <c r="O34" s="629"/>
      <c r="P34" s="629"/>
      <c r="Q34" s="629"/>
      <c r="R34" s="629"/>
      <c r="S34" s="629"/>
      <c r="T34" s="629"/>
      <c r="U34" s="629"/>
      <c r="V34" s="607"/>
      <c r="W34" s="607"/>
      <c r="X34" s="607"/>
      <c r="Y34" s="607"/>
      <c r="Z34" s="607"/>
      <c r="AA34" s="607"/>
      <c r="AB34" s="607"/>
      <c r="AC34" s="607"/>
      <c r="AD34" s="607"/>
      <c r="AE34" s="607"/>
      <c r="AF34" s="607"/>
      <c r="AG34" s="607"/>
      <c r="AH34" s="607"/>
      <c r="AI34" s="607"/>
      <c r="AJ34" s="607"/>
      <c r="AK34" s="607"/>
      <c r="AL34" s="607"/>
      <c r="AM34" s="607"/>
      <c r="AN34" s="607"/>
    </row>
    <row r="35" spans="1:40" s="620" customFormat="1" ht="12.75" customHeight="1">
      <c r="A35" s="620" t="s">
        <v>333</v>
      </c>
      <c r="B35" s="621"/>
      <c r="C35" s="621"/>
      <c r="D35" s="626"/>
      <c r="E35" s="626"/>
      <c r="F35" s="626"/>
      <c r="G35" s="626"/>
      <c r="H35" s="626"/>
      <c r="I35" s="626"/>
      <c r="J35" s="626"/>
      <c r="K35" s="626"/>
      <c r="M35" s="624"/>
      <c r="N35" s="624"/>
      <c r="O35" s="624"/>
      <c r="P35" s="624"/>
      <c r="Q35" s="624"/>
      <c r="R35" s="624"/>
      <c r="S35" s="624"/>
      <c r="T35" s="624"/>
      <c r="U35" s="624"/>
      <c r="V35" s="624"/>
      <c r="W35" s="624"/>
      <c r="X35" s="624"/>
      <c r="Y35" s="624"/>
      <c r="Z35" s="624"/>
      <c r="AA35" s="624"/>
      <c r="AB35" s="624"/>
      <c r="AC35" s="624"/>
      <c r="AD35" s="624"/>
      <c r="AE35" s="624"/>
      <c r="AF35" s="624"/>
      <c r="AG35" s="624"/>
      <c r="AH35" s="624"/>
      <c r="AI35" s="624"/>
      <c r="AJ35" s="624"/>
      <c r="AK35" s="624"/>
      <c r="AL35" s="624"/>
      <c r="AM35" s="624"/>
      <c r="AN35" s="624"/>
    </row>
    <row r="36" spans="1:40" ht="12.75" customHeight="1">
      <c r="B36" s="585" t="s">
        <v>4</v>
      </c>
      <c r="C36" s="625"/>
      <c r="D36" s="608"/>
      <c r="E36" s="630">
        <f t="shared" ref="E36:K37" si="13">E$33/E40</f>
        <v>0.82381729200652576</v>
      </c>
      <c r="F36" s="630">
        <f t="shared" si="13"/>
        <v>0.38798037612428515</v>
      </c>
      <c r="G36" s="630">
        <f t="shared" si="13"/>
        <v>4.0590191188694948</v>
      </c>
      <c r="H36" s="630">
        <f t="shared" si="13"/>
        <v>1.0025906735751278</v>
      </c>
      <c r="I36" s="630">
        <f t="shared" si="13"/>
        <v>0.51534803285776021</v>
      </c>
      <c r="J36" s="630">
        <f t="shared" si="13"/>
        <v>2.3549127786233539</v>
      </c>
      <c r="K36" s="630">
        <f t="shared" si="13"/>
        <v>2.4747364101014142</v>
      </c>
      <c r="M36" s="607"/>
      <c r="N36" s="607"/>
      <c r="O36" s="607"/>
      <c r="P36" s="607"/>
      <c r="Q36" s="607"/>
      <c r="R36" s="607"/>
      <c r="S36" s="607"/>
      <c r="T36" s="607"/>
      <c r="U36" s="607"/>
      <c r="V36" s="607"/>
      <c r="W36" s="607"/>
      <c r="X36" s="607"/>
      <c r="Y36" s="607"/>
      <c r="Z36" s="607"/>
      <c r="AA36" s="607"/>
      <c r="AB36" s="607"/>
      <c r="AC36" s="607"/>
      <c r="AD36" s="607"/>
      <c r="AE36" s="607"/>
      <c r="AF36" s="607"/>
      <c r="AG36" s="607"/>
      <c r="AH36" s="607"/>
      <c r="AI36" s="607"/>
      <c r="AJ36" s="607"/>
      <c r="AK36" s="607"/>
      <c r="AL36" s="607"/>
      <c r="AM36" s="607"/>
      <c r="AN36" s="607"/>
    </row>
    <row r="37" spans="1:40" ht="12.75" customHeight="1">
      <c r="B37" s="585" t="s">
        <v>5</v>
      </c>
      <c r="C37" s="297"/>
      <c r="D37" s="608"/>
      <c r="E37" s="630">
        <f t="shared" si="13"/>
        <v>0.81781376518218674</v>
      </c>
      <c r="F37" s="630">
        <f t="shared" si="13"/>
        <v>0.38561560341324724</v>
      </c>
      <c r="G37" s="630">
        <f t="shared" si="13"/>
        <v>4.0288778877887799</v>
      </c>
      <c r="H37" s="630">
        <f t="shared" si="13"/>
        <v>0.99742268041236937</v>
      </c>
      <c r="I37" s="630">
        <f t="shared" si="13"/>
        <v>0.51246775580395498</v>
      </c>
      <c r="J37" s="630">
        <f t="shared" si="13"/>
        <v>2.3417511852776518</v>
      </c>
      <c r="K37" s="630">
        <f t="shared" si="13"/>
        <v>2.4734284296765976</v>
      </c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607"/>
      <c r="AB37" s="607"/>
      <c r="AC37" s="607"/>
      <c r="AD37" s="607"/>
      <c r="AE37" s="607"/>
      <c r="AF37" s="607"/>
      <c r="AG37" s="607"/>
      <c r="AH37" s="607"/>
      <c r="AI37" s="607"/>
      <c r="AJ37" s="607"/>
      <c r="AK37" s="607"/>
      <c r="AL37" s="607"/>
      <c r="AM37" s="607"/>
      <c r="AN37" s="607"/>
    </row>
    <row r="38" spans="1:40" ht="12.75" customHeight="1" collapsed="1">
      <c r="A38" s="586"/>
      <c r="C38" s="625"/>
      <c r="D38" s="608"/>
      <c r="E38" s="608"/>
      <c r="F38" s="608"/>
      <c r="G38" s="608"/>
      <c r="H38" s="608"/>
      <c r="I38" s="608"/>
      <c r="J38" s="608"/>
      <c r="K38" s="608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607"/>
      <c r="AB38" s="607"/>
      <c r="AC38" s="607"/>
      <c r="AD38" s="607"/>
      <c r="AE38" s="607"/>
      <c r="AF38" s="607"/>
      <c r="AG38" s="607"/>
      <c r="AH38" s="607"/>
      <c r="AI38" s="607"/>
      <c r="AJ38" s="607"/>
      <c r="AK38" s="607"/>
      <c r="AL38" s="607"/>
      <c r="AM38" s="607"/>
      <c r="AN38" s="607"/>
    </row>
    <row r="39" spans="1:40" ht="12.75" customHeight="1">
      <c r="A39" s="620" t="s">
        <v>334</v>
      </c>
      <c r="C39" s="625"/>
      <c r="D39" s="608"/>
      <c r="E39" s="608"/>
      <c r="F39" s="608"/>
      <c r="G39" s="608"/>
      <c r="H39" s="608"/>
      <c r="I39" s="608"/>
      <c r="J39" s="608"/>
      <c r="K39" s="608"/>
      <c r="M39" s="607"/>
      <c r="N39" s="607"/>
      <c r="O39" s="607"/>
      <c r="P39" s="607"/>
      <c r="Q39" s="607"/>
      <c r="R39" s="607"/>
      <c r="S39" s="607"/>
      <c r="T39" s="607"/>
      <c r="U39" s="607"/>
      <c r="V39" s="607"/>
      <c r="W39" s="607"/>
      <c r="X39" s="607"/>
      <c r="Y39" s="607"/>
      <c r="Z39" s="607"/>
      <c r="AA39" s="607"/>
      <c r="AB39" s="607"/>
      <c r="AC39" s="607"/>
      <c r="AD39" s="607"/>
      <c r="AE39" s="607"/>
      <c r="AF39" s="607"/>
      <c r="AG39" s="607"/>
      <c r="AH39" s="607"/>
      <c r="AI39" s="607"/>
      <c r="AJ39" s="607"/>
      <c r="AK39" s="607"/>
      <c r="AL39" s="607"/>
      <c r="AM39" s="607"/>
      <c r="AN39" s="607"/>
    </row>
    <row r="40" spans="1:40" ht="12.75" customHeight="1">
      <c r="A40" s="586"/>
      <c r="B40" s="585" t="s">
        <v>4</v>
      </c>
      <c r="D40" s="608"/>
      <c r="E40" s="631">
        <v>122.6</v>
      </c>
      <c r="F40" s="631">
        <v>244.6</v>
      </c>
      <c r="G40" s="631">
        <v>120.3</v>
      </c>
      <c r="H40" s="631">
        <v>115.8</v>
      </c>
      <c r="I40" s="631">
        <v>231.3</v>
      </c>
      <c r="J40" s="618">
        <f>I40</f>
        <v>231.3</v>
      </c>
      <c r="K40" s="618">
        <f>D47/1000000</f>
        <v>230.32539600000001</v>
      </c>
      <c r="M40" s="607"/>
      <c r="N40" s="607"/>
      <c r="O40" s="607"/>
      <c r="P40" s="607"/>
      <c r="Q40" s="607"/>
      <c r="R40" s="607"/>
      <c r="S40" s="607"/>
      <c r="T40" s="607"/>
      <c r="U40" s="607"/>
      <c r="V40" s="607"/>
      <c r="W40" s="607"/>
      <c r="X40" s="607"/>
      <c r="Y40" s="607"/>
      <c r="Z40" s="607"/>
      <c r="AA40" s="607"/>
      <c r="AB40" s="607"/>
      <c r="AC40" s="607"/>
      <c r="AD40" s="607"/>
      <c r="AE40" s="607"/>
      <c r="AF40" s="607"/>
      <c r="AG40" s="607"/>
      <c r="AH40" s="607"/>
      <c r="AI40" s="607"/>
      <c r="AJ40" s="607"/>
      <c r="AK40" s="607"/>
      <c r="AL40" s="607"/>
      <c r="AM40" s="607"/>
      <c r="AN40" s="607"/>
    </row>
    <row r="41" spans="1:40" ht="12.75" customHeight="1">
      <c r="B41" s="585" t="s">
        <v>5</v>
      </c>
      <c r="C41" s="297"/>
      <c r="D41" s="608"/>
      <c r="E41" s="631">
        <v>123.5</v>
      </c>
      <c r="F41" s="631">
        <v>246.1</v>
      </c>
      <c r="G41" s="631">
        <v>121.2</v>
      </c>
      <c r="H41" s="631">
        <v>116.4</v>
      </c>
      <c r="I41" s="631">
        <v>232.6</v>
      </c>
      <c r="J41" s="618">
        <f>I41</f>
        <v>232.6</v>
      </c>
      <c r="K41" s="618">
        <f>D53/1000000</f>
        <v>230.44719499999999</v>
      </c>
      <c r="M41" s="607"/>
      <c r="N41" s="607"/>
      <c r="O41" s="607"/>
      <c r="P41" s="607"/>
      <c r="Q41" s="607"/>
      <c r="R41" s="607"/>
      <c r="S41" s="607"/>
      <c r="T41" s="607"/>
      <c r="U41" s="607"/>
      <c r="V41" s="607"/>
      <c r="W41" s="607"/>
      <c r="X41" s="607"/>
      <c r="Y41" s="607"/>
      <c r="Z41" s="607"/>
      <c r="AA41" s="607"/>
      <c r="AB41" s="607"/>
      <c r="AC41" s="607"/>
      <c r="AD41" s="607"/>
      <c r="AE41" s="607"/>
      <c r="AF41" s="607"/>
      <c r="AG41" s="607"/>
      <c r="AH41" s="607"/>
      <c r="AI41" s="607"/>
      <c r="AJ41" s="607"/>
      <c r="AK41" s="607"/>
      <c r="AL41" s="607"/>
      <c r="AM41" s="607"/>
      <c r="AN41" s="607"/>
    </row>
    <row r="42" spans="1:40" ht="12.75" customHeight="1">
      <c r="A42" s="632"/>
      <c r="B42" s="633"/>
      <c r="C42" s="633"/>
      <c r="D42" s="634"/>
      <c r="E42" s="634"/>
      <c r="F42" s="634"/>
      <c r="G42" s="634"/>
      <c r="H42" s="634"/>
      <c r="I42" s="634"/>
      <c r="J42" s="634"/>
      <c r="K42" s="634"/>
      <c r="M42" s="607"/>
      <c r="N42" s="607"/>
      <c r="O42" s="607"/>
      <c r="P42" s="607"/>
      <c r="Q42" s="607"/>
      <c r="R42" s="607"/>
      <c r="S42" s="607"/>
      <c r="T42" s="607"/>
      <c r="U42" s="607"/>
      <c r="V42" s="607"/>
      <c r="W42" s="607"/>
      <c r="X42" s="607"/>
      <c r="Y42" s="607"/>
      <c r="Z42" s="607"/>
      <c r="AA42" s="607"/>
      <c r="AB42" s="607"/>
      <c r="AC42" s="607"/>
      <c r="AD42" s="607"/>
      <c r="AE42" s="607"/>
      <c r="AF42" s="607"/>
      <c r="AG42" s="607"/>
      <c r="AH42" s="607"/>
      <c r="AI42" s="607"/>
      <c r="AJ42" s="607"/>
      <c r="AK42" s="607"/>
      <c r="AL42" s="607"/>
      <c r="AM42" s="607"/>
      <c r="AN42" s="607"/>
    </row>
    <row r="43" spans="1:40" ht="12.75" customHeight="1">
      <c r="J43" s="585"/>
    </row>
    <row r="44" spans="1:40" ht="12.75" customHeight="1">
      <c r="C44" s="635"/>
      <c r="D44" s="635"/>
      <c r="J44" s="585"/>
      <c r="K44" s="636"/>
    </row>
    <row r="45" spans="1:40" ht="18.75" customHeight="1">
      <c r="A45" s="816" t="s">
        <v>335</v>
      </c>
      <c r="B45" s="817"/>
      <c r="C45" s="817"/>
      <c r="D45" s="818"/>
      <c r="J45" s="585"/>
      <c r="K45" s="637"/>
    </row>
    <row r="46" spans="1:40" ht="20.100000000000001" customHeight="1">
      <c r="A46" s="607" t="s">
        <v>175</v>
      </c>
      <c r="B46" s="607"/>
      <c r="C46" s="607"/>
      <c r="D46" s="638">
        <v>37.74</v>
      </c>
      <c r="J46" s="639"/>
    </row>
    <row r="47" spans="1:40" ht="20.100000000000001" customHeight="1">
      <c r="A47" s="640" t="s">
        <v>287</v>
      </c>
      <c r="B47" s="640"/>
      <c r="C47" s="641"/>
      <c r="D47" s="642">
        <v>230325396</v>
      </c>
      <c r="J47" s="643"/>
    </row>
    <row r="48" spans="1:40" ht="20.100000000000001" customHeight="1">
      <c r="A48" s="640" t="s">
        <v>285</v>
      </c>
      <c r="B48" s="640"/>
      <c r="C48" s="640"/>
      <c r="D48" s="642">
        <v>675980</v>
      </c>
    </row>
    <row r="49" spans="1:40" ht="20.100000000000001" customHeight="1">
      <c r="A49" s="644" t="s">
        <v>283</v>
      </c>
      <c r="B49" s="644"/>
      <c r="C49" s="644"/>
      <c r="D49" s="638">
        <v>30.94</v>
      </c>
    </row>
    <row r="50" spans="1:40" s="587" customFormat="1" ht="20.100000000000001" customHeight="1">
      <c r="A50" s="644" t="s">
        <v>284</v>
      </c>
      <c r="B50" s="644"/>
      <c r="C50" s="644"/>
      <c r="D50" s="645">
        <f>D48*D49</f>
        <v>20914821.199999999</v>
      </c>
      <c r="J50" s="586"/>
      <c r="K50" s="585"/>
      <c r="L50" s="585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88"/>
      <c r="AB50" s="588"/>
      <c r="AC50" s="588"/>
      <c r="AD50" s="588"/>
      <c r="AE50" s="588"/>
      <c r="AF50" s="588"/>
      <c r="AG50" s="588"/>
      <c r="AH50" s="588"/>
      <c r="AI50" s="588"/>
      <c r="AJ50" s="588"/>
      <c r="AK50" s="588"/>
      <c r="AL50" s="588"/>
      <c r="AM50" s="588"/>
      <c r="AN50" s="588"/>
    </row>
    <row r="51" spans="1:40" s="587" customFormat="1" ht="20.100000000000001" customHeight="1">
      <c r="A51" s="640" t="s">
        <v>288</v>
      </c>
      <c r="B51" s="644"/>
      <c r="C51" s="644"/>
      <c r="D51" s="645">
        <f>+ROUNDDOWN(D50/D46,0)</f>
        <v>554181</v>
      </c>
      <c r="J51" s="586"/>
      <c r="K51" s="585"/>
      <c r="L51" s="585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88"/>
      <c r="AB51" s="588"/>
      <c r="AC51" s="588"/>
      <c r="AD51" s="588"/>
      <c r="AE51" s="588"/>
      <c r="AF51" s="588"/>
      <c r="AG51" s="588"/>
      <c r="AH51" s="588"/>
      <c r="AI51" s="588"/>
      <c r="AJ51" s="588"/>
      <c r="AK51" s="588"/>
      <c r="AL51" s="588"/>
      <c r="AM51" s="588"/>
      <c r="AN51" s="588"/>
    </row>
    <row r="52" spans="1:40" s="587" customFormat="1" ht="20.100000000000001" customHeight="1">
      <c r="A52" s="646" t="s">
        <v>289</v>
      </c>
      <c r="B52" s="647"/>
      <c r="C52" s="647"/>
      <c r="D52" s="648">
        <f>D48-D51</f>
        <v>121799</v>
      </c>
      <c r="J52" s="586"/>
      <c r="K52" s="585"/>
      <c r="L52" s="585"/>
      <c r="M52" s="588"/>
      <c r="N52" s="588"/>
      <c r="O52" s="588"/>
      <c r="P52" s="588"/>
      <c r="Q52" s="588"/>
      <c r="R52" s="588"/>
      <c r="S52" s="588"/>
      <c r="T52" s="588"/>
      <c r="U52" s="588"/>
      <c r="V52" s="588"/>
      <c r="W52" s="588"/>
      <c r="X52" s="588"/>
      <c r="Y52" s="588"/>
      <c r="Z52" s="588"/>
      <c r="AA52" s="588"/>
      <c r="AB52" s="588"/>
      <c r="AC52" s="588"/>
      <c r="AD52" s="588"/>
      <c r="AE52" s="588"/>
      <c r="AF52" s="588"/>
      <c r="AG52" s="588"/>
      <c r="AH52" s="588"/>
      <c r="AI52" s="588"/>
      <c r="AJ52" s="588"/>
      <c r="AK52" s="588"/>
      <c r="AL52" s="588"/>
      <c r="AM52" s="588"/>
      <c r="AN52" s="588"/>
    </row>
    <row r="53" spans="1:40" s="587" customFormat="1" ht="20.100000000000001" customHeight="1">
      <c r="A53" s="649" t="s">
        <v>286</v>
      </c>
      <c r="B53" s="647"/>
      <c r="C53" s="647"/>
      <c r="D53" s="650">
        <f>D52+D47</f>
        <v>230447195</v>
      </c>
      <c r="J53" s="586"/>
      <c r="K53" s="585"/>
      <c r="L53" s="585"/>
      <c r="M53" s="588"/>
      <c r="N53" s="588"/>
      <c r="O53" s="588"/>
      <c r="P53" s="588"/>
      <c r="Q53" s="588"/>
      <c r="R53" s="588"/>
      <c r="S53" s="588"/>
      <c r="T53" s="588"/>
      <c r="U53" s="588"/>
      <c r="V53" s="588"/>
      <c r="W53" s="588"/>
      <c r="X53" s="588"/>
      <c r="Y53" s="588"/>
      <c r="Z53" s="588"/>
      <c r="AA53" s="588"/>
      <c r="AB53" s="588"/>
      <c r="AC53" s="588"/>
      <c r="AD53" s="588"/>
      <c r="AE53" s="588"/>
      <c r="AF53" s="588"/>
      <c r="AG53" s="588"/>
      <c r="AH53" s="588"/>
      <c r="AI53" s="588"/>
      <c r="AJ53" s="588"/>
      <c r="AK53" s="588"/>
      <c r="AL53" s="588"/>
      <c r="AM53" s="588"/>
      <c r="AN53" s="588"/>
    </row>
    <row r="55" spans="1:40" s="587" customFormat="1" ht="20.100000000000001" customHeight="1">
      <c r="A55" s="816" t="s">
        <v>336</v>
      </c>
      <c r="B55" s="817"/>
      <c r="C55" s="817"/>
      <c r="D55" s="818"/>
      <c r="J55" s="586"/>
      <c r="K55" s="585"/>
      <c r="L55" s="585"/>
      <c r="M55" s="588"/>
      <c r="N55" s="588"/>
      <c r="O55" s="588"/>
      <c r="P55" s="588"/>
      <c r="Q55" s="588"/>
      <c r="R55" s="588"/>
      <c r="S55" s="588"/>
      <c r="T55" s="588"/>
      <c r="U55" s="588"/>
      <c r="V55" s="588"/>
      <c r="W55" s="588"/>
      <c r="X55" s="588"/>
      <c r="Y55" s="588"/>
      <c r="Z55" s="588"/>
      <c r="AA55" s="588"/>
      <c r="AB55" s="588"/>
      <c r="AC55" s="588"/>
      <c r="AD55" s="588"/>
      <c r="AE55" s="588"/>
      <c r="AF55" s="588"/>
      <c r="AG55" s="588"/>
      <c r="AH55" s="588"/>
      <c r="AI55" s="588"/>
      <c r="AJ55" s="588"/>
      <c r="AK55" s="588"/>
      <c r="AL55" s="588"/>
      <c r="AM55" s="588"/>
      <c r="AN55" s="588"/>
    </row>
    <row r="56" spans="1:40" s="587" customFormat="1" ht="20.100000000000001" customHeight="1">
      <c r="A56" s="649" t="s">
        <v>176</v>
      </c>
      <c r="B56" s="651"/>
      <c r="C56" s="651"/>
      <c r="D56" s="652">
        <f>D53*D46/1000000</f>
        <v>8697.0771393000014</v>
      </c>
      <c r="J56" s="586"/>
      <c r="K56" s="585"/>
      <c r="L56" s="585"/>
      <c r="M56" s="588"/>
      <c r="N56" s="588"/>
      <c r="O56" s="588"/>
      <c r="P56" s="588"/>
      <c r="Q56" s="588"/>
      <c r="R56" s="588"/>
      <c r="S56" s="588"/>
      <c r="T56" s="588"/>
      <c r="U56" s="588"/>
      <c r="V56" s="588"/>
      <c r="W56" s="588"/>
      <c r="X56" s="588"/>
      <c r="Y56" s="588"/>
      <c r="Z56" s="588"/>
      <c r="AA56" s="588"/>
      <c r="AB56" s="588"/>
      <c r="AC56" s="588"/>
      <c r="AD56" s="588"/>
      <c r="AE56" s="588"/>
      <c r="AF56" s="588"/>
      <c r="AG56" s="588"/>
      <c r="AH56" s="588"/>
      <c r="AI56" s="588"/>
      <c r="AJ56" s="588"/>
      <c r="AK56" s="588"/>
      <c r="AL56" s="588"/>
      <c r="AM56" s="588"/>
      <c r="AN56" s="588"/>
    </row>
    <row r="57" spans="1:40" s="587" customFormat="1" ht="20.100000000000001" customHeight="1">
      <c r="A57" s="607" t="s">
        <v>34</v>
      </c>
      <c r="B57" s="607"/>
      <c r="C57" s="607"/>
      <c r="D57" s="653">
        <v>14.3</v>
      </c>
      <c r="J57" s="586"/>
      <c r="K57" s="585"/>
      <c r="L57" s="585"/>
      <c r="M57" s="588"/>
      <c r="N57" s="588"/>
      <c r="O57" s="588"/>
      <c r="P57" s="588"/>
      <c r="Q57" s="588"/>
      <c r="R57" s="588"/>
      <c r="S57" s="588"/>
      <c r="T57" s="588"/>
      <c r="U57" s="588"/>
      <c r="V57" s="588"/>
      <c r="W57" s="588"/>
      <c r="X57" s="588"/>
      <c r="Y57" s="588"/>
      <c r="Z57" s="588"/>
      <c r="AA57" s="588"/>
      <c r="AB57" s="588"/>
      <c r="AC57" s="588"/>
      <c r="AD57" s="588"/>
      <c r="AE57" s="588"/>
      <c r="AF57" s="588"/>
      <c r="AG57" s="588"/>
      <c r="AH57" s="588"/>
      <c r="AI57" s="588"/>
      <c r="AJ57" s="588"/>
      <c r="AK57" s="588"/>
      <c r="AL57" s="588"/>
      <c r="AM57" s="588"/>
      <c r="AN57" s="588"/>
    </row>
    <row r="58" spans="1:40" s="587" customFormat="1" ht="20.100000000000001" customHeight="1">
      <c r="A58" s="607" t="s">
        <v>293</v>
      </c>
      <c r="B58" s="607"/>
      <c r="C58" s="607"/>
      <c r="D58" s="653">
        <v>250</v>
      </c>
      <c r="J58" s="586"/>
      <c r="K58" s="585"/>
      <c r="L58" s="585"/>
      <c r="M58" s="588"/>
      <c r="N58" s="588"/>
      <c r="O58" s="588"/>
      <c r="P58" s="588"/>
      <c r="Q58" s="588"/>
      <c r="R58" s="588"/>
      <c r="S58" s="588"/>
      <c r="T58" s="588"/>
      <c r="U58" s="588"/>
      <c r="V58" s="588"/>
      <c r="W58" s="588"/>
      <c r="X58" s="588"/>
      <c r="Y58" s="588"/>
      <c r="Z58" s="588"/>
      <c r="AA58" s="588"/>
      <c r="AB58" s="588"/>
      <c r="AC58" s="588"/>
      <c r="AD58" s="588"/>
      <c r="AE58" s="588"/>
      <c r="AF58" s="588"/>
      <c r="AG58" s="588"/>
      <c r="AH58" s="588"/>
      <c r="AI58" s="588"/>
      <c r="AJ58" s="588"/>
      <c r="AK58" s="588"/>
      <c r="AL58" s="588"/>
      <c r="AM58" s="588"/>
      <c r="AN58" s="588"/>
    </row>
    <row r="59" spans="1:40" s="587" customFormat="1" ht="20.100000000000001" customHeight="1">
      <c r="A59" s="607" t="s">
        <v>291</v>
      </c>
      <c r="B59" s="607"/>
      <c r="C59" s="607"/>
      <c r="D59" s="653">
        <v>0</v>
      </c>
      <c r="J59" s="586"/>
      <c r="K59" s="585"/>
      <c r="L59" s="585"/>
      <c r="M59" s="588"/>
      <c r="N59" s="588"/>
      <c r="O59" s="588"/>
      <c r="P59" s="588"/>
      <c r="Q59" s="588"/>
      <c r="R59" s="588"/>
      <c r="S59" s="588"/>
      <c r="T59" s="588"/>
      <c r="U59" s="588"/>
      <c r="V59" s="588"/>
      <c r="W59" s="588"/>
      <c r="X59" s="588"/>
      <c r="Y59" s="588"/>
      <c r="Z59" s="588"/>
      <c r="AA59" s="588"/>
      <c r="AB59" s="588"/>
      <c r="AC59" s="588"/>
      <c r="AD59" s="588"/>
      <c r="AE59" s="588"/>
      <c r="AF59" s="588"/>
      <c r="AG59" s="588"/>
      <c r="AH59" s="588"/>
      <c r="AI59" s="588"/>
      <c r="AJ59" s="588"/>
      <c r="AK59" s="588"/>
      <c r="AL59" s="588"/>
      <c r="AM59" s="588"/>
      <c r="AN59" s="588"/>
    </row>
    <row r="60" spans="1:40" s="587" customFormat="1" ht="20.100000000000001" customHeight="1">
      <c r="A60" s="607" t="s">
        <v>177</v>
      </c>
      <c r="B60" s="607"/>
      <c r="C60" s="607"/>
      <c r="D60" s="653">
        <v>0</v>
      </c>
      <c r="J60" s="586"/>
      <c r="K60" s="585"/>
      <c r="L60" s="585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88"/>
      <c r="AB60" s="588"/>
      <c r="AC60" s="588"/>
      <c r="AD60" s="588"/>
      <c r="AE60" s="588"/>
      <c r="AF60" s="588"/>
      <c r="AG60" s="588"/>
      <c r="AH60" s="588"/>
      <c r="AI60" s="588"/>
      <c r="AJ60" s="588"/>
      <c r="AK60" s="588"/>
      <c r="AL60" s="588"/>
      <c r="AM60" s="588"/>
      <c r="AN60" s="588"/>
    </row>
    <row r="61" spans="1:40" s="587" customFormat="1" ht="20.100000000000001" customHeight="1">
      <c r="A61" s="607" t="s">
        <v>292</v>
      </c>
      <c r="B61" s="607"/>
      <c r="C61" s="607"/>
      <c r="D61" s="653">
        <v>0</v>
      </c>
      <c r="J61" s="586"/>
      <c r="K61" s="585"/>
      <c r="L61" s="585"/>
      <c r="M61" s="588"/>
      <c r="N61" s="588"/>
      <c r="O61" s="588"/>
      <c r="P61" s="588"/>
      <c r="Q61" s="588"/>
      <c r="R61" s="588"/>
      <c r="S61" s="588"/>
      <c r="T61" s="588"/>
      <c r="U61" s="588"/>
      <c r="V61" s="588"/>
      <c r="W61" s="588"/>
      <c r="X61" s="588"/>
      <c r="Y61" s="588"/>
      <c r="Z61" s="588"/>
      <c r="AA61" s="588"/>
      <c r="AB61" s="588"/>
      <c r="AC61" s="588"/>
      <c r="AD61" s="588"/>
      <c r="AE61" s="588"/>
      <c r="AF61" s="588"/>
      <c r="AG61" s="588"/>
      <c r="AH61" s="588"/>
      <c r="AI61" s="588"/>
      <c r="AJ61" s="588"/>
      <c r="AK61" s="588"/>
      <c r="AL61" s="588"/>
      <c r="AM61" s="588"/>
      <c r="AN61" s="588"/>
    </row>
    <row r="62" spans="1:40" s="587" customFormat="1" ht="20.100000000000001" customHeight="1">
      <c r="A62" s="607" t="s">
        <v>178</v>
      </c>
      <c r="B62" s="607"/>
      <c r="C62" s="607"/>
      <c r="D62" s="653">
        <v>0</v>
      </c>
      <c r="J62" s="586"/>
      <c r="K62" s="585"/>
      <c r="L62" s="585"/>
      <c r="M62" s="588"/>
      <c r="N62" s="588"/>
      <c r="O62" s="588"/>
      <c r="P62" s="588"/>
      <c r="Q62" s="588"/>
      <c r="R62" s="588"/>
      <c r="S62" s="588"/>
      <c r="T62" s="588"/>
      <c r="U62" s="588"/>
      <c r="V62" s="588"/>
      <c r="W62" s="588"/>
      <c r="X62" s="588"/>
      <c r="Y62" s="588"/>
      <c r="Z62" s="588"/>
      <c r="AA62" s="588"/>
      <c r="AB62" s="588"/>
      <c r="AC62" s="588"/>
      <c r="AD62" s="588"/>
      <c r="AE62" s="588"/>
      <c r="AF62" s="588"/>
      <c r="AG62" s="588"/>
      <c r="AH62" s="588"/>
      <c r="AI62" s="588"/>
      <c r="AJ62" s="588"/>
      <c r="AK62" s="588"/>
      <c r="AL62" s="588"/>
      <c r="AM62" s="588"/>
      <c r="AN62" s="588"/>
    </row>
    <row r="63" spans="1:40" s="587" customFormat="1" ht="20.100000000000001" customHeight="1">
      <c r="A63" s="607" t="s">
        <v>179</v>
      </c>
      <c r="B63" s="607"/>
      <c r="C63" s="607"/>
      <c r="D63" s="653">
        <v>-379.8</v>
      </c>
      <c r="J63" s="586"/>
      <c r="K63" s="585"/>
      <c r="L63" s="585"/>
      <c r="M63" s="588"/>
      <c r="N63" s="588"/>
      <c r="O63" s="588"/>
      <c r="P63" s="588"/>
      <c r="Q63" s="588"/>
      <c r="R63" s="588"/>
      <c r="S63" s="588"/>
      <c r="T63" s="588"/>
      <c r="U63" s="588"/>
      <c r="V63" s="588"/>
      <c r="W63" s="588"/>
      <c r="X63" s="588"/>
      <c r="Y63" s="588"/>
      <c r="Z63" s="588"/>
      <c r="AA63" s="588"/>
      <c r="AB63" s="588"/>
      <c r="AC63" s="588"/>
      <c r="AD63" s="588"/>
      <c r="AE63" s="588"/>
      <c r="AF63" s="588"/>
      <c r="AG63" s="588"/>
      <c r="AH63" s="588"/>
      <c r="AI63" s="588"/>
      <c r="AJ63" s="588"/>
      <c r="AK63" s="588"/>
      <c r="AL63" s="588"/>
      <c r="AM63" s="588"/>
      <c r="AN63" s="588"/>
    </row>
    <row r="64" spans="1:40" s="587" customFormat="1" ht="20.100000000000001" customHeight="1">
      <c r="A64" s="649" t="s">
        <v>180</v>
      </c>
      <c r="B64" s="654"/>
      <c r="C64" s="654"/>
      <c r="D64" s="655">
        <f>SUM(D56:D63)</f>
        <v>8581.5771393000014</v>
      </c>
      <c r="J64" s="586"/>
      <c r="K64" s="585"/>
      <c r="L64" s="585"/>
      <c r="M64" s="588"/>
      <c r="N64" s="588"/>
      <c r="O64" s="588"/>
      <c r="P64" s="588"/>
      <c r="Q64" s="588"/>
      <c r="R64" s="588"/>
      <c r="S64" s="588"/>
      <c r="T64" s="588"/>
      <c r="U64" s="588"/>
      <c r="V64" s="588"/>
      <c r="W64" s="588"/>
      <c r="X64" s="588"/>
      <c r="Y64" s="588"/>
      <c r="Z64" s="588"/>
      <c r="AA64" s="588"/>
      <c r="AB64" s="588"/>
      <c r="AC64" s="588"/>
      <c r="AD64" s="588"/>
      <c r="AE64" s="588"/>
      <c r="AF64" s="588"/>
      <c r="AG64" s="588"/>
      <c r="AH64" s="588"/>
      <c r="AI64" s="588"/>
      <c r="AJ64" s="588"/>
      <c r="AK64" s="588"/>
      <c r="AL64" s="588"/>
      <c r="AM64" s="588"/>
      <c r="AN64" s="588"/>
    </row>
  </sheetData>
  <mergeCells count="2">
    <mergeCell ref="A45:D45"/>
    <mergeCell ref="A55:D55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66CCFF"/>
  </sheetPr>
  <dimension ref="A1:BB62"/>
  <sheetViews>
    <sheetView workbookViewId="0"/>
  </sheetViews>
  <sheetFormatPr defaultColWidth="9.140625" defaultRowHeight="20.100000000000001" customHeight="1" outlineLevelCol="1"/>
  <cols>
    <col min="1" max="1" width="2.7109375" style="84" customWidth="1"/>
    <col min="2" max="2" width="2.7109375" style="66" customWidth="1"/>
    <col min="3" max="3" width="37.28515625" style="66" bestFit="1" customWidth="1"/>
    <col min="4" max="4" width="13.42578125" style="90" bestFit="1" customWidth="1" outlineLevel="1"/>
    <col min="5" max="7" width="9.7109375" style="90" customWidth="1" outlineLevel="1"/>
    <col min="8" max="8" width="9.7109375" style="90" customWidth="1"/>
    <col min="9" max="13" width="9.7109375" style="90" customWidth="1" outlineLevel="1"/>
    <col min="14" max="14" width="13.85546875" style="90" bestFit="1" customWidth="1" outlineLevel="1"/>
    <col min="15" max="15" width="9.7109375" style="90" customWidth="1" outlineLevel="1"/>
    <col min="16" max="16" width="9.7109375" style="84" customWidth="1"/>
    <col min="17" max="54" width="9.140625" style="656"/>
    <col min="55" max="16384" width="9.140625" style="84"/>
  </cols>
  <sheetData>
    <row r="1" spans="1:54" ht="60.75" customHeight="1">
      <c r="B1" s="64"/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09"/>
    </row>
    <row r="2" spans="1:54" ht="12.75" customHeight="1">
      <c r="A2" s="67" t="s">
        <v>343</v>
      </c>
      <c r="B2" s="68"/>
      <c r="C2" s="67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293"/>
    </row>
    <row r="3" spans="1:54" ht="12.75" customHeight="1">
      <c r="A3" s="70"/>
      <c r="B3" s="71"/>
      <c r="C3" s="72"/>
      <c r="D3" s="723" t="s">
        <v>32</v>
      </c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723"/>
      <c r="P3" s="75" t="s">
        <v>33</v>
      </c>
    </row>
    <row r="4" spans="1:54" ht="12.75" customHeight="1">
      <c r="A4" s="70"/>
      <c r="B4" s="71"/>
      <c r="C4" s="72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9"/>
    </row>
    <row r="5" spans="1:54" ht="12.75" customHeight="1">
      <c r="A5" s="283"/>
      <c r="B5" s="722"/>
      <c r="C5" s="721"/>
      <c r="D5" s="720" t="s">
        <v>162</v>
      </c>
      <c r="E5" s="720" t="s">
        <v>163</v>
      </c>
      <c r="F5" s="720" t="s">
        <v>342</v>
      </c>
      <c r="G5" s="720" t="s">
        <v>341</v>
      </c>
      <c r="H5" s="720">
        <v>2010</v>
      </c>
      <c r="I5" s="720" t="s">
        <v>188</v>
      </c>
      <c r="J5" s="720" t="s">
        <v>189</v>
      </c>
      <c r="K5" s="720" t="s">
        <v>340</v>
      </c>
      <c r="L5" s="720" t="s">
        <v>339</v>
      </c>
      <c r="M5" s="720" t="s">
        <v>319</v>
      </c>
      <c r="N5" s="720" t="s">
        <v>338</v>
      </c>
      <c r="O5" s="720" t="s">
        <v>190</v>
      </c>
      <c r="P5" s="719" t="s">
        <v>268</v>
      </c>
    </row>
    <row r="6" spans="1:54" s="585" customFormat="1" ht="21" customHeight="1">
      <c r="A6" s="718" t="s">
        <v>39</v>
      </c>
      <c r="B6" s="677"/>
      <c r="C6" s="717"/>
      <c r="D6" s="716"/>
      <c r="E6" s="716"/>
      <c r="F6" s="716"/>
      <c r="G6" s="716"/>
      <c r="H6" s="716"/>
      <c r="I6" s="716"/>
      <c r="J6" s="716"/>
      <c r="K6" s="716"/>
      <c r="L6" s="716"/>
      <c r="M6" s="716"/>
      <c r="N6" s="716"/>
      <c r="O6" s="716"/>
      <c r="P6" s="716"/>
      <c r="Q6" s="656"/>
      <c r="R6" s="656"/>
      <c r="S6" s="656"/>
      <c r="T6" s="656"/>
      <c r="U6" s="656"/>
      <c r="V6" s="656"/>
      <c r="W6" s="656"/>
      <c r="X6" s="656"/>
      <c r="Y6" s="656"/>
      <c r="Z6" s="656"/>
      <c r="AA6" s="656"/>
      <c r="AB6" s="656"/>
      <c r="AC6" s="656"/>
      <c r="AD6" s="656"/>
      <c r="AE6" s="656"/>
      <c r="AF6" s="656"/>
      <c r="AG6" s="656"/>
      <c r="AH6" s="656"/>
      <c r="AI6" s="656"/>
      <c r="AJ6" s="656"/>
      <c r="AK6" s="656"/>
      <c r="AL6" s="656"/>
      <c r="AM6" s="656"/>
      <c r="AN6" s="656"/>
      <c r="AO6" s="656"/>
      <c r="AP6" s="656"/>
      <c r="AQ6" s="656"/>
      <c r="AR6" s="656"/>
      <c r="AS6" s="656"/>
      <c r="AT6" s="656"/>
      <c r="AU6" s="656"/>
      <c r="AV6" s="656"/>
      <c r="AW6" s="656"/>
      <c r="AX6" s="656"/>
      <c r="AY6" s="656"/>
      <c r="AZ6" s="656"/>
      <c r="BA6" s="656"/>
      <c r="BB6" s="656"/>
    </row>
    <row r="7" spans="1:54" s="585" customFormat="1" ht="12.75">
      <c r="A7" s="376"/>
      <c r="B7" s="677"/>
      <c r="C7" s="715" t="s">
        <v>158</v>
      </c>
      <c r="D7" s="711">
        <v>1996.941</v>
      </c>
      <c r="E7" s="711">
        <v>2263.1689999999999</v>
      </c>
      <c r="F7" s="711">
        <v>2153.395</v>
      </c>
      <c r="G7" s="692">
        <f>H7-F7-E7-D7</f>
        <v>2134.329999999999</v>
      </c>
      <c r="H7" s="711">
        <v>8547.8349999999991</v>
      </c>
      <c r="I7" s="711">
        <v>2148.2869999999998</v>
      </c>
      <c r="J7" s="711">
        <v>2458.636</v>
      </c>
      <c r="K7" s="711">
        <v>2359.9569999999999</v>
      </c>
      <c r="L7" s="692">
        <f>M7-K7-J7-I7</f>
        <v>2364.1249999999986</v>
      </c>
      <c r="M7" s="711">
        <v>9331.0049999999992</v>
      </c>
      <c r="N7" s="692">
        <f>H7+I7+(2/3)*J7-D7-(2/3)*E7</f>
        <v>8829.4923333333318</v>
      </c>
      <c r="O7" s="692">
        <f>M7*11/12+H7*1/12</f>
        <v>9265.7408333333333</v>
      </c>
      <c r="P7" s="691">
        <f>M7*(1+P10)</f>
        <v>10264.1055</v>
      </c>
      <c r="Q7" s="656"/>
      <c r="R7" s="656"/>
      <c r="S7" s="656"/>
      <c r="T7" s="656"/>
      <c r="U7" s="656"/>
      <c r="V7" s="656"/>
      <c r="W7" s="656"/>
      <c r="X7" s="656"/>
      <c r="Y7" s="656"/>
      <c r="Z7" s="656"/>
      <c r="AA7" s="656"/>
      <c r="AB7" s="656"/>
      <c r="AC7" s="656"/>
      <c r="AD7" s="656"/>
      <c r="AE7" s="656"/>
      <c r="AF7" s="656"/>
      <c r="AG7" s="656"/>
      <c r="AH7" s="656"/>
      <c r="AI7" s="656"/>
      <c r="AJ7" s="656"/>
      <c r="AK7" s="656"/>
      <c r="AL7" s="656"/>
      <c r="AM7" s="656"/>
      <c r="AN7" s="656"/>
      <c r="AO7" s="656"/>
      <c r="AP7" s="656"/>
      <c r="AQ7" s="656"/>
      <c r="AR7" s="656"/>
      <c r="AS7" s="656"/>
      <c r="AT7" s="656"/>
      <c r="AU7" s="656"/>
      <c r="AV7" s="656"/>
      <c r="AW7" s="656"/>
      <c r="AX7" s="656"/>
      <c r="AY7" s="656"/>
      <c r="AZ7" s="656"/>
      <c r="BA7" s="656"/>
      <c r="BB7" s="656"/>
    </row>
    <row r="8" spans="1:54" s="585" customFormat="1" ht="12.75">
      <c r="A8" s="376"/>
      <c r="B8" s="677"/>
      <c r="C8" s="715"/>
      <c r="D8" s="711"/>
      <c r="E8" s="711"/>
      <c r="F8" s="711"/>
      <c r="G8" s="711"/>
      <c r="H8" s="714"/>
      <c r="I8" s="711"/>
      <c r="J8" s="711"/>
      <c r="K8" s="711"/>
      <c r="L8" s="711"/>
      <c r="M8" s="711"/>
      <c r="N8" s="711"/>
      <c r="O8" s="711"/>
      <c r="P8" s="713"/>
      <c r="Q8" s="656"/>
      <c r="R8" s="656"/>
      <c r="S8" s="656"/>
      <c r="T8" s="656"/>
      <c r="U8" s="656"/>
      <c r="V8" s="656"/>
      <c r="W8" s="656"/>
      <c r="X8" s="656"/>
      <c r="Y8" s="656"/>
      <c r="Z8" s="656"/>
      <c r="AA8" s="656"/>
      <c r="AB8" s="656"/>
      <c r="AC8" s="656"/>
      <c r="AD8" s="656"/>
      <c r="AE8" s="656"/>
      <c r="AF8" s="656"/>
      <c r="AG8" s="656"/>
      <c r="AH8" s="656"/>
      <c r="AI8" s="656"/>
      <c r="AJ8" s="656"/>
      <c r="AK8" s="656"/>
      <c r="AL8" s="656"/>
      <c r="AM8" s="656"/>
      <c r="AN8" s="656"/>
      <c r="AO8" s="656"/>
      <c r="AP8" s="656"/>
      <c r="AQ8" s="656"/>
      <c r="AR8" s="656"/>
      <c r="AS8" s="656"/>
      <c r="AT8" s="656"/>
      <c r="AU8" s="656"/>
      <c r="AV8" s="656"/>
      <c r="AW8" s="656"/>
      <c r="AX8" s="656"/>
      <c r="AY8" s="656"/>
      <c r="AZ8" s="656"/>
      <c r="BA8" s="656"/>
      <c r="BB8" s="656"/>
    </row>
    <row r="9" spans="1:54" ht="12.75" customHeight="1">
      <c r="A9" s="374"/>
      <c r="B9" s="372" t="s">
        <v>63</v>
      </c>
      <c r="C9" s="683"/>
      <c r="D9" s="682">
        <f>SUM(D7:D8)</f>
        <v>1996.941</v>
      </c>
      <c r="E9" s="682">
        <f>SUM(E7:E8)</f>
        <v>2263.1689999999999</v>
      </c>
      <c r="F9" s="682">
        <f>SUM(F7:F8)</f>
        <v>2153.395</v>
      </c>
      <c r="G9" s="682">
        <f>H9-F9-E9-D9</f>
        <v>2134.329999999999</v>
      </c>
      <c r="H9" s="682">
        <f>SUM(H7:H8)</f>
        <v>8547.8349999999991</v>
      </c>
      <c r="I9" s="682">
        <f>SUM(I7:I8)</f>
        <v>2148.2869999999998</v>
      </c>
      <c r="J9" s="682">
        <f>SUM(J7:J8)</f>
        <v>2458.636</v>
      </c>
      <c r="K9" s="682">
        <f>SUM(K7:K8)</f>
        <v>2359.9569999999999</v>
      </c>
      <c r="L9" s="682">
        <f>M9-K9-J9-I9</f>
        <v>2364.1249999999986</v>
      </c>
      <c r="M9" s="682">
        <f>SUM(M7:M8)</f>
        <v>9331.0049999999992</v>
      </c>
      <c r="N9" s="682">
        <f>SUM(N7:N8)</f>
        <v>8829.4923333333318</v>
      </c>
      <c r="O9" s="682">
        <f>SUM(O7:O8)</f>
        <v>9265.7408333333333</v>
      </c>
      <c r="P9" s="682">
        <f>SUM(P7:P8)</f>
        <v>10264.1055</v>
      </c>
    </row>
    <row r="10" spans="1:54" ht="12.75" customHeight="1">
      <c r="A10" s="374"/>
      <c r="B10" s="373"/>
      <c r="C10" s="689" t="s">
        <v>40</v>
      </c>
      <c r="D10" s="694"/>
      <c r="E10" s="694"/>
      <c r="F10" s="694"/>
      <c r="G10" s="694"/>
      <c r="H10" s="694">
        <f>H7/7866.971-1</f>
        <v>8.6547160272994583E-2</v>
      </c>
      <c r="I10" s="694">
        <f>I9/D9-1</f>
        <v>7.5788919151842604E-2</v>
      </c>
      <c r="J10" s="694">
        <f>J9/E9-1</f>
        <v>8.6368715725604339E-2</v>
      </c>
      <c r="K10" s="694">
        <f>K9/F9-1</f>
        <v>9.592387834094529E-2</v>
      </c>
      <c r="L10" s="694">
        <f>L9/G9-1</f>
        <v>0.10766610599110704</v>
      </c>
      <c r="M10" s="694">
        <f>M9/H9-1</f>
        <v>9.1622030607750427E-2</v>
      </c>
      <c r="N10" s="694"/>
      <c r="O10" s="694"/>
      <c r="P10" s="694">
        <v>0.1</v>
      </c>
    </row>
    <row r="11" spans="1:54" ht="21" customHeight="1">
      <c r="A11" s="378" t="s">
        <v>41</v>
      </c>
      <c r="B11" s="373"/>
      <c r="C11" s="689"/>
      <c r="D11" s="694"/>
      <c r="E11" s="694"/>
      <c r="F11" s="694"/>
      <c r="G11" s="694"/>
      <c r="H11" s="694"/>
      <c r="I11" s="694"/>
      <c r="J11" s="694"/>
      <c r="K11" s="694"/>
      <c r="L11" s="694"/>
      <c r="M11" s="694"/>
      <c r="N11" s="694"/>
      <c r="O11" s="694"/>
      <c r="P11" s="709"/>
    </row>
    <row r="12" spans="1:54" ht="12.75">
      <c r="A12" s="378"/>
      <c r="B12" s="373"/>
      <c r="C12" s="712" t="s">
        <v>182</v>
      </c>
      <c r="D12" s="711">
        <v>1277.376</v>
      </c>
      <c r="E12" s="711">
        <v>1455.8019999999999</v>
      </c>
      <c r="F12" s="711">
        <v>1373.6389999999999</v>
      </c>
      <c r="G12" s="692">
        <f>H12-F12-E12-D12</f>
        <v>1408.7230000000002</v>
      </c>
      <c r="H12" s="711">
        <v>5515.54</v>
      </c>
      <c r="I12" s="711">
        <v>1390.7149999999999</v>
      </c>
      <c r="J12" s="711">
        <v>1601.2370000000001</v>
      </c>
      <c r="K12" s="711">
        <v>1514.684</v>
      </c>
      <c r="L12" s="711">
        <f>M12-K12-J12-I12</f>
        <v>1564.4219999999998</v>
      </c>
      <c r="M12" s="711">
        <v>6071.058</v>
      </c>
      <c r="N12" s="692">
        <f>H12+I12+(2/3)*J12-D12-(2/3)*E12</f>
        <v>5725.8356666666668</v>
      </c>
      <c r="O12" s="692">
        <f>M12*11/12+H12*1/12</f>
        <v>6024.7648333333336</v>
      </c>
      <c r="P12" s="691">
        <f>P7*P13</f>
        <v>6671.6685749999997</v>
      </c>
    </row>
    <row r="13" spans="1:54" ht="12.75">
      <c r="A13" s="378"/>
      <c r="B13" s="373"/>
      <c r="C13" s="710" t="s">
        <v>184</v>
      </c>
      <c r="D13" s="694">
        <f t="shared" ref="D13:O13" si="0">D12/D9</f>
        <v>0.63966636971247526</v>
      </c>
      <c r="E13" s="694">
        <f t="shared" si="0"/>
        <v>0.64325819238421877</v>
      </c>
      <c r="F13" s="694">
        <f t="shared" si="0"/>
        <v>0.63789458041836256</v>
      </c>
      <c r="G13" s="694">
        <f t="shared" si="0"/>
        <v>0.66003054822825002</v>
      </c>
      <c r="H13" s="694">
        <f t="shared" si="0"/>
        <v>0.64525578699167685</v>
      </c>
      <c r="I13" s="694">
        <f t="shared" si="0"/>
        <v>0.64735996633596915</v>
      </c>
      <c r="J13" s="694">
        <f t="shared" si="0"/>
        <v>0.65127046053177462</v>
      </c>
      <c r="K13" s="694">
        <f t="shared" si="0"/>
        <v>0.64182694854185907</v>
      </c>
      <c r="L13" s="694">
        <f t="shared" si="0"/>
        <v>0.66173404536562186</v>
      </c>
      <c r="M13" s="694">
        <f t="shared" si="0"/>
        <v>0.6506328096491214</v>
      </c>
      <c r="N13" s="694">
        <f t="shared" si="0"/>
        <v>0.64848979426034969</v>
      </c>
      <c r="O13" s="694">
        <f t="shared" si="0"/>
        <v>0.65021944188848368</v>
      </c>
      <c r="P13" s="709">
        <v>0.65</v>
      </c>
    </row>
    <row r="14" spans="1:54" ht="21" customHeight="1">
      <c r="A14" s="403"/>
      <c r="B14" s="708" t="s">
        <v>62</v>
      </c>
      <c r="C14" s="707"/>
      <c r="D14" s="706">
        <f>D7-D12</f>
        <v>719.56500000000005</v>
      </c>
      <c r="E14" s="706">
        <f>E7-E12</f>
        <v>807.36699999999996</v>
      </c>
      <c r="F14" s="706">
        <f>F7-F12</f>
        <v>779.75600000000009</v>
      </c>
      <c r="G14" s="706">
        <f>H14-F14-E14-D14</f>
        <v>725.60699999999883</v>
      </c>
      <c r="H14" s="706">
        <f>H7-H12</f>
        <v>3032.2949999999992</v>
      </c>
      <c r="I14" s="706">
        <f>I7-I12</f>
        <v>757.57199999999989</v>
      </c>
      <c r="J14" s="706">
        <f>J7-J12</f>
        <v>857.39899999999989</v>
      </c>
      <c r="K14" s="706">
        <f>K7-K12</f>
        <v>845.27299999999991</v>
      </c>
      <c r="L14" s="706">
        <f>M14-K14-J14-I14</f>
        <v>799.70299999999929</v>
      </c>
      <c r="M14" s="706">
        <f>M7-M12</f>
        <v>3259.9469999999992</v>
      </c>
      <c r="N14" s="706">
        <f>N7-N12</f>
        <v>3103.6566666666649</v>
      </c>
      <c r="O14" s="706">
        <f>O7-O12</f>
        <v>3240.9759999999997</v>
      </c>
      <c r="P14" s="706">
        <f>P7-P12</f>
        <v>3592.436925</v>
      </c>
    </row>
    <row r="15" spans="1:54" ht="12.75" customHeight="1">
      <c r="A15" s="374"/>
      <c r="B15" s="690"/>
      <c r="C15" s="689" t="s">
        <v>43</v>
      </c>
      <c r="D15" s="694">
        <f t="shared" ref="D15:P15" si="1">D14/D9</f>
        <v>0.3603336302875248</v>
      </c>
      <c r="E15" s="694">
        <f t="shared" si="1"/>
        <v>0.35674180761578123</v>
      </c>
      <c r="F15" s="694">
        <f t="shared" si="1"/>
        <v>0.36210541958163739</v>
      </c>
      <c r="G15" s="694">
        <f t="shared" si="1"/>
        <v>0.33996945177174998</v>
      </c>
      <c r="H15" s="694">
        <f t="shared" si="1"/>
        <v>0.35474421300832309</v>
      </c>
      <c r="I15" s="694">
        <f t="shared" si="1"/>
        <v>0.35264003366403091</v>
      </c>
      <c r="J15" s="694">
        <f t="shared" si="1"/>
        <v>0.34872953946822544</v>
      </c>
      <c r="K15" s="694">
        <f t="shared" si="1"/>
        <v>0.35817305145814093</v>
      </c>
      <c r="L15" s="694">
        <f t="shared" si="1"/>
        <v>0.33826595463437836</v>
      </c>
      <c r="M15" s="694">
        <f t="shared" si="1"/>
        <v>0.34936719035087854</v>
      </c>
      <c r="N15" s="694">
        <f t="shared" si="1"/>
        <v>0.35151020573965036</v>
      </c>
      <c r="O15" s="694">
        <f t="shared" si="1"/>
        <v>0.34978055811151632</v>
      </c>
      <c r="P15" s="694">
        <f t="shared" si="1"/>
        <v>0.35000000000000003</v>
      </c>
    </row>
    <row r="16" spans="1:54" ht="21" customHeight="1">
      <c r="A16" s="372" t="s">
        <v>49</v>
      </c>
      <c r="B16" s="373"/>
      <c r="C16" s="373"/>
      <c r="D16" s="705"/>
      <c r="E16" s="705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</row>
    <row r="17" spans="1:16" ht="12.75" customHeight="1">
      <c r="A17" s="374"/>
      <c r="B17" s="373" t="s">
        <v>44</v>
      </c>
      <c r="C17" s="373"/>
      <c r="D17" s="699">
        <f>597.983-D22</f>
        <v>553.99099999999999</v>
      </c>
      <c r="E17" s="699">
        <f>607.002-E22</f>
        <v>562.0569999999999</v>
      </c>
      <c r="F17" s="699">
        <f>595.403-F22</f>
        <v>549.31399999999996</v>
      </c>
      <c r="G17" s="691">
        <f>H17-F17-E17-D17</f>
        <v>546.4060000000004</v>
      </c>
      <c r="H17" s="699">
        <f>2394.223-H22</f>
        <v>2211.768</v>
      </c>
      <c r="I17" s="699">
        <f>622.662-I22</f>
        <v>573.52700000000004</v>
      </c>
      <c r="J17" s="699">
        <f>636.271-J22</f>
        <v>585.44899999999996</v>
      </c>
      <c r="K17" s="699">
        <f>645.867-K22</f>
        <v>592.69399999999996</v>
      </c>
      <c r="L17" s="699">
        <f>M17-K17-J17-I17</f>
        <v>609.42799999999988</v>
      </c>
      <c r="M17" s="699">
        <f>2560.346+11.5-M22</f>
        <v>2361.098</v>
      </c>
      <c r="N17" s="691">
        <f>H17+I17+(2/3)*J17-D17-(2/3)*E17</f>
        <v>2246.8986666666669</v>
      </c>
      <c r="O17" s="692">
        <f>M17*11/12+H17*1/12</f>
        <v>2348.6538333333333</v>
      </c>
      <c r="P17" s="691">
        <f>P7*P18</f>
        <v>2596.8186915000001</v>
      </c>
    </row>
    <row r="18" spans="1:16" ht="12.75" customHeight="1">
      <c r="A18" s="374"/>
      <c r="B18" s="373"/>
      <c r="C18" s="689" t="s">
        <v>100</v>
      </c>
      <c r="D18" s="703">
        <f t="shared" ref="D18:O18" si="2">D17/D9</f>
        <v>0.27741981360490869</v>
      </c>
      <c r="E18" s="703">
        <f t="shared" si="2"/>
        <v>0.24834954879640006</v>
      </c>
      <c r="F18" s="703">
        <f t="shared" si="2"/>
        <v>0.25509207553653646</v>
      </c>
      <c r="G18" s="703">
        <f t="shared" si="2"/>
        <v>0.25600820866501461</v>
      </c>
      <c r="H18" s="703">
        <f t="shared" si="2"/>
        <v>0.25875183599121887</v>
      </c>
      <c r="I18" s="703">
        <f t="shared" si="2"/>
        <v>0.2669694505436192</v>
      </c>
      <c r="J18" s="703">
        <f t="shared" si="2"/>
        <v>0.23811942882150916</v>
      </c>
      <c r="K18" s="703">
        <f t="shared" si="2"/>
        <v>0.25114610139083043</v>
      </c>
      <c r="L18" s="703">
        <f t="shared" si="2"/>
        <v>0.25778163168191204</v>
      </c>
      <c r="M18" s="704">
        <f t="shared" si="2"/>
        <v>0.25303790963567163</v>
      </c>
      <c r="N18" s="703">
        <f t="shared" si="2"/>
        <v>0.25447654087473592</v>
      </c>
      <c r="O18" s="704">
        <f t="shared" si="2"/>
        <v>0.2534771774410195</v>
      </c>
      <c r="P18" s="702">
        <v>0.253</v>
      </c>
    </row>
    <row r="19" spans="1:16" ht="12.75" customHeight="1">
      <c r="A19" s="374"/>
      <c r="B19" s="372" t="s">
        <v>50</v>
      </c>
      <c r="C19" s="373"/>
      <c r="D19" s="682">
        <f>D17</f>
        <v>553.99099999999999</v>
      </c>
      <c r="E19" s="682">
        <f>E17</f>
        <v>562.0569999999999</v>
      </c>
      <c r="F19" s="682">
        <f>F17</f>
        <v>549.31399999999996</v>
      </c>
      <c r="G19" s="682">
        <f>H19-F19-E19-D19</f>
        <v>546.4060000000004</v>
      </c>
      <c r="H19" s="682">
        <f>H17</f>
        <v>2211.768</v>
      </c>
      <c r="I19" s="682">
        <f>I17</f>
        <v>573.52700000000004</v>
      </c>
      <c r="J19" s="682">
        <f>J17</f>
        <v>585.44899999999996</v>
      </c>
      <c r="K19" s="682">
        <f>K17</f>
        <v>592.69399999999996</v>
      </c>
      <c r="L19" s="682">
        <f>M19-K19-J19-I19</f>
        <v>609.42799999999988</v>
      </c>
      <c r="M19" s="682">
        <f>M17</f>
        <v>2361.098</v>
      </c>
      <c r="N19" s="682">
        <f>N17</f>
        <v>2246.8986666666669</v>
      </c>
      <c r="O19" s="682">
        <f>O17</f>
        <v>2348.6538333333333</v>
      </c>
      <c r="P19" s="682">
        <f>P17</f>
        <v>2596.8186915000001</v>
      </c>
    </row>
    <row r="20" spans="1:16" ht="21" customHeight="1">
      <c r="A20" s="374"/>
      <c r="B20" s="372" t="s">
        <v>2</v>
      </c>
      <c r="C20" s="683"/>
      <c r="D20" s="682">
        <f>D14-D19</f>
        <v>165.57400000000007</v>
      </c>
      <c r="E20" s="682">
        <f>E14-E19</f>
        <v>245.31000000000006</v>
      </c>
      <c r="F20" s="682">
        <f>F14-F19</f>
        <v>230.44200000000012</v>
      </c>
      <c r="G20" s="682">
        <f>H20-F20-E20-D20</f>
        <v>179.20099999999888</v>
      </c>
      <c r="H20" s="682">
        <f>H14-H19</f>
        <v>820.52699999999913</v>
      </c>
      <c r="I20" s="682">
        <f>I14-I19</f>
        <v>184.04499999999985</v>
      </c>
      <c r="J20" s="682">
        <f>J14-J19</f>
        <v>271.94999999999993</v>
      </c>
      <c r="K20" s="682">
        <f>K14-K19</f>
        <v>252.57899999999995</v>
      </c>
      <c r="L20" s="682">
        <f>M20-K20-J20-I20</f>
        <v>190.27499999999952</v>
      </c>
      <c r="M20" s="682">
        <f>M14-M19</f>
        <v>898.84899999999925</v>
      </c>
      <c r="N20" s="682">
        <f>N14-N19</f>
        <v>856.75799999999799</v>
      </c>
      <c r="O20" s="682">
        <f>O14-O19</f>
        <v>892.32216666666636</v>
      </c>
      <c r="P20" s="682">
        <f>P14-P19</f>
        <v>995.61823349999986</v>
      </c>
    </row>
    <row r="21" spans="1:16" ht="12.75" customHeight="1">
      <c r="A21" s="374"/>
      <c r="B21" s="690"/>
      <c r="C21" s="689" t="s">
        <v>45</v>
      </c>
      <c r="D21" s="694">
        <f t="shared" ref="D21:P21" si="3">D20/D9</f>
        <v>8.291381668261609E-2</v>
      </c>
      <c r="E21" s="694">
        <f t="shared" si="3"/>
        <v>0.10839225881938118</v>
      </c>
      <c r="F21" s="694">
        <f t="shared" si="3"/>
        <v>0.10701334404510093</v>
      </c>
      <c r="G21" s="694">
        <f t="shared" si="3"/>
        <v>8.3961243106735584E-2</v>
      </c>
      <c r="H21" s="694">
        <f t="shared" si="3"/>
        <v>9.5992377017104238E-2</v>
      </c>
      <c r="I21" s="694">
        <f t="shared" si="3"/>
        <v>8.5670583120411689E-2</v>
      </c>
      <c r="J21" s="694">
        <f t="shared" si="3"/>
        <v>0.11061011064671629</v>
      </c>
      <c r="K21" s="694">
        <f t="shared" si="3"/>
        <v>0.10702695006731053</v>
      </c>
      <c r="L21" s="694">
        <f t="shared" si="3"/>
        <v>8.0484322952466408E-2</v>
      </c>
      <c r="M21" s="694">
        <f t="shared" si="3"/>
        <v>9.6329280715206925E-2</v>
      </c>
      <c r="N21" s="694">
        <f t="shared" si="3"/>
        <v>9.7033664864914451E-2</v>
      </c>
      <c r="O21" s="694">
        <f t="shared" si="3"/>
        <v>9.6303380670496819E-2</v>
      </c>
      <c r="P21" s="694">
        <f t="shared" si="3"/>
        <v>9.6999999999999989E-2</v>
      </c>
    </row>
    <row r="22" spans="1:16" ht="21" customHeight="1">
      <c r="A22" s="374"/>
      <c r="B22" s="373" t="s">
        <v>46</v>
      </c>
      <c r="C22" s="373"/>
      <c r="D22" s="701">
        <v>43.991999999999997</v>
      </c>
      <c r="E22" s="701">
        <f>88.937-D22</f>
        <v>44.945</v>
      </c>
      <c r="F22" s="701">
        <f>135.026-88.937</f>
        <v>46.089000000000013</v>
      </c>
      <c r="G22" s="700">
        <f>H22-F22-E22-D22</f>
        <v>47.428999999999995</v>
      </c>
      <c r="H22" s="701">
        <v>182.45500000000001</v>
      </c>
      <c r="I22" s="701">
        <v>49.134999999999998</v>
      </c>
      <c r="J22" s="701">
        <f>99.957-I22</f>
        <v>50.821999999999996</v>
      </c>
      <c r="K22" s="701">
        <f>153.13-99.957</f>
        <v>53.173000000000002</v>
      </c>
      <c r="L22" s="701">
        <f>M22-K22-J22-I22</f>
        <v>57.617999999999988</v>
      </c>
      <c r="M22" s="701">
        <v>210.74799999999999</v>
      </c>
      <c r="N22" s="700">
        <f>H22+I22+(2/3)*J22-D22-(2/3)*E22</f>
        <v>191.51600000000002</v>
      </c>
      <c r="O22" s="692">
        <f>M22*11/12+H22*1/12</f>
        <v>208.39025000000001</v>
      </c>
      <c r="P22" s="700">
        <f>P7*P23</f>
        <v>231.96878429999998</v>
      </c>
    </row>
    <row r="23" spans="1:16" ht="12.75">
      <c r="A23" s="374"/>
      <c r="B23" s="679"/>
      <c r="C23" s="679" t="s">
        <v>187</v>
      </c>
      <c r="D23" s="688">
        <f t="shared" ref="D23:O23" si="4">D22/D9</f>
        <v>2.2029694417611736E-2</v>
      </c>
      <c r="E23" s="688">
        <f t="shared" si="4"/>
        <v>1.98593211554241E-2</v>
      </c>
      <c r="F23" s="688">
        <f t="shared" si="4"/>
        <v>2.1402947438811742E-2</v>
      </c>
      <c r="G23" s="688">
        <f t="shared" si="4"/>
        <v>2.2221961927162161E-2</v>
      </c>
      <c r="H23" s="688">
        <f t="shared" si="4"/>
        <v>2.1345171028687385E-2</v>
      </c>
      <c r="I23" s="688">
        <f t="shared" si="4"/>
        <v>2.2871711275076374E-2</v>
      </c>
      <c r="J23" s="688">
        <f t="shared" si="4"/>
        <v>2.0670810969984982E-2</v>
      </c>
      <c r="K23" s="688">
        <f t="shared" si="4"/>
        <v>2.2531342732092154E-2</v>
      </c>
      <c r="L23" s="688">
        <f t="shared" si="4"/>
        <v>2.4371807751282195E-2</v>
      </c>
      <c r="M23" s="688">
        <f t="shared" si="4"/>
        <v>2.2585777201919836E-2</v>
      </c>
      <c r="N23" s="688">
        <f t="shared" si="4"/>
        <v>2.1690488282886184E-2</v>
      </c>
      <c r="O23" s="688">
        <f t="shared" si="4"/>
        <v>2.249040349265111E-2</v>
      </c>
      <c r="P23" s="688">
        <v>2.2599999999999999E-2</v>
      </c>
    </row>
    <row r="24" spans="1:16" ht="21" customHeight="1">
      <c r="A24" s="374"/>
      <c r="B24" s="372" t="s">
        <v>1</v>
      </c>
      <c r="C24" s="683"/>
      <c r="D24" s="682">
        <f>D20-D22</f>
        <v>121.58200000000008</v>
      </c>
      <c r="E24" s="682">
        <f>E20-E22</f>
        <v>200.36500000000007</v>
      </c>
      <c r="F24" s="682">
        <f>F20-F22</f>
        <v>184.35300000000012</v>
      </c>
      <c r="G24" s="682">
        <f>H24-F24-E24-D24</f>
        <v>131.77199999999883</v>
      </c>
      <c r="H24" s="682">
        <f>H20-H22</f>
        <v>638.07199999999909</v>
      </c>
      <c r="I24" s="682">
        <f>I20-I22</f>
        <v>134.90999999999985</v>
      </c>
      <c r="J24" s="682">
        <f>J20-J22</f>
        <v>221.12799999999993</v>
      </c>
      <c r="K24" s="682">
        <f>K20-K22</f>
        <v>199.40599999999995</v>
      </c>
      <c r="L24" s="682">
        <f>M24-K24-J24-I24</f>
        <v>132.65699999999947</v>
      </c>
      <c r="M24" s="682">
        <f>M20-M22</f>
        <v>688.1009999999992</v>
      </c>
      <c r="N24" s="682">
        <f>N20-N22</f>
        <v>665.24199999999792</v>
      </c>
      <c r="O24" s="682">
        <f>O20-O22</f>
        <v>683.93191666666632</v>
      </c>
      <c r="P24" s="682">
        <f>P20-P22</f>
        <v>763.64944919999994</v>
      </c>
    </row>
    <row r="25" spans="1:16" ht="12.75" customHeight="1">
      <c r="A25" s="374"/>
      <c r="B25" s="373"/>
      <c r="C25" s="690" t="s">
        <v>47</v>
      </c>
      <c r="D25" s="694">
        <f t="shared" ref="D25:P25" si="5">D24/D9</f>
        <v>6.0884122265004365E-2</v>
      </c>
      <c r="E25" s="694">
        <f t="shared" si="5"/>
        <v>8.8532937663957076E-2</v>
      </c>
      <c r="F25" s="694">
        <f t="shared" si="5"/>
        <v>8.5610396606289191E-2</v>
      </c>
      <c r="G25" s="694">
        <f t="shared" si="5"/>
        <v>6.1739281179573398E-2</v>
      </c>
      <c r="H25" s="694">
        <f t="shared" si="5"/>
        <v>7.4647205988416857E-2</v>
      </c>
      <c r="I25" s="694">
        <f t="shared" si="5"/>
        <v>6.2798871845335308E-2</v>
      </c>
      <c r="J25" s="694">
        <f t="shared" si="5"/>
        <v>8.9939299676731296E-2</v>
      </c>
      <c r="K25" s="694">
        <f t="shared" si="5"/>
        <v>8.4495607335218381E-2</v>
      </c>
      <c r="L25" s="694">
        <f t="shared" si="5"/>
        <v>5.6112515201184182E-2</v>
      </c>
      <c r="M25" s="694">
        <f t="shared" si="5"/>
        <v>7.3743503513287081E-2</v>
      </c>
      <c r="N25" s="694">
        <f t="shared" si="5"/>
        <v>7.5343176582028257E-2</v>
      </c>
      <c r="O25" s="694">
        <f t="shared" si="5"/>
        <v>7.3812977177845698E-2</v>
      </c>
      <c r="P25" s="694">
        <f t="shared" si="5"/>
        <v>7.4399999999999994E-2</v>
      </c>
    </row>
    <row r="26" spans="1:16" ht="21" customHeight="1">
      <c r="A26" s="378" t="s">
        <v>87</v>
      </c>
      <c r="B26" s="373"/>
      <c r="C26" s="690"/>
      <c r="D26" s="694"/>
      <c r="E26" s="694"/>
      <c r="F26" s="694"/>
      <c r="G26" s="694"/>
      <c r="H26" s="694"/>
      <c r="I26" s="694"/>
      <c r="J26" s="694"/>
      <c r="K26" s="694"/>
      <c r="L26" s="694"/>
      <c r="M26" s="694"/>
      <c r="N26" s="694"/>
      <c r="O26" s="694"/>
      <c r="P26" s="694"/>
    </row>
    <row r="27" spans="1:16" ht="12.75" customHeight="1">
      <c r="A27" s="374"/>
      <c r="B27" s="373" t="s">
        <v>165</v>
      </c>
      <c r="C27" s="373"/>
      <c r="D27" s="699">
        <v>3.5179999999999998</v>
      </c>
      <c r="E27" s="699">
        <v>4.5819999999999999</v>
      </c>
      <c r="F27" s="699">
        <v>7.1440000000000001</v>
      </c>
      <c r="G27" s="691">
        <f>H27-F27-E27-D27</f>
        <v>7.2020000000000026</v>
      </c>
      <c r="H27" s="699">
        <v>22.446000000000002</v>
      </c>
      <c r="I27" s="699">
        <v>6.7119999999999997</v>
      </c>
      <c r="J27" s="699">
        <v>6.4249999999999998</v>
      </c>
      <c r="K27" s="699">
        <v>5.6349999999999998</v>
      </c>
      <c r="L27" s="699">
        <f>M27-K27-J27-I27</f>
        <v>6.3179999999999978</v>
      </c>
      <c r="M27" s="699">
        <v>25.09</v>
      </c>
      <c r="N27" s="691">
        <f>H27+I27+(2/3)*J27-D27-(2/3)*E27</f>
        <v>26.868666666666666</v>
      </c>
      <c r="O27" s="692">
        <f>M27*11/12+H27*1/12</f>
        <v>24.869666666666667</v>
      </c>
      <c r="P27" s="698">
        <f>M27</f>
        <v>25.09</v>
      </c>
    </row>
    <row r="28" spans="1:16" ht="12.75" customHeight="1">
      <c r="A28" s="374"/>
      <c r="B28" s="373" t="s">
        <v>48</v>
      </c>
      <c r="C28" s="373"/>
      <c r="D28" s="697">
        <v>0.38700000000000001</v>
      </c>
      <c r="E28" s="697">
        <v>0.42199999999999999</v>
      </c>
      <c r="F28" s="697">
        <v>0.45500000000000002</v>
      </c>
      <c r="G28" s="696">
        <f>H28-F28-E28-D28</f>
        <v>0.26800000000000002</v>
      </c>
      <c r="H28" s="697">
        <v>1.532</v>
      </c>
      <c r="I28" s="697">
        <v>0.23400000000000001</v>
      </c>
      <c r="J28" s="697">
        <v>0.20799999999999999</v>
      </c>
      <c r="K28" s="697">
        <v>0.27400000000000002</v>
      </c>
      <c r="L28" s="697">
        <f>M28-K28-J28-I28</f>
        <v>0.21100000000000005</v>
      </c>
      <c r="M28" s="697">
        <v>0.92700000000000005</v>
      </c>
      <c r="N28" s="696">
        <f>H28+I28+(2/3)*J28-D28-(2/3)*E28</f>
        <v>1.2363333333333335</v>
      </c>
      <c r="O28" s="696">
        <f>M28*11/12+H28*1/12</f>
        <v>0.97741666666666682</v>
      </c>
      <c r="P28" s="696">
        <f>M28</f>
        <v>0.92700000000000005</v>
      </c>
    </row>
    <row r="29" spans="1:16" ht="12.75" customHeight="1">
      <c r="A29" s="374"/>
      <c r="B29" s="372" t="s">
        <v>86</v>
      </c>
      <c r="C29" s="373"/>
      <c r="D29" s="695">
        <f>D28-D27</f>
        <v>-3.1309999999999998</v>
      </c>
      <c r="E29" s="695">
        <f>E28-E27</f>
        <v>-4.16</v>
      </c>
      <c r="F29" s="695">
        <f>F28-F27</f>
        <v>-6.6890000000000001</v>
      </c>
      <c r="G29" s="695">
        <f>H29-F29-E29-D29</f>
        <v>-6.9340000000000011</v>
      </c>
      <c r="H29" s="695">
        <f>H28-H27</f>
        <v>-20.914000000000001</v>
      </c>
      <c r="I29" s="695">
        <f>I28-I27</f>
        <v>-6.4779999999999998</v>
      </c>
      <c r="J29" s="695">
        <f>J28-J27</f>
        <v>-6.2169999999999996</v>
      </c>
      <c r="K29" s="695">
        <f>K28-K27</f>
        <v>-5.3609999999999998</v>
      </c>
      <c r="L29" s="695">
        <f>M29-K29-J29-I29</f>
        <v>-6.1070000000000011</v>
      </c>
      <c r="M29" s="695">
        <f>M28-M27</f>
        <v>-24.163</v>
      </c>
      <c r="N29" s="695">
        <f>N28-N27</f>
        <v>-25.632333333333332</v>
      </c>
      <c r="O29" s="695">
        <f>O28-O27</f>
        <v>-23.892250000000001</v>
      </c>
      <c r="P29" s="695">
        <f>P28-P27</f>
        <v>-24.163</v>
      </c>
    </row>
    <row r="30" spans="1:16" ht="21" customHeight="1">
      <c r="A30" s="374"/>
      <c r="B30" s="372" t="s">
        <v>52</v>
      </c>
      <c r="C30" s="373"/>
      <c r="D30" s="682">
        <f>D24+D29</f>
        <v>118.45100000000008</v>
      </c>
      <c r="E30" s="682">
        <f>E24+E29</f>
        <v>196.20500000000007</v>
      </c>
      <c r="F30" s="682">
        <f>F24+F29</f>
        <v>177.66400000000013</v>
      </c>
      <c r="G30" s="682">
        <f>H30-F30-E30-D30</f>
        <v>124.83799999999886</v>
      </c>
      <c r="H30" s="682">
        <f>H24+H29</f>
        <v>617.15799999999911</v>
      </c>
      <c r="I30" s="682">
        <f>I24+I29</f>
        <v>128.43199999999985</v>
      </c>
      <c r="J30" s="682">
        <f>J24+J29</f>
        <v>214.91099999999992</v>
      </c>
      <c r="K30" s="682">
        <f>K24+K29</f>
        <v>194.04499999999996</v>
      </c>
      <c r="L30" s="682">
        <f>M30-K30-J30-I30</f>
        <v>126.54999999999947</v>
      </c>
      <c r="M30" s="682">
        <f>M24+M29</f>
        <v>663.93799999999919</v>
      </c>
      <c r="N30" s="682">
        <f>N24+N29</f>
        <v>639.60966666666457</v>
      </c>
      <c r="O30" s="682">
        <f>O24+O29</f>
        <v>660.03966666666634</v>
      </c>
      <c r="P30" s="682">
        <f>P24+P29</f>
        <v>739.48644919999992</v>
      </c>
    </row>
    <row r="31" spans="1:16" ht="12.75" customHeight="1">
      <c r="A31" s="374"/>
      <c r="B31" s="690"/>
      <c r="C31" s="689" t="s">
        <v>54</v>
      </c>
      <c r="D31" s="694">
        <f t="shared" ref="D31:P31" si="6">D30/D9</f>
        <v>5.9316224164860189E-2</v>
      </c>
      <c r="E31" s="694">
        <f t="shared" si="6"/>
        <v>8.6694807148737049E-2</v>
      </c>
      <c r="F31" s="694">
        <f t="shared" si="6"/>
        <v>8.2504138813362216E-2</v>
      </c>
      <c r="G31" s="694">
        <f t="shared" si="6"/>
        <v>5.8490486475849056E-2</v>
      </c>
      <c r="H31" s="694">
        <f t="shared" si="6"/>
        <v>7.2200504572210292E-2</v>
      </c>
      <c r="I31" s="694">
        <f t="shared" si="6"/>
        <v>5.9783446066563668E-2</v>
      </c>
      <c r="J31" s="694">
        <f t="shared" si="6"/>
        <v>8.7410661846649904E-2</v>
      </c>
      <c r="K31" s="694">
        <f t="shared" si="6"/>
        <v>8.2223955775465388E-2</v>
      </c>
      <c r="L31" s="694">
        <f t="shared" si="6"/>
        <v>5.3529318458203162E-2</v>
      </c>
      <c r="M31" s="694">
        <f t="shared" si="6"/>
        <v>7.1153964658683524E-2</v>
      </c>
      <c r="N31" s="694">
        <f t="shared" si="6"/>
        <v>7.2440140669468994E-2</v>
      </c>
      <c r="O31" s="694">
        <f t="shared" si="6"/>
        <v>7.1234419194219814E-2</v>
      </c>
      <c r="P31" s="694">
        <f t="shared" si="6"/>
        <v>7.2045873768542226E-2</v>
      </c>
    </row>
    <row r="32" spans="1:16" ht="21" customHeight="1">
      <c r="A32" s="374"/>
      <c r="B32" s="373" t="s">
        <v>55</v>
      </c>
      <c r="C32" s="373"/>
      <c r="D32" s="693">
        <v>44.136000000000003</v>
      </c>
      <c r="E32" s="693">
        <v>73.025000000000006</v>
      </c>
      <c r="F32" s="693">
        <v>66.563000000000002</v>
      </c>
      <c r="G32" s="691">
        <f>H32-F32-E32-D32</f>
        <v>44.988999999999969</v>
      </c>
      <c r="H32" s="693">
        <v>228.71299999999999</v>
      </c>
      <c r="I32" s="693">
        <v>48.082000000000001</v>
      </c>
      <c r="J32" s="693">
        <v>78.492000000000004</v>
      </c>
      <c r="K32" s="693">
        <v>69.504999999999995</v>
      </c>
      <c r="L32" s="693">
        <f>M32-K32-J32-I32</f>
        <v>45.619000000000007</v>
      </c>
      <c r="M32" s="693">
        <v>241.69800000000001</v>
      </c>
      <c r="N32" s="691">
        <f>H32+I32+(2/3)*J32-D32-(2/3)*E32</f>
        <v>236.30366666666669</v>
      </c>
      <c r="O32" s="692">
        <f>M32*11/12+H32*1/12</f>
        <v>240.61591666666666</v>
      </c>
      <c r="P32" s="691">
        <f>P30*P33</f>
        <v>266.21512171199998</v>
      </c>
    </row>
    <row r="33" spans="1:16" ht="12.75" customHeight="1">
      <c r="A33" s="374"/>
      <c r="B33" s="690"/>
      <c r="C33" s="689" t="s">
        <v>53</v>
      </c>
      <c r="D33" s="688">
        <f t="shared" ref="D33:O33" si="7">D32/D30</f>
        <v>0.3726097711289898</v>
      </c>
      <c r="E33" s="688">
        <f t="shared" si="7"/>
        <v>0.37218725312810569</v>
      </c>
      <c r="F33" s="688">
        <f t="shared" si="7"/>
        <v>0.37465665525936576</v>
      </c>
      <c r="G33" s="688">
        <f t="shared" si="7"/>
        <v>0.36037905125042358</v>
      </c>
      <c r="H33" s="688">
        <f t="shared" si="7"/>
        <v>0.37059067532139311</v>
      </c>
      <c r="I33" s="688">
        <f t="shared" si="7"/>
        <v>0.37437710227980608</v>
      </c>
      <c r="J33" s="688">
        <f t="shared" si="7"/>
        <v>0.3652302581068444</v>
      </c>
      <c r="K33" s="688">
        <f t="shared" si="7"/>
        <v>0.35819011054136934</v>
      </c>
      <c r="L33" s="688">
        <f t="shared" si="7"/>
        <v>0.36048202291584508</v>
      </c>
      <c r="M33" s="688">
        <f t="shared" si="7"/>
        <v>0.36403700345514234</v>
      </c>
      <c r="N33" s="688">
        <f t="shared" si="7"/>
        <v>0.36944980506340191</v>
      </c>
      <c r="O33" s="688">
        <f t="shared" si="7"/>
        <v>0.36454766102441338</v>
      </c>
      <c r="P33" s="687">
        <v>0.36</v>
      </c>
    </row>
    <row r="34" spans="1:16" ht="21" customHeight="1">
      <c r="A34" s="374"/>
      <c r="B34" s="372" t="s">
        <v>59</v>
      </c>
      <c r="C34" s="373"/>
      <c r="D34" s="682">
        <f>D30-D32</f>
        <v>74.315000000000083</v>
      </c>
      <c r="E34" s="682">
        <f>E30-E32</f>
        <v>123.18000000000006</v>
      </c>
      <c r="F34" s="682">
        <f>F30-F32</f>
        <v>111.10100000000013</v>
      </c>
      <c r="G34" s="682">
        <f>H34-F34-E34-D34</f>
        <v>79.848999999998881</v>
      </c>
      <c r="H34" s="682">
        <f>H30-H32</f>
        <v>388.44499999999914</v>
      </c>
      <c r="I34" s="682">
        <f>I30-I32</f>
        <v>80.349999999999852</v>
      </c>
      <c r="J34" s="682">
        <f>J30-J32</f>
        <v>136.41899999999993</v>
      </c>
      <c r="K34" s="682">
        <f>K30-K32</f>
        <v>124.53999999999996</v>
      </c>
      <c r="L34" s="682">
        <f>M34-K34-J34-I34</f>
        <v>80.930999999999472</v>
      </c>
      <c r="M34" s="682">
        <f>M30-M32</f>
        <v>422.23999999999921</v>
      </c>
      <c r="N34" s="682">
        <f>N30-N32</f>
        <v>403.30599999999788</v>
      </c>
      <c r="O34" s="682">
        <f>O30-O32</f>
        <v>419.4237499999997</v>
      </c>
      <c r="P34" s="682">
        <f>P30-P32</f>
        <v>473.27132748799994</v>
      </c>
    </row>
    <row r="35" spans="1:16" ht="21" customHeight="1">
      <c r="A35" s="372" t="s">
        <v>60</v>
      </c>
      <c r="B35" s="373"/>
      <c r="C35" s="373"/>
      <c r="D35" s="686"/>
      <c r="E35" s="686"/>
      <c r="F35" s="686"/>
      <c r="G35" s="686"/>
      <c r="H35" s="686"/>
      <c r="I35" s="686"/>
      <c r="J35" s="686"/>
      <c r="K35" s="686"/>
      <c r="L35" s="686"/>
      <c r="M35" s="686"/>
      <c r="N35" s="686"/>
      <c r="O35" s="686"/>
      <c r="P35" s="686"/>
    </row>
    <row r="36" spans="1:16" ht="12.75" customHeight="1">
      <c r="A36" s="374"/>
      <c r="B36" s="373" t="s">
        <v>4</v>
      </c>
      <c r="C36" s="373"/>
      <c r="D36" s="685">
        <f t="shared" ref="D36:P36" si="8">D34/D39</f>
        <v>0.58065851981497751</v>
      </c>
      <c r="E36" s="685">
        <f t="shared" si="8"/>
        <v>0.98845280414704073</v>
      </c>
      <c r="F36" s="685">
        <f t="shared" si="8"/>
        <v>0.91406545669952222</v>
      </c>
      <c r="G36" s="685">
        <f t="shared" si="8"/>
        <v>0.65449999999999087</v>
      </c>
      <c r="H36" s="685">
        <f t="shared" si="8"/>
        <v>3.148873216601809</v>
      </c>
      <c r="I36" s="685">
        <f t="shared" si="8"/>
        <v>0.68296373109843567</v>
      </c>
      <c r="J36" s="685">
        <f t="shared" si="8"/>
        <v>1.1607361649989782</v>
      </c>
      <c r="K36" s="685">
        <f t="shared" si="8"/>
        <v>1.0661302058810938</v>
      </c>
      <c r="L36" s="685">
        <f t="shared" si="8"/>
        <v>0.69171794871794423</v>
      </c>
      <c r="M36" s="685">
        <f t="shared" si="8"/>
        <v>3.6058993825631678</v>
      </c>
      <c r="N36" s="685">
        <f t="shared" si="8"/>
        <v>3.4470598290598109</v>
      </c>
      <c r="O36" s="685">
        <f t="shared" si="8"/>
        <v>3.5818488091069773</v>
      </c>
      <c r="P36" s="685">
        <f t="shared" si="8"/>
        <v>4.1010315138349478</v>
      </c>
    </row>
    <row r="37" spans="1:16" ht="12.75" customHeight="1">
      <c r="A37" s="374"/>
      <c r="B37" s="376" t="s">
        <v>5</v>
      </c>
      <c r="C37" s="373"/>
      <c r="D37" s="684">
        <f t="shared" ref="D37:P37" si="9">D34/D40</f>
        <v>0.57545628421647721</v>
      </c>
      <c r="E37" s="684">
        <f t="shared" si="9"/>
        <v>0.97994447140436491</v>
      </c>
      <c r="F37" s="684">
        <f t="shared" si="9"/>
        <v>0.90579343855987582</v>
      </c>
      <c r="G37" s="684">
        <f t="shared" si="9"/>
        <v>0.64917886178860884</v>
      </c>
      <c r="H37" s="684">
        <f t="shared" si="9"/>
        <v>3.1203910479893251</v>
      </c>
      <c r="I37" s="684">
        <f t="shared" si="9"/>
        <v>0.67753876769737886</v>
      </c>
      <c r="J37" s="684">
        <f t="shared" si="9"/>
        <v>1.1531224641601292</v>
      </c>
      <c r="K37" s="684">
        <f t="shared" si="9"/>
        <v>1.0587165166237362</v>
      </c>
      <c r="L37" s="684">
        <f t="shared" si="9"/>
        <v>0.68585593220338537</v>
      </c>
      <c r="M37" s="684">
        <f t="shared" si="9"/>
        <v>3.5765471209066662</v>
      </c>
      <c r="N37" s="684">
        <f t="shared" si="9"/>
        <v>3.4178474576271007</v>
      </c>
      <c r="O37" s="684">
        <f t="shared" si="9"/>
        <v>3.5526923207237093</v>
      </c>
      <c r="P37" s="684">
        <f t="shared" si="9"/>
        <v>4.092817506261512</v>
      </c>
    </row>
    <row r="38" spans="1:16" ht="21" customHeight="1">
      <c r="A38" s="372" t="s">
        <v>61</v>
      </c>
      <c r="B38" s="373"/>
      <c r="C38" s="683"/>
      <c r="D38" s="682"/>
      <c r="E38" s="682"/>
      <c r="F38" s="682"/>
      <c r="G38" s="682"/>
      <c r="H38" s="682"/>
      <c r="I38" s="682"/>
      <c r="J38" s="682"/>
      <c r="K38" s="682"/>
      <c r="L38" s="682"/>
      <c r="M38" s="682"/>
      <c r="N38" s="682"/>
      <c r="O38" s="682"/>
      <c r="P38" s="682"/>
    </row>
    <row r="39" spans="1:16" ht="12.75" customHeight="1">
      <c r="A39" s="374"/>
      <c r="B39" s="373" t="s">
        <v>4</v>
      </c>
      <c r="C39" s="373"/>
      <c r="D39" s="681">
        <v>127.98399999999999</v>
      </c>
      <c r="E39" s="681">
        <v>124.619</v>
      </c>
      <c r="F39" s="681">
        <v>121.54600000000001</v>
      </c>
      <c r="G39" s="681">
        <v>122</v>
      </c>
      <c r="H39" s="681">
        <f>123.36</f>
        <v>123.36</v>
      </c>
      <c r="I39" s="681">
        <v>117.649</v>
      </c>
      <c r="J39" s="681">
        <v>117.52800000000001</v>
      </c>
      <c r="K39" s="681">
        <v>116.815</v>
      </c>
      <c r="L39" s="681">
        <v>117</v>
      </c>
      <c r="M39" s="681">
        <v>117.09699999999999</v>
      </c>
      <c r="N39" s="681">
        <v>117</v>
      </c>
      <c r="O39" s="681">
        <v>117.09699999999999</v>
      </c>
      <c r="P39" s="724">
        <f>D45/1000000</f>
        <v>115.402997</v>
      </c>
    </row>
    <row r="40" spans="1:16" ht="12.75" customHeight="1">
      <c r="A40" s="680"/>
      <c r="B40" s="679" t="s">
        <v>5</v>
      </c>
      <c r="C40" s="679"/>
      <c r="D40" s="678">
        <v>129.14099999999999</v>
      </c>
      <c r="E40" s="678">
        <v>125.70099999999999</v>
      </c>
      <c r="F40" s="678">
        <v>122.65600000000001</v>
      </c>
      <c r="G40" s="678">
        <v>123</v>
      </c>
      <c r="H40" s="678">
        <v>124.486</v>
      </c>
      <c r="I40" s="678">
        <v>118.59099999999999</v>
      </c>
      <c r="J40" s="678">
        <v>118.304</v>
      </c>
      <c r="K40" s="678">
        <v>117.633</v>
      </c>
      <c r="L40" s="678">
        <v>118</v>
      </c>
      <c r="M40" s="678">
        <v>118.05800000000001</v>
      </c>
      <c r="N40" s="678">
        <v>118</v>
      </c>
      <c r="O40" s="678">
        <v>118.05800000000001</v>
      </c>
      <c r="P40" s="725">
        <f>D51/1000000</f>
        <v>115.634603</v>
      </c>
    </row>
    <row r="41" spans="1:16" ht="12.75" customHeight="1">
      <c r="A41" s="374"/>
      <c r="B41" s="373"/>
      <c r="C41" s="373"/>
      <c r="D41" s="677"/>
      <c r="E41" s="677">
        <f>E39-D39</f>
        <v>-3.3649999999999949</v>
      </c>
      <c r="F41" s="677">
        <f>F39-E39</f>
        <v>-3.0729999999999933</v>
      </c>
      <c r="G41" s="677">
        <f>G39-F39</f>
        <v>0.45399999999999352</v>
      </c>
      <c r="H41" s="677">
        <f>H39-E39</f>
        <v>-1.2590000000000003</v>
      </c>
      <c r="I41" s="677">
        <f t="shared" ref="I41:N41" si="10">I39-H39</f>
        <v>-5.7109999999999985</v>
      </c>
      <c r="J41" s="677">
        <f t="shared" si="10"/>
        <v>-0.12099999999999511</v>
      </c>
      <c r="K41" s="677">
        <f t="shared" si="10"/>
        <v>-0.71300000000000807</v>
      </c>
      <c r="L41" s="677">
        <f t="shared" si="10"/>
        <v>0.18500000000000227</v>
      </c>
      <c r="M41" s="676">
        <f t="shared" si="10"/>
        <v>9.6999999999994202E-2</v>
      </c>
      <c r="N41" s="677">
        <f t="shared" si="10"/>
        <v>-9.6999999999994202E-2</v>
      </c>
      <c r="O41" s="676"/>
      <c r="P41" s="676">
        <f>P39-N39</f>
        <v>-1.5970030000000008</v>
      </c>
    </row>
    <row r="42" spans="1:16" ht="12.75" customHeight="1">
      <c r="P42" s="675"/>
    </row>
    <row r="43" spans="1:16" ht="12.75" customHeight="1">
      <c r="A43" s="819" t="s">
        <v>312</v>
      </c>
      <c r="B43" s="820"/>
      <c r="C43" s="820"/>
      <c r="D43" s="821"/>
      <c r="P43" s="674"/>
    </row>
    <row r="44" spans="1:16" ht="12.75" customHeight="1">
      <c r="A44" s="661" t="s">
        <v>175</v>
      </c>
      <c r="B44" s="661"/>
      <c r="C44" s="661"/>
      <c r="D44" s="671">
        <v>66.12</v>
      </c>
    </row>
    <row r="45" spans="1:16" ht="12.75" customHeight="1">
      <c r="A45" s="670" t="s">
        <v>287</v>
      </c>
      <c r="B45" s="670"/>
      <c r="C45" s="673"/>
      <c r="D45" s="672">
        <v>115402997</v>
      </c>
    </row>
    <row r="46" spans="1:16" ht="20.100000000000001" customHeight="1">
      <c r="A46" s="670" t="s">
        <v>285</v>
      </c>
      <c r="B46" s="670"/>
      <c r="C46" s="670"/>
      <c r="D46" s="672">
        <v>377000</v>
      </c>
    </row>
    <row r="47" spans="1:16" ht="20.100000000000001" customHeight="1">
      <c r="A47" s="669" t="s">
        <v>283</v>
      </c>
      <c r="B47" s="669"/>
      <c r="C47" s="669"/>
      <c r="D47" s="671">
        <v>25.5</v>
      </c>
    </row>
    <row r="48" spans="1:16" ht="20.100000000000001" customHeight="1">
      <c r="A48" s="669" t="s">
        <v>284</v>
      </c>
      <c r="B48" s="669"/>
      <c r="C48" s="669"/>
      <c r="D48" s="668">
        <f>D46*D47</f>
        <v>9613500</v>
      </c>
    </row>
    <row r="49" spans="1:4" ht="20.100000000000001" customHeight="1">
      <c r="A49" s="670" t="s">
        <v>288</v>
      </c>
      <c r="B49" s="669"/>
      <c r="C49" s="669"/>
      <c r="D49" s="668">
        <f>+ROUNDDOWN(D48/D44,0)</f>
        <v>145394</v>
      </c>
    </row>
    <row r="50" spans="1:4" ht="20.100000000000001" customHeight="1">
      <c r="A50" s="667" t="s">
        <v>289</v>
      </c>
      <c r="B50" s="665"/>
      <c r="C50" s="665"/>
      <c r="D50" s="666">
        <f>D46-D49</f>
        <v>231606</v>
      </c>
    </row>
    <row r="51" spans="1:4" ht="20.100000000000001" customHeight="1">
      <c r="A51" s="659" t="s">
        <v>286</v>
      </c>
      <c r="B51" s="665"/>
      <c r="C51" s="665"/>
      <c r="D51" s="664">
        <f>D50+D45</f>
        <v>115634603</v>
      </c>
    </row>
    <row r="53" spans="1:4" ht="20.100000000000001" customHeight="1">
      <c r="A53" s="819" t="s">
        <v>310</v>
      </c>
      <c r="B53" s="820"/>
      <c r="C53" s="820"/>
      <c r="D53" s="821"/>
    </row>
    <row r="54" spans="1:4" ht="20.100000000000001" customHeight="1">
      <c r="A54" s="659" t="s">
        <v>176</v>
      </c>
      <c r="B54" s="663"/>
      <c r="C54" s="663"/>
      <c r="D54" s="662">
        <f>D51*D44/1000000</f>
        <v>7645.7599503600004</v>
      </c>
    </row>
    <row r="55" spans="1:4" ht="20.100000000000001" customHeight="1">
      <c r="A55" s="661" t="s">
        <v>34</v>
      </c>
      <c r="B55" s="661"/>
      <c r="C55" s="661"/>
      <c r="D55" s="660">
        <f>16.2+15</f>
        <v>31.2</v>
      </c>
    </row>
    <row r="56" spans="1:4" ht="20.100000000000001" customHeight="1">
      <c r="A56" s="661" t="s">
        <v>293</v>
      </c>
      <c r="B56" s="661"/>
      <c r="C56" s="661"/>
      <c r="D56" s="660">
        <v>516.32000000000005</v>
      </c>
    </row>
    <row r="57" spans="1:4" ht="20.100000000000001" customHeight="1">
      <c r="A57" s="661" t="s">
        <v>291</v>
      </c>
      <c r="B57" s="661"/>
      <c r="C57" s="661"/>
      <c r="D57" s="660">
        <v>0</v>
      </c>
    </row>
    <row r="58" spans="1:4" ht="20.100000000000001" customHeight="1">
      <c r="A58" s="661" t="s">
        <v>177</v>
      </c>
      <c r="B58" s="661"/>
      <c r="C58" s="661"/>
      <c r="D58" s="660">
        <v>0</v>
      </c>
    </row>
    <row r="59" spans="1:4" ht="20.100000000000001" customHeight="1">
      <c r="A59" s="661" t="s">
        <v>292</v>
      </c>
      <c r="B59" s="661"/>
      <c r="C59" s="661"/>
      <c r="D59" s="660">
        <v>0</v>
      </c>
    </row>
    <row r="60" spans="1:4" ht="20.100000000000001" customHeight="1">
      <c r="A60" s="661" t="s">
        <v>178</v>
      </c>
      <c r="B60" s="661"/>
      <c r="C60" s="661"/>
      <c r="D60" s="660">
        <v>0</v>
      </c>
    </row>
    <row r="61" spans="1:4" ht="20.100000000000001" customHeight="1">
      <c r="A61" s="661" t="s">
        <v>179</v>
      </c>
      <c r="B61" s="661"/>
      <c r="C61" s="661"/>
      <c r="D61" s="660">
        <v>-92.332999999999998</v>
      </c>
    </row>
    <row r="62" spans="1:4" ht="20.100000000000001" customHeight="1">
      <c r="A62" s="659" t="s">
        <v>180</v>
      </c>
      <c r="B62" s="658"/>
      <c r="C62" s="658"/>
      <c r="D62" s="657">
        <f>SUM(D54:D61)</f>
        <v>8100.9469503600003</v>
      </c>
    </row>
  </sheetData>
  <mergeCells count="2">
    <mergeCell ref="A43:D43"/>
    <mergeCell ref="A53:D53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66CCFF"/>
  </sheetPr>
  <dimension ref="A1:I16"/>
  <sheetViews>
    <sheetView workbookViewId="0"/>
  </sheetViews>
  <sheetFormatPr defaultColWidth="9.140625" defaultRowHeight="20.100000000000001" customHeight="1"/>
  <cols>
    <col min="1" max="1" width="2.42578125" style="66" customWidth="1"/>
    <col min="2" max="2" width="47.28515625" style="66" customWidth="1"/>
    <col min="3" max="3" width="12" style="90" customWidth="1"/>
    <col min="4" max="4" width="12.140625" style="90" customWidth="1"/>
    <col min="5" max="5" width="15.28515625" style="84" bestFit="1" customWidth="1"/>
    <col min="6" max="6" width="11.7109375" style="66" bestFit="1" customWidth="1"/>
    <col min="7" max="7" width="8" style="84" bestFit="1" customWidth="1"/>
    <col min="8" max="8" width="6.85546875" style="84" bestFit="1" customWidth="1"/>
    <col min="9" max="9" width="7.140625" style="84" bestFit="1" customWidth="1"/>
    <col min="10" max="16384" width="9.140625" style="84"/>
  </cols>
  <sheetData>
    <row r="1" spans="1:9" ht="58.5" customHeight="1">
      <c r="A1" s="64"/>
      <c r="B1" s="64"/>
      <c r="C1" s="65"/>
      <c r="D1" s="65"/>
      <c r="E1" s="309"/>
      <c r="F1" s="64"/>
      <c r="G1" s="309"/>
      <c r="H1" s="309"/>
      <c r="I1" s="309"/>
    </row>
    <row r="2" spans="1:9" ht="13.5" customHeight="1">
      <c r="A2" s="364" t="s">
        <v>396</v>
      </c>
      <c r="B2" s="67"/>
      <c r="C2" s="69"/>
      <c r="D2" s="69"/>
      <c r="E2" s="293"/>
      <c r="F2" s="67"/>
      <c r="G2" s="293"/>
      <c r="H2" s="293"/>
      <c r="I2" s="333"/>
    </row>
    <row r="3" spans="1:9" ht="12" customHeight="1">
      <c r="A3" s="365" t="str">
        <f>'[1]Cash Flow Statement'!A3</f>
        <v>(in US$ millions)</v>
      </c>
      <c r="B3" s="366"/>
      <c r="C3" s="332"/>
      <c r="D3" s="332"/>
      <c r="E3" s="332"/>
      <c r="F3" s="332"/>
      <c r="G3" s="371"/>
      <c r="H3" s="371"/>
      <c r="I3" s="331"/>
    </row>
    <row r="4" spans="1:9" ht="12" customHeight="1">
      <c r="A4" s="365"/>
      <c r="B4" s="366"/>
      <c r="C4" s="807" t="s">
        <v>397</v>
      </c>
      <c r="D4" s="822" t="s">
        <v>398</v>
      </c>
      <c r="E4" s="823"/>
      <c r="F4" s="329" t="s">
        <v>399</v>
      </c>
      <c r="G4" s="824" t="s">
        <v>400</v>
      </c>
      <c r="H4" s="825"/>
      <c r="I4" s="826"/>
    </row>
    <row r="5" spans="1:9" s="87" customFormat="1" ht="12" customHeight="1">
      <c r="A5" s="369"/>
      <c r="B5" s="286"/>
      <c r="C5" s="808"/>
      <c r="D5" s="777" t="s">
        <v>401</v>
      </c>
      <c r="E5" s="777" t="s">
        <v>303</v>
      </c>
      <c r="F5" s="778" t="s">
        <v>402</v>
      </c>
      <c r="G5" s="325" t="s">
        <v>39</v>
      </c>
      <c r="H5" s="325" t="s">
        <v>1</v>
      </c>
      <c r="I5" s="779" t="s">
        <v>2</v>
      </c>
    </row>
    <row r="6" spans="1:9" ht="12" customHeight="1">
      <c r="A6" s="370"/>
      <c r="B6" s="283" t="s">
        <v>403</v>
      </c>
      <c r="C6" s="809"/>
      <c r="D6" s="780" t="s">
        <v>153</v>
      </c>
      <c r="E6" s="780" t="s">
        <v>153</v>
      </c>
      <c r="F6" s="315" t="s">
        <v>154</v>
      </c>
      <c r="G6" s="315" t="s">
        <v>154</v>
      </c>
      <c r="H6" s="315" t="s">
        <v>154</v>
      </c>
      <c r="I6" s="781" t="s">
        <v>154</v>
      </c>
    </row>
    <row r="7" spans="1:9" s="309" customFormat="1" ht="12">
      <c r="A7" s="357"/>
      <c r="B7" s="782" t="s">
        <v>404</v>
      </c>
      <c r="C7" s="783">
        <v>39269</v>
      </c>
      <c r="D7" s="336">
        <v>7003.6</v>
      </c>
      <c r="E7" s="337">
        <f>D7+219.4+67.7</f>
        <v>7290.7</v>
      </c>
      <c r="F7" s="338">
        <f>D7/137.943</f>
        <v>50.771695555410567</v>
      </c>
      <c r="G7" s="338">
        <f>E7/9169.822</f>
        <v>0.79507541149653715</v>
      </c>
      <c r="H7" s="338">
        <f>$E7/248.276</f>
        <v>29.365303130387147</v>
      </c>
      <c r="I7" s="339">
        <f>$E7/(248.276+200.6)</f>
        <v>16.242124773879645</v>
      </c>
    </row>
    <row r="8" spans="1:9" s="309" customFormat="1" ht="12">
      <c r="A8" s="359"/>
      <c r="B8" s="784" t="s">
        <v>405</v>
      </c>
      <c r="C8" s="785">
        <v>39140</v>
      </c>
      <c r="D8" s="348">
        <f>E8-'A&amp;P - Pathmark'!L39</f>
        <v>818.1</v>
      </c>
      <c r="E8" s="349">
        <v>1400</v>
      </c>
      <c r="F8" s="350" t="s">
        <v>406</v>
      </c>
      <c r="G8" s="350">
        <f>E8/'A&amp;P - Pathmark'!R8</f>
        <v>0.3453294195999112</v>
      </c>
      <c r="H8" s="350">
        <f>E8/'A&amp;P - Pathmark'!R14</f>
        <v>54.05405405405309</v>
      </c>
      <c r="I8" s="355">
        <f>E8/'A&amp;P - Pathmark'!R12</f>
        <v>11.715481171548072</v>
      </c>
    </row>
    <row r="9" spans="1:9" s="309" customFormat="1" ht="12">
      <c r="A9" s="359"/>
      <c r="B9" s="784" t="s">
        <v>407</v>
      </c>
      <c r="C9" s="785">
        <v>39134</v>
      </c>
      <c r="D9" s="348">
        <v>565</v>
      </c>
      <c r="E9" s="349">
        <f>D9+'WFM - Wild Oats'!K51/M_to_MM</f>
        <v>672.81500000000005</v>
      </c>
      <c r="F9" s="786">
        <f>D9/'WFM - Wild Oats'!L24</f>
        <v>4.0630630939697668E-2</v>
      </c>
      <c r="G9" s="350">
        <f>E9/('WFM - Wild Oats'!L7/M_to_MM)</f>
        <v>0.56872568726532569</v>
      </c>
      <c r="H9" s="350">
        <f>E9/('WFM - Wild Oats'!L16/M_to_MM)</f>
        <v>37.182370820668702</v>
      </c>
      <c r="I9" s="355">
        <f>E9/('WFM - Wild Oats'!L14/M_to_MM)</f>
        <v>15.238607537597392</v>
      </c>
    </row>
    <row r="10" spans="1:9" s="309" customFormat="1" ht="12">
      <c r="A10" s="359"/>
      <c r="B10" s="784" t="s">
        <v>408</v>
      </c>
      <c r="C10" s="785">
        <v>38953</v>
      </c>
      <c r="D10" s="348">
        <v>2550</v>
      </c>
      <c r="E10" s="349">
        <v>3400</v>
      </c>
      <c r="F10" s="786" t="s">
        <v>409</v>
      </c>
      <c r="G10" s="350" t="s">
        <v>409</v>
      </c>
      <c r="H10" s="350" t="s">
        <v>409</v>
      </c>
      <c r="I10" s="355" t="s">
        <v>409</v>
      </c>
    </row>
    <row r="11" spans="1:9" s="309" customFormat="1" ht="24">
      <c r="A11" s="359"/>
      <c r="B11" s="784" t="s">
        <v>410</v>
      </c>
      <c r="C11" s="785">
        <v>38740</v>
      </c>
      <c r="D11" s="786" t="s">
        <v>409</v>
      </c>
      <c r="E11" s="348">
        <v>17400</v>
      </c>
      <c r="F11" s="786" t="s">
        <v>409</v>
      </c>
      <c r="G11" s="350" t="s">
        <v>409</v>
      </c>
      <c r="H11" s="350" t="s">
        <v>409</v>
      </c>
      <c r="I11" s="355" t="s">
        <v>409</v>
      </c>
    </row>
    <row r="12" spans="1:9" s="309" customFormat="1" ht="12">
      <c r="A12" s="359"/>
      <c r="B12" s="784" t="s">
        <v>411</v>
      </c>
      <c r="C12" s="785">
        <v>38656</v>
      </c>
      <c r="D12" s="786" t="s">
        <v>409</v>
      </c>
      <c r="E12" s="348">
        <v>1047.28</v>
      </c>
      <c r="F12" s="786" t="s">
        <v>409</v>
      </c>
      <c r="G12" s="350">
        <f>E12/2200</f>
        <v>0.47603636363636365</v>
      </c>
      <c r="H12" s="350" t="s">
        <v>409</v>
      </c>
      <c r="I12" s="355" t="s">
        <v>409</v>
      </c>
    </row>
    <row r="13" spans="1:9" s="309" customFormat="1" ht="12">
      <c r="A13" s="766"/>
      <c r="B13" s="787" t="s">
        <v>412</v>
      </c>
      <c r="C13" s="788">
        <v>38309</v>
      </c>
      <c r="D13" s="794">
        <f>+(1032.5+49.492)*0.857142857</f>
        <v>927.42171413114397</v>
      </c>
      <c r="E13" s="769">
        <f>+(1032.5)*0.857142857</f>
        <v>884.99999985250008</v>
      </c>
      <c r="F13" s="795">
        <f>D13/(44.819*0.857142857)</f>
        <v>24.14136861598875</v>
      </c>
      <c r="G13" s="771">
        <f>E13/501.0882857</f>
        <v>1.7661558354256697</v>
      </c>
      <c r="H13" s="771">
        <f>E13/63.45428571</f>
        <v>13.947048492471323</v>
      </c>
      <c r="I13" s="772">
        <f>E13/71.409</f>
        <v>12.393395788381017</v>
      </c>
    </row>
    <row r="14" spans="1:9" s="298" customFormat="1" ht="12">
      <c r="A14" s="789"/>
      <c r="B14" s="790" t="s">
        <v>171</v>
      </c>
      <c r="C14" s="791"/>
      <c r="D14" s="791">
        <f t="shared" ref="D14:I14" si="0">MEDIAN(D7:D13)</f>
        <v>927.42171413114397</v>
      </c>
      <c r="E14" s="791">
        <f t="shared" si="0"/>
        <v>1400</v>
      </c>
      <c r="F14" s="792">
        <f t="shared" si="0"/>
        <v>24.14136861598875</v>
      </c>
      <c r="G14" s="792">
        <f t="shared" si="0"/>
        <v>0.56872568726532569</v>
      </c>
      <c r="H14" s="792">
        <f t="shared" si="0"/>
        <v>33.273836975527928</v>
      </c>
      <c r="I14" s="304">
        <f t="shared" si="0"/>
        <v>13.816001662989205</v>
      </c>
    </row>
    <row r="15" spans="1:9" s="298" customFormat="1" ht="12">
      <c r="A15" s="789"/>
      <c r="B15" s="790" t="s">
        <v>155</v>
      </c>
      <c r="C15" s="791"/>
      <c r="D15" s="791">
        <f t="shared" ref="D15:I15" si="1">MAX(D7:D13)</f>
        <v>7003.6</v>
      </c>
      <c r="E15" s="791">
        <f t="shared" si="1"/>
        <v>17400</v>
      </c>
      <c r="F15" s="792">
        <f t="shared" si="1"/>
        <v>50.771695555410567</v>
      </c>
      <c r="G15" s="792">
        <f t="shared" si="1"/>
        <v>1.7661558354256697</v>
      </c>
      <c r="H15" s="792">
        <f t="shared" si="1"/>
        <v>54.05405405405309</v>
      </c>
      <c r="I15" s="304">
        <f t="shared" si="1"/>
        <v>16.242124773879645</v>
      </c>
    </row>
    <row r="16" spans="1:9" s="298" customFormat="1" ht="12">
      <c r="A16" s="793"/>
      <c r="B16" s="302" t="s">
        <v>156</v>
      </c>
      <c r="C16" s="301"/>
      <c r="D16" s="301">
        <f t="shared" ref="D16:I16" si="2">MIN(D7:D13)</f>
        <v>565</v>
      </c>
      <c r="E16" s="301">
        <f t="shared" si="2"/>
        <v>672.81500000000005</v>
      </c>
      <c r="F16" s="300">
        <f t="shared" si="2"/>
        <v>4.0630630939697668E-2</v>
      </c>
      <c r="G16" s="300">
        <f t="shared" si="2"/>
        <v>0.3453294195999112</v>
      </c>
      <c r="H16" s="300">
        <f t="shared" si="2"/>
        <v>13.947048492471323</v>
      </c>
      <c r="I16" s="299">
        <f t="shared" si="2"/>
        <v>11.715481171548072</v>
      </c>
    </row>
  </sheetData>
  <mergeCells count="3">
    <mergeCell ref="C4:C6"/>
    <mergeCell ref="D4:E4"/>
    <mergeCell ref="G4:I4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66CCFF"/>
  </sheetPr>
  <dimension ref="A2:S45"/>
  <sheetViews>
    <sheetView showGridLines="0" topLeftCell="A16" workbookViewId="0"/>
  </sheetViews>
  <sheetFormatPr defaultColWidth="9.140625" defaultRowHeight="15" outlineLevelRow="1"/>
  <cols>
    <col min="1" max="6" width="2.7109375" style="726" customWidth="1"/>
    <col min="7" max="12" width="9.140625" style="726"/>
    <col min="13" max="13" width="9.85546875" style="726" bestFit="1" customWidth="1"/>
    <col min="14" max="18" width="9.42578125" style="726" customWidth="1"/>
    <col min="19" max="19" width="2.7109375" style="726" customWidth="1"/>
    <col min="20" max="16384" width="9.140625" style="726"/>
  </cols>
  <sheetData>
    <row r="2" spans="1:19" ht="18">
      <c r="A2" s="740" t="s">
        <v>154</v>
      </c>
      <c r="B2" s="741" t="s">
        <v>375</v>
      </c>
      <c r="M2" s="752"/>
      <c r="N2" s="752"/>
      <c r="O2" s="752"/>
      <c r="P2" s="752"/>
      <c r="Q2" s="752"/>
      <c r="R2" s="752"/>
      <c r="S2" s="740" t="s">
        <v>154</v>
      </c>
    </row>
    <row r="3" spans="1:19">
      <c r="B3" s="726" t="s">
        <v>361</v>
      </c>
      <c r="M3" s="752"/>
      <c r="N3" s="752"/>
      <c r="O3" s="752"/>
      <c r="P3" s="752"/>
      <c r="Q3" s="752"/>
      <c r="R3" s="752"/>
    </row>
    <row r="4" spans="1:19">
      <c r="B4" s="738"/>
      <c r="C4" s="738"/>
      <c r="D4" s="738"/>
      <c r="E4" s="738"/>
      <c r="F4" s="738"/>
      <c r="G4" s="738"/>
      <c r="H4" s="738"/>
      <c r="I4" s="738"/>
      <c r="J4" s="738"/>
      <c r="K4" s="738"/>
      <c r="L4" s="738"/>
      <c r="M4" s="739" t="s">
        <v>373</v>
      </c>
      <c r="N4" s="739" t="s">
        <v>373</v>
      </c>
      <c r="O4" s="739" t="s">
        <v>374</v>
      </c>
      <c r="P4" s="739" t="s">
        <v>373</v>
      </c>
      <c r="Q4" s="739" t="s">
        <v>373</v>
      </c>
      <c r="R4" s="739"/>
      <c r="S4" s="738"/>
    </row>
    <row r="5" spans="1:19">
      <c r="B5" s="738"/>
      <c r="C5" s="738"/>
      <c r="D5" s="738"/>
      <c r="E5" s="738"/>
      <c r="F5" s="738"/>
      <c r="G5" s="738"/>
      <c r="H5" s="738"/>
      <c r="I5" s="738"/>
      <c r="J5" s="738"/>
      <c r="K5" s="738"/>
      <c r="L5" s="738"/>
      <c r="M5" s="739" t="s">
        <v>372</v>
      </c>
      <c r="N5" s="739" t="s">
        <v>372</v>
      </c>
      <c r="O5" s="739" t="s">
        <v>372</v>
      </c>
      <c r="P5" s="739" t="s">
        <v>372</v>
      </c>
      <c r="Q5" s="739" t="s">
        <v>372</v>
      </c>
      <c r="R5" s="739"/>
      <c r="S5" s="738"/>
    </row>
    <row r="6" spans="1:19">
      <c r="B6" s="738"/>
      <c r="C6" s="738"/>
      <c r="D6" s="738"/>
      <c r="E6" s="738"/>
      <c r="F6" s="738"/>
      <c r="G6" s="738"/>
      <c r="H6" s="738"/>
      <c r="I6" s="738"/>
      <c r="J6" s="738"/>
      <c r="K6" s="738"/>
      <c r="L6" s="738"/>
      <c r="M6" s="737">
        <v>38836</v>
      </c>
      <c r="N6" s="737">
        <v>38927</v>
      </c>
      <c r="O6" s="737">
        <v>39116</v>
      </c>
      <c r="P6" s="737">
        <v>39207</v>
      </c>
      <c r="Q6" s="737">
        <v>39298</v>
      </c>
      <c r="R6" s="737" t="s">
        <v>161</v>
      </c>
      <c r="S6" s="738"/>
    </row>
    <row r="8" spans="1:19">
      <c r="C8" s="726" t="s">
        <v>158</v>
      </c>
      <c r="M8" s="735">
        <v>998.5</v>
      </c>
      <c r="N8" s="735">
        <v>1002.9</v>
      </c>
      <c r="O8" s="735">
        <v>4058</v>
      </c>
      <c r="P8" s="735">
        <v>999</v>
      </c>
      <c r="Q8" s="735">
        <v>998.5</v>
      </c>
      <c r="R8" s="751">
        <f>O8+P8+Q8-M8-N8</f>
        <v>4054.1</v>
      </c>
      <c r="S8" s="744"/>
    </row>
    <row r="9" spans="1:19">
      <c r="C9" s="726" t="s">
        <v>371</v>
      </c>
      <c r="M9" s="734">
        <v>-709</v>
      </c>
      <c r="N9" s="734">
        <v>-718</v>
      </c>
      <c r="O9" s="734">
        <v>-2875.2</v>
      </c>
      <c r="P9" s="734">
        <v>-702.7</v>
      </c>
      <c r="Q9" s="734">
        <v>-709.2</v>
      </c>
      <c r="R9" s="744">
        <f>O9+P9+Q9-M9-N9</f>
        <v>-2860.0999999999995</v>
      </c>
      <c r="S9" s="744"/>
    </row>
    <row r="10" spans="1:19" s="731" customFormat="1">
      <c r="C10" s="731" t="s">
        <v>370</v>
      </c>
      <c r="M10" s="750">
        <f t="shared" ref="M10:R10" si="0">M8+M9</f>
        <v>289.5</v>
      </c>
      <c r="N10" s="750">
        <f t="shared" si="0"/>
        <v>284.89999999999998</v>
      </c>
      <c r="O10" s="750">
        <f t="shared" si="0"/>
        <v>1182.8000000000002</v>
      </c>
      <c r="P10" s="750">
        <f t="shared" si="0"/>
        <v>296.29999999999995</v>
      </c>
      <c r="Q10" s="750">
        <f t="shared" si="0"/>
        <v>289.29999999999995</v>
      </c>
      <c r="R10" s="750">
        <f t="shared" si="0"/>
        <v>1194.0000000000005</v>
      </c>
      <c r="S10" s="736"/>
    </row>
    <row r="11" spans="1:19">
      <c r="C11" s="726" t="s">
        <v>369</v>
      </c>
      <c r="M11" s="734">
        <v>-259.8</v>
      </c>
      <c r="N11" s="734">
        <v>-261.10000000000002</v>
      </c>
      <c r="O11" s="734">
        <v>-1056.8</v>
      </c>
      <c r="P11" s="734">
        <v>-267.3</v>
      </c>
      <c r="Q11" s="734">
        <v>-271.3</v>
      </c>
      <c r="R11" s="744">
        <f>O11+P11+Q11-M11-N11</f>
        <v>-1074.5</v>
      </c>
      <c r="S11" s="744"/>
    </row>
    <row r="12" spans="1:19" s="731" customFormat="1">
      <c r="C12" s="731" t="s">
        <v>2</v>
      </c>
      <c r="M12" s="750">
        <f t="shared" ref="M12:R12" si="1">M10+M11</f>
        <v>29.699999999999989</v>
      </c>
      <c r="N12" s="750">
        <f t="shared" si="1"/>
        <v>23.799999999999955</v>
      </c>
      <c r="O12" s="750">
        <f t="shared" si="1"/>
        <v>126.00000000000023</v>
      </c>
      <c r="P12" s="750">
        <f t="shared" si="1"/>
        <v>28.999999999999943</v>
      </c>
      <c r="Q12" s="750">
        <f t="shared" si="1"/>
        <v>17.999999999999943</v>
      </c>
      <c r="R12" s="750">
        <f t="shared" si="1"/>
        <v>119.50000000000045</v>
      </c>
      <c r="S12" s="736"/>
    </row>
    <row r="13" spans="1:19">
      <c r="C13" s="726" t="s">
        <v>46</v>
      </c>
      <c r="M13" s="734">
        <v>-23</v>
      </c>
      <c r="N13" s="734">
        <v>-23.1</v>
      </c>
      <c r="O13" s="734">
        <v>-92.6</v>
      </c>
      <c r="P13" s="734">
        <v>-23.5</v>
      </c>
      <c r="Q13" s="734">
        <v>-23.6</v>
      </c>
      <c r="R13" s="744">
        <f>O13+P13+Q13-M13-N13</f>
        <v>-93.6</v>
      </c>
      <c r="S13" s="744"/>
    </row>
    <row r="14" spans="1:19" s="731" customFormat="1">
      <c r="C14" s="731" t="s">
        <v>1</v>
      </c>
      <c r="M14" s="750">
        <f t="shared" ref="M14:R14" si="2">M12+M13</f>
        <v>6.6999999999999886</v>
      </c>
      <c r="N14" s="750">
        <f t="shared" si="2"/>
        <v>0.6999999999999531</v>
      </c>
      <c r="O14" s="750">
        <f t="shared" si="2"/>
        <v>33.400000000000233</v>
      </c>
      <c r="P14" s="750">
        <f t="shared" si="2"/>
        <v>5.4999999999999432</v>
      </c>
      <c r="Q14" s="750">
        <f t="shared" si="2"/>
        <v>-5.6000000000000583</v>
      </c>
      <c r="R14" s="750">
        <f t="shared" si="2"/>
        <v>25.90000000000046</v>
      </c>
      <c r="S14" s="736"/>
    </row>
    <row r="15" spans="1:19">
      <c r="C15" s="726" t="s">
        <v>165</v>
      </c>
      <c r="M15" s="734">
        <v>-15.5</v>
      </c>
      <c r="N15" s="734">
        <v>-15.4</v>
      </c>
      <c r="O15" s="734">
        <v>-62.3</v>
      </c>
      <c r="P15" s="734">
        <v>-15.9</v>
      </c>
      <c r="Q15" s="734">
        <v>-15.9</v>
      </c>
      <c r="R15" s="744">
        <f>O15+P15+Q15-M15-N15</f>
        <v>-63.20000000000001</v>
      </c>
      <c r="S15" s="744"/>
    </row>
    <row r="16" spans="1:19">
      <c r="C16" s="726" t="s">
        <v>368</v>
      </c>
      <c r="M16" s="745">
        <v>0</v>
      </c>
      <c r="N16" s="745">
        <v>0</v>
      </c>
      <c r="O16" s="734">
        <v>0</v>
      </c>
      <c r="P16" s="745">
        <v>0</v>
      </c>
      <c r="Q16" s="734">
        <v>0</v>
      </c>
      <c r="R16" s="744">
        <f>O16+P16+Q16-M16-N16</f>
        <v>0</v>
      </c>
      <c r="S16" s="744"/>
    </row>
    <row r="17" spans="1:19" s="731" customFormat="1">
      <c r="C17" s="731" t="s">
        <v>367</v>
      </c>
      <c r="M17" s="750">
        <f t="shared" ref="M17:R17" si="3">M14+M15+M16</f>
        <v>-8.8000000000000114</v>
      </c>
      <c r="N17" s="750">
        <f t="shared" si="3"/>
        <v>-14.700000000000047</v>
      </c>
      <c r="O17" s="750">
        <f t="shared" si="3"/>
        <v>-28.899999999999764</v>
      </c>
      <c r="P17" s="750">
        <f t="shared" si="3"/>
        <v>-10.400000000000057</v>
      </c>
      <c r="Q17" s="750">
        <f t="shared" si="3"/>
        <v>-21.500000000000057</v>
      </c>
      <c r="R17" s="750">
        <f t="shared" si="3"/>
        <v>-37.29999999999955</v>
      </c>
      <c r="S17" s="736"/>
    </row>
    <row r="18" spans="1:19">
      <c r="C18" s="726" t="s">
        <v>366</v>
      </c>
      <c r="M18" s="744">
        <f t="shared" ref="M18:R18" si="4">-M17*M21</f>
        <v>3.4</v>
      </c>
      <c r="N18" s="744">
        <f t="shared" si="4"/>
        <v>5.9</v>
      </c>
      <c r="O18" s="744">
        <f t="shared" si="4"/>
        <v>10.6</v>
      </c>
      <c r="P18" s="744">
        <f t="shared" si="4"/>
        <v>1.9</v>
      </c>
      <c r="Q18" s="744">
        <f t="shared" si="4"/>
        <v>4.4451476793248954</v>
      </c>
      <c r="R18" s="744">
        <f t="shared" si="4"/>
        <v>9.3249999999998874</v>
      </c>
      <c r="S18" s="744"/>
    </row>
    <row r="19" spans="1:19" hidden="1" outlineLevel="1">
      <c r="E19" s="726" t="s">
        <v>367</v>
      </c>
      <c r="M19" s="734">
        <v>-8.8000000000000114</v>
      </c>
      <c r="N19" s="734">
        <v>-14.700000000000047</v>
      </c>
      <c r="O19" s="734">
        <v>-28.899999999999764</v>
      </c>
      <c r="P19" s="734">
        <v>-10.400000000000057</v>
      </c>
      <c r="Q19" s="734">
        <v>-23.70000000000006</v>
      </c>
      <c r="R19" s="744"/>
      <c r="S19" s="744"/>
    </row>
    <row r="20" spans="1:19" hidden="1" outlineLevel="1">
      <c r="E20" s="726" t="s">
        <v>366</v>
      </c>
      <c r="M20" s="734">
        <v>3.4</v>
      </c>
      <c r="N20" s="734">
        <v>5.9</v>
      </c>
      <c r="O20" s="734">
        <v>10.6</v>
      </c>
      <c r="P20" s="734">
        <v>1.9</v>
      </c>
      <c r="Q20" s="734">
        <v>4.9000000000000004</v>
      </c>
      <c r="R20" s="744"/>
      <c r="S20" s="744"/>
    </row>
    <row r="21" spans="1:19" s="746" customFormat="1" collapsed="1">
      <c r="D21" s="746" t="s">
        <v>332</v>
      </c>
      <c r="M21" s="749">
        <f>(-M20/M19)</f>
        <v>0.38636363636363585</v>
      </c>
      <c r="N21" s="749">
        <f>(-N20/N19)</f>
        <v>0.4013605442176858</v>
      </c>
      <c r="O21" s="749">
        <f>(-O20/O19)</f>
        <v>0.36678200692041818</v>
      </c>
      <c r="P21" s="749">
        <f>(-P20/P19)</f>
        <v>0.18269230769230668</v>
      </c>
      <c r="Q21" s="749">
        <f>(-Q20/Q19)</f>
        <v>0.20675105485232018</v>
      </c>
      <c r="R21" s="748">
        <v>0.25</v>
      </c>
      <c r="S21" s="747"/>
    </row>
    <row r="22" spans="1:19" s="731" customFormat="1">
      <c r="C22" s="731" t="s">
        <v>365</v>
      </c>
      <c r="M22" s="733">
        <f t="shared" ref="M22:R22" si="5">M17+M18</f>
        <v>-5.400000000000011</v>
      </c>
      <c r="N22" s="733">
        <f t="shared" si="5"/>
        <v>-8.8000000000000469</v>
      </c>
      <c r="O22" s="733">
        <f t="shared" si="5"/>
        <v>-18.299999999999763</v>
      </c>
      <c r="P22" s="733">
        <f t="shared" si="5"/>
        <v>-8.5000000000000568</v>
      </c>
      <c r="Q22" s="733">
        <f t="shared" si="5"/>
        <v>-17.05485232067516</v>
      </c>
      <c r="R22" s="733">
        <f t="shared" si="5"/>
        <v>-27.97499999999966</v>
      </c>
      <c r="S22" s="736"/>
    </row>
    <row r="23" spans="1:19">
      <c r="C23" s="726" t="s">
        <v>364</v>
      </c>
      <c r="M23" s="745">
        <v>0</v>
      </c>
      <c r="N23" s="734">
        <v>0</v>
      </c>
      <c r="O23" s="734">
        <v>0</v>
      </c>
      <c r="P23" s="745">
        <v>0</v>
      </c>
      <c r="Q23" s="734">
        <f>-2.2*(1-Q21)</f>
        <v>-1.7451476793248959</v>
      </c>
      <c r="R23" s="744">
        <f>O23+P23+Q23-M23-N23</f>
        <v>-1.7451476793248959</v>
      </c>
      <c r="S23" s="744"/>
    </row>
    <row r="24" spans="1:19" s="731" customFormat="1">
      <c r="C24" s="731" t="s">
        <v>363</v>
      </c>
      <c r="M24" s="733">
        <f t="shared" ref="M24:R24" si="6">M22+M23</f>
        <v>-5.400000000000011</v>
      </c>
      <c r="N24" s="733">
        <f t="shared" si="6"/>
        <v>-8.8000000000000469</v>
      </c>
      <c r="O24" s="733">
        <f t="shared" si="6"/>
        <v>-18.299999999999763</v>
      </c>
      <c r="P24" s="733">
        <f t="shared" si="6"/>
        <v>-8.5000000000000568</v>
      </c>
      <c r="Q24" s="733">
        <f t="shared" si="6"/>
        <v>-18.800000000000054</v>
      </c>
      <c r="R24" s="733">
        <f t="shared" si="6"/>
        <v>-29.720147679324555</v>
      </c>
      <c r="S24" s="736"/>
    </row>
    <row r="25" spans="1:19" ht="15.75" thickBot="1">
      <c r="A25" s="730" t="s">
        <v>154</v>
      </c>
      <c r="B25" s="728" t="s">
        <v>154</v>
      </c>
      <c r="C25" s="729"/>
      <c r="D25" s="729"/>
      <c r="E25" s="729"/>
      <c r="F25" s="729"/>
      <c r="G25" s="729"/>
      <c r="H25" s="729"/>
      <c r="I25" s="729"/>
      <c r="J25" s="729"/>
      <c r="K25" s="729"/>
      <c r="L25" s="729"/>
      <c r="M25" s="743"/>
      <c r="N25" s="743"/>
      <c r="O25" s="743"/>
      <c r="P25" s="743"/>
      <c r="Q25" s="743"/>
      <c r="R25" s="729"/>
      <c r="S25" s="728" t="s">
        <v>154</v>
      </c>
    </row>
    <row r="26" spans="1:19">
      <c r="M26" s="742"/>
      <c r="N26" s="742"/>
      <c r="O26" s="742"/>
      <c r="P26" s="742"/>
      <c r="Q26" s="742"/>
      <c r="R26" s="742"/>
    </row>
    <row r="27" spans="1:19" ht="18">
      <c r="A27" s="740" t="s">
        <v>154</v>
      </c>
      <c r="B27" s="741" t="s">
        <v>362</v>
      </c>
      <c r="M27" s="730" t="s">
        <v>154</v>
      </c>
      <c r="S27" s="740" t="s">
        <v>154</v>
      </c>
    </row>
    <row r="28" spans="1:19">
      <c r="B28" s="726" t="s">
        <v>361</v>
      </c>
      <c r="M28" s="656"/>
    </row>
    <row r="29" spans="1:19">
      <c r="B29" s="738"/>
      <c r="C29" s="738"/>
      <c r="D29" s="738"/>
      <c r="E29" s="738"/>
      <c r="F29" s="738"/>
      <c r="G29" s="738"/>
      <c r="H29" s="738"/>
      <c r="I29" s="738"/>
      <c r="J29" s="738"/>
      <c r="K29" s="739"/>
      <c r="L29" s="739"/>
      <c r="M29" s="739"/>
      <c r="N29" s="656"/>
      <c r="P29" s="656"/>
    </row>
    <row r="30" spans="1:19">
      <c r="B30" s="738"/>
      <c r="C30" s="738"/>
      <c r="D30" s="738"/>
      <c r="E30" s="738"/>
      <c r="F30" s="738"/>
      <c r="G30" s="738"/>
      <c r="H30" s="738"/>
      <c r="I30" s="738"/>
      <c r="J30" s="738"/>
      <c r="K30" s="739"/>
      <c r="L30" s="739" t="s">
        <v>360</v>
      </c>
      <c r="M30" s="739"/>
      <c r="N30" s="656"/>
      <c r="P30" s="656"/>
    </row>
    <row r="31" spans="1:19">
      <c r="B31" s="738"/>
      <c r="C31" s="738"/>
      <c r="D31" s="738"/>
      <c r="E31" s="738"/>
      <c r="F31" s="738"/>
      <c r="G31" s="738"/>
      <c r="H31" s="738"/>
      <c r="I31" s="738"/>
      <c r="J31" s="738"/>
      <c r="K31" s="737"/>
      <c r="L31" s="737">
        <v>39249</v>
      </c>
      <c r="M31" s="737"/>
      <c r="N31" s="656"/>
      <c r="P31" s="656"/>
    </row>
    <row r="32" spans="1:19">
      <c r="N32" s="656"/>
      <c r="P32" s="656"/>
    </row>
    <row r="33" spans="1:16" s="731" customFormat="1">
      <c r="C33" s="731" t="s">
        <v>204</v>
      </c>
      <c r="K33" s="736"/>
      <c r="L33" s="736"/>
      <c r="M33" s="736"/>
      <c r="N33" s="656"/>
      <c r="P33" s="656"/>
    </row>
    <row r="34" spans="1:16">
      <c r="D34" s="726" t="s">
        <v>359</v>
      </c>
      <c r="K34" s="735"/>
      <c r="L34" s="735">
        <v>23.3</v>
      </c>
      <c r="M34" s="735"/>
      <c r="N34" s="656"/>
      <c r="P34" s="656"/>
    </row>
    <row r="35" spans="1:16">
      <c r="D35" s="726" t="s">
        <v>358</v>
      </c>
      <c r="K35" s="734"/>
      <c r="L35" s="734">
        <v>10.9</v>
      </c>
      <c r="M35" s="734"/>
      <c r="N35" s="656"/>
      <c r="P35" s="656"/>
    </row>
    <row r="36" spans="1:16">
      <c r="D36" s="726" t="s">
        <v>35</v>
      </c>
      <c r="K36" s="734"/>
      <c r="L36" s="734">
        <v>422.9</v>
      </c>
      <c r="M36" s="734"/>
      <c r="N36" s="656"/>
      <c r="P36" s="656"/>
    </row>
    <row r="37" spans="1:16">
      <c r="D37" s="726" t="s">
        <v>115</v>
      </c>
      <c r="K37" s="734"/>
      <c r="L37" s="734">
        <v>156.6</v>
      </c>
      <c r="M37" s="734"/>
      <c r="N37" s="656"/>
      <c r="P37" s="656"/>
    </row>
    <row r="38" spans="1:16">
      <c r="D38" s="726" t="s">
        <v>357</v>
      </c>
      <c r="K38" s="734"/>
      <c r="L38" s="734">
        <v>-31.8</v>
      </c>
      <c r="M38" s="734"/>
      <c r="N38" s="656"/>
      <c r="P38" s="656"/>
    </row>
    <row r="39" spans="1:16" s="731" customFormat="1">
      <c r="C39" s="731" t="s">
        <v>356</v>
      </c>
      <c r="K39" s="733"/>
      <c r="L39" s="733">
        <f>SUM(L34:L38)</f>
        <v>581.9</v>
      </c>
      <c r="M39" s="732"/>
      <c r="N39" s="656"/>
      <c r="P39" s="656"/>
    </row>
    <row r="40" spans="1:16" ht="15.75" thickBot="1">
      <c r="A40" s="730" t="s">
        <v>154</v>
      </c>
      <c r="B40" s="728" t="s">
        <v>154</v>
      </c>
      <c r="C40" s="729"/>
      <c r="D40" s="729"/>
      <c r="E40" s="729"/>
      <c r="F40" s="729"/>
      <c r="G40" s="729"/>
      <c r="H40" s="729"/>
      <c r="I40" s="729"/>
      <c r="J40" s="729"/>
      <c r="K40" s="729"/>
      <c r="L40" s="729"/>
      <c r="M40" s="728" t="s">
        <v>154</v>
      </c>
      <c r="N40" s="656"/>
      <c r="P40" s="656"/>
    </row>
    <row r="41" spans="1:16">
      <c r="N41" s="656"/>
      <c r="P41" s="656"/>
    </row>
    <row r="42" spans="1:16">
      <c r="C42" s="727" t="s">
        <v>355</v>
      </c>
      <c r="I42" s="656"/>
      <c r="J42" s="656"/>
      <c r="K42" s="656"/>
      <c r="L42" s="656"/>
    </row>
    <row r="43" spans="1:16">
      <c r="D43" s="726" t="s">
        <v>354</v>
      </c>
    </row>
    <row r="44" spans="1:16">
      <c r="D44" s="726" t="s">
        <v>353</v>
      </c>
    </row>
    <row r="45" spans="1:16">
      <c r="D45" s="726" t="s">
        <v>352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66CCFF"/>
  </sheetPr>
  <dimension ref="A2:O56"/>
  <sheetViews>
    <sheetView showGridLines="0" topLeftCell="A28" workbookViewId="0"/>
  </sheetViews>
  <sheetFormatPr defaultColWidth="9.140625" defaultRowHeight="15" outlineLevelRow="1"/>
  <cols>
    <col min="1" max="6" width="2.7109375" style="726" customWidth="1"/>
    <col min="7" max="9" width="9.140625" style="726"/>
    <col min="10" max="12" width="11.7109375" style="726" customWidth="1"/>
    <col min="13" max="13" width="2.7109375" style="726" customWidth="1"/>
    <col min="14" max="16384" width="9.140625" style="726"/>
  </cols>
  <sheetData>
    <row r="2" spans="1:13" ht="18">
      <c r="A2" s="740" t="s">
        <v>154</v>
      </c>
      <c r="B2" s="741" t="s">
        <v>392</v>
      </c>
      <c r="J2" s="752"/>
      <c r="K2" s="752"/>
      <c r="L2" s="752"/>
      <c r="M2" s="740" t="s">
        <v>154</v>
      </c>
    </row>
    <row r="3" spans="1:13">
      <c r="B3" s="726" t="s">
        <v>380</v>
      </c>
      <c r="J3" s="752"/>
      <c r="K3" s="752"/>
      <c r="L3" s="752"/>
    </row>
    <row r="4" spans="1:13">
      <c r="B4" s="738"/>
      <c r="C4" s="738"/>
      <c r="D4" s="738"/>
      <c r="E4" s="738"/>
      <c r="F4" s="738"/>
      <c r="G4" s="738"/>
      <c r="H4" s="738"/>
      <c r="I4" s="738"/>
      <c r="J4" s="739"/>
      <c r="K4" s="739"/>
      <c r="L4" s="739"/>
      <c r="M4" s="738"/>
    </row>
    <row r="5" spans="1:13">
      <c r="B5" s="738" t="s">
        <v>391</v>
      </c>
      <c r="C5" s="738"/>
      <c r="D5" s="738"/>
      <c r="E5" s="738"/>
      <c r="F5" s="738"/>
      <c r="G5" s="738"/>
      <c r="H5" s="738"/>
      <c r="I5" s="738"/>
      <c r="J5" s="737"/>
      <c r="K5" s="737"/>
      <c r="L5" s="737" t="s">
        <v>379</v>
      </c>
      <c r="M5" s="738"/>
    </row>
    <row r="7" spans="1:13">
      <c r="C7" s="726" t="s">
        <v>158</v>
      </c>
      <c r="H7" s="744"/>
      <c r="I7" s="744"/>
      <c r="J7" s="744"/>
      <c r="K7" s="744"/>
      <c r="L7" s="760">
        <v>1183022</v>
      </c>
      <c r="M7" s="744"/>
    </row>
    <row r="8" spans="1:13">
      <c r="C8" s="726" t="s">
        <v>390</v>
      </c>
      <c r="H8" s="744"/>
      <c r="I8" s="744"/>
      <c r="J8" s="744"/>
      <c r="K8" s="744"/>
      <c r="L8" s="753">
        <f>827827-L15</f>
        <v>801770</v>
      </c>
      <c r="M8" s="744"/>
    </row>
    <row r="9" spans="1:13" s="731" customFormat="1">
      <c r="C9" s="731" t="s">
        <v>62</v>
      </c>
      <c r="H9" s="736"/>
      <c r="I9" s="736"/>
      <c r="J9" s="736"/>
      <c r="K9" s="736"/>
      <c r="L9" s="757">
        <f>L7-L8</f>
        <v>381252</v>
      </c>
      <c r="M9" s="736"/>
    </row>
    <row r="10" spans="1:13">
      <c r="C10" s="726" t="s">
        <v>49</v>
      </c>
      <c r="H10" s="744"/>
      <c r="I10" s="744"/>
      <c r="J10" s="744"/>
      <c r="K10" s="744"/>
      <c r="L10" s="758"/>
      <c r="M10" s="744"/>
    </row>
    <row r="11" spans="1:13" s="731" customFormat="1">
      <c r="C11" s="726"/>
      <c r="D11" s="726" t="s">
        <v>389</v>
      </c>
      <c r="E11" s="726"/>
      <c r="F11" s="726"/>
      <c r="G11" s="726"/>
      <c r="H11" s="744"/>
      <c r="I11" s="744"/>
      <c r="J11" s="744"/>
      <c r="K11" s="744"/>
      <c r="L11" s="753">
        <v>277043</v>
      </c>
      <c r="M11" s="736"/>
    </row>
    <row r="12" spans="1:13">
      <c r="D12" s="726" t="s">
        <v>324</v>
      </c>
      <c r="H12" s="744"/>
      <c r="I12" s="744"/>
      <c r="J12" s="744"/>
      <c r="K12" s="744"/>
      <c r="L12" s="753">
        <v>54848</v>
      </c>
      <c r="M12" s="744"/>
    </row>
    <row r="13" spans="1:13">
      <c r="D13" s="726" t="s">
        <v>346</v>
      </c>
      <c r="H13" s="744"/>
      <c r="I13" s="744"/>
      <c r="J13" s="744"/>
      <c r="K13" s="744"/>
      <c r="L13" s="753">
        <v>5209</v>
      </c>
      <c r="M13" s="744"/>
    </row>
    <row r="14" spans="1:13" s="731" customFormat="1">
      <c r="C14" s="731" t="s">
        <v>2</v>
      </c>
      <c r="H14" s="736"/>
      <c r="I14" s="736"/>
      <c r="J14" s="736"/>
      <c r="K14" s="736"/>
      <c r="L14" s="757">
        <f>L9-L11-L12-L13</f>
        <v>44152</v>
      </c>
      <c r="M14" s="736"/>
    </row>
    <row r="15" spans="1:13">
      <c r="C15" s="726" t="s">
        <v>3</v>
      </c>
      <c r="H15" s="744"/>
      <c r="I15" s="744"/>
      <c r="J15" s="744"/>
      <c r="K15" s="744"/>
      <c r="L15" s="759">
        <v>26057</v>
      </c>
      <c r="M15" s="744"/>
    </row>
    <row r="16" spans="1:13" s="731" customFormat="1">
      <c r="C16" s="731" t="s">
        <v>1</v>
      </c>
      <c r="H16" s="736"/>
      <c r="I16" s="736"/>
      <c r="J16" s="736"/>
      <c r="K16" s="736"/>
      <c r="L16" s="757">
        <f>L14-L15</f>
        <v>18095</v>
      </c>
      <c r="M16" s="736"/>
    </row>
    <row r="17" spans="3:15" s="746" customFormat="1">
      <c r="C17" s="726" t="s">
        <v>48</v>
      </c>
      <c r="D17" s="726"/>
      <c r="E17" s="726"/>
      <c r="F17" s="726"/>
      <c r="G17" s="726"/>
      <c r="H17" s="744"/>
      <c r="I17" s="744"/>
      <c r="J17" s="744"/>
      <c r="K17" s="744"/>
      <c r="L17" s="753">
        <v>2647</v>
      </c>
      <c r="M17" s="747"/>
    </row>
    <row r="18" spans="3:15" s="731" customFormat="1">
      <c r="C18" s="726" t="s">
        <v>165</v>
      </c>
      <c r="D18" s="726"/>
      <c r="E18" s="726"/>
      <c r="F18" s="726"/>
      <c r="G18" s="726"/>
      <c r="H18" s="744"/>
      <c r="I18" s="744"/>
      <c r="J18" s="744"/>
      <c r="K18" s="744"/>
      <c r="L18" s="753">
        <v>-7387</v>
      </c>
      <c r="M18" s="736"/>
    </row>
    <row r="19" spans="3:15" s="731" customFormat="1">
      <c r="C19" s="731" t="s">
        <v>388</v>
      </c>
      <c r="H19" s="736"/>
      <c r="I19" s="736"/>
      <c r="J19" s="736"/>
      <c r="K19" s="736"/>
      <c r="L19" s="757">
        <f>L16+L17+L18</f>
        <v>13355</v>
      </c>
      <c r="M19" s="736"/>
    </row>
    <row r="20" spans="3:15">
      <c r="C20" s="726" t="s">
        <v>55</v>
      </c>
      <c r="H20" s="744"/>
      <c r="I20" s="744"/>
      <c r="J20" s="744"/>
      <c r="K20" s="744"/>
      <c r="L20" s="758">
        <f>-L23*L19</f>
        <v>-550.7648609629025</v>
      </c>
      <c r="M20" s="744"/>
    </row>
    <row r="21" spans="3:15" hidden="1" outlineLevel="1">
      <c r="E21" s="726" t="s">
        <v>388</v>
      </c>
      <c r="H21" s="744"/>
      <c r="I21" s="744"/>
      <c r="J21" s="744"/>
      <c r="K21" s="744"/>
      <c r="L21" s="753">
        <v>-15931</v>
      </c>
      <c r="M21" s="744"/>
    </row>
    <row r="22" spans="3:15" hidden="1" outlineLevel="1">
      <c r="E22" s="726" t="s">
        <v>55</v>
      </c>
      <c r="H22" s="744"/>
      <c r="I22" s="744"/>
      <c r="J22" s="744"/>
      <c r="K22" s="744"/>
      <c r="L22" s="753">
        <v>657</v>
      </c>
      <c r="M22" s="744"/>
    </row>
    <row r="23" spans="3:15" s="746" customFormat="1" collapsed="1">
      <c r="D23" s="746" t="s">
        <v>332</v>
      </c>
      <c r="H23" s="747"/>
      <c r="I23" s="747"/>
      <c r="J23" s="747"/>
      <c r="K23" s="747"/>
      <c r="L23" s="749">
        <f>L22/-L21</f>
        <v>4.1240349005084428E-2</v>
      </c>
      <c r="M23" s="747"/>
    </row>
    <row r="24" spans="3:15" s="731" customFormat="1">
      <c r="C24" s="731" t="s">
        <v>387</v>
      </c>
      <c r="H24" s="736"/>
      <c r="I24" s="736"/>
      <c r="J24" s="736"/>
      <c r="K24" s="736"/>
      <c r="L24" s="757">
        <f>L19-L20</f>
        <v>13905.764860962903</v>
      </c>
      <c r="M24" s="736"/>
      <c r="O24" s="755"/>
    </row>
    <row r="25" spans="3:15" s="731" customFormat="1">
      <c r="C25" s="731" t="s">
        <v>386</v>
      </c>
      <c r="H25" s="736"/>
      <c r="I25" s="736"/>
      <c r="J25" s="736"/>
      <c r="K25" s="736"/>
      <c r="L25" s="754"/>
      <c r="M25" s="736"/>
    </row>
    <row r="26" spans="3:15" s="731" customFormat="1">
      <c r="D26" s="726" t="s">
        <v>385</v>
      </c>
      <c r="E26" s="726"/>
      <c r="F26" s="726"/>
      <c r="G26" s="726"/>
      <c r="H26" s="744"/>
      <c r="I26" s="744"/>
      <c r="J26" s="744"/>
      <c r="K26" s="744"/>
      <c r="L26" s="753">
        <f>1116*(1+L23)</f>
        <v>1162.0242294896741</v>
      </c>
      <c r="M26" s="736"/>
    </row>
    <row r="27" spans="3:15">
      <c r="D27" s="726" t="s">
        <v>384</v>
      </c>
      <c r="H27" s="744"/>
      <c r="I27" s="744"/>
      <c r="J27" s="744"/>
      <c r="K27" s="744"/>
      <c r="L27" s="753">
        <f>28170*(1+L23)</f>
        <v>29331.740631473225</v>
      </c>
      <c r="M27" s="744"/>
    </row>
    <row r="28" spans="3:15" s="731" customFormat="1">
      <c r="C28" s="731" t="s">
        <v>383</v>
      </c>
      <c r="H28" s="736"/>
      <c r="I28" s="736"/>
      <c r="J28" s="736"/>
      <c r="K28" s="736"/>
      <c r="L28" s="757">
        <f>L26+L27</f>
        <v>30493.7648609629</v>
      </c>
      <c r="M28" s="736"/>
    </row>
    <row r="29" spans="3:15" s="731" customFormat="1">
      <c r="H29" s="736"/>
      <c r="I29" s="736"/>
      <c r="J29" s="736"/>
      <c r="K29" s="736"/>
      <c r="L29" s="754"/>
      <c r="M29" s="736"/>
    </row>
    <row r="30" spans="3:15" s="731" customFormat="1">
      <c r="C30" s="731" t="s">
        <v>382</v>
      </c>
      <c r="H30" s="736"/>
      <c r="I30" s="736"/>
      <c r="J30" s="736"/>
      <c r="K30" s="736"/>
      <c r="L30" s="756">
        <f>L24-L28</f>
        <v>-16587.999999999996</v>
      </c>
      <c r="M30" s="736"/>
      <c r="O30" s="755"/>
    </row>
    <row r="31" spans="3:15" s="731" customFormat="1">
      <c r="H31" s="736"/>
      <c r="I31" s="736"/>
      <c r="J31" s="736"/>
      <c r="K31" s="736"/>
      <c r="L31" s="754"/>
      <c r="M31" s="736"/>
    </row>
    <row r="32" spans="3:15" s="731" customFormat="1">
      <c r="H32" s="736"/>
      <c r="I32" s="736"/>
      <c r="J32" s="736"/>
      <c r="K32" s="736"/>
      <c r="L32" s="754"/>
      <c r="M32" s="736"/>
    </row>
    <row r="33" spans="1:13" s="731" customFormat="1">
      <c r="H33" s="736"/>
      <c r="I33" s="736"/>
      <c r="J33" s="736"/>
      <c r="K33" s="736"/>
      <c r="L33" s="754"/>
      <c r="M33" s="736"/>
    </row>
    <row r="34" spans="1:13" s="731" customFormat="1">
      <c r="H34" s="736"/>
      <c r="I34" s="736"/>
      <c r="J34" s="736"/>
      <c r="K34" s="736"/>
      <c r="L34" s="754"/>
      <c r="M34" s="736"/>
    </row>
    <row r="35" spans="1:13" s="731" customFormat="1">
      <c r="H35" s="736"/>
      <c r="I35" s="736"/>
      <c r="J35" s="736"/>
      <c r="K35" s="736"/>
      <c r="L35" s="754"/>
      <c r="M35" s="736"/>
    </row>
    <row r="36" spans="1:13" s="731" customFormat="1">
      <c r="H36" s="736"/>
      <c r="I36" s="736"/>
      <c r="J36" s="736"/>
      <c r="K36" s="736"/>
      <c r="L36" s="754"/>
      <c r="M36" s="736"/>
    </row>
    <row r="37" spans="1:13" ht="15.75" thickBot="1">
      <c r="A37" s="730" t="s">
        <v>154</v>
      </c>
      <c r="B37" s="728" t="s">
        <v>154</v>
      </c>
      <c r="C37" s="729"/>
      <c r="D37" s="729"/>
      <c r="E37" s="729"/>
      <c r="F37" s="729"/>
      <c r="G37" s="729"/>
      <c r="H37" s="729"/>
      <c r="I37" s="729"/>
      <c r="J37" s="743"/>
      <c r="K37" s="743"/>
      <c r="L37" s="743"/>
      <c r="M37" s="728" t="s">
        <v>154</v>
      </c>
    </row>
    <row r="38" spans="1:13">
      <c r="J38" s="742"/>
      <c r="K38" s="742"/>
      <c r="L38" s="742"/>
    </row>
    <row r="39" spans="1:13" ht="18">
      <c r="A39" s="740" t="s">
        <v>154</v>
      </c>
      <c r="B39" s="741" t="s">
        <v>381</v>
      </c>
      <c r="J39" s="730"/>
      <c r="K39" s="730"/>
      <c r="L39" s="730" t="s">
        <v>154</v>
      </c>
      <c r="M39" s="740" t="s">
        <v>154</v>
      </c>
    </row>
    <row r="40" spans="1:13">
      <c r="B40" s="726" t="s">
        <v>380</v>
      </c>
      <c r="J40" s="656"/>
      <c r="K40" s="656"/>
      <c r="L40" s="656"/>
    </row>
    <row r="41" spans="1:13">
      <c r="B41" s="738"/>
      <c r="C41" s="738"/>
      <c r="D41" s="738"/>
      <c r="E41" s="738"/>
      <c r="F41" s="738"/>
      <c r="G41" s="738"/>
      <c r="H41" s="738"/>
      <c r="I41" s="738"/>
      <c r="J41" s="739"/>
      <c r="K41" s="739"/>
      <c r="L41" s="739"/>
    </row>
    <row r="42" spans="1:13">
      <c r="B42" s="738"/>
      <c r="C42" s="738"/>
      <c r="D42" s="738"/>
      <c r="E42" s="738"/>
      <c r="F42" s="738"/>
      <c r="G42" s="738"/>
      <c r="H42" s="738"/>
      <c r="I42" s="738"/>
      <c r="J42" s="739"/>
      <c r="K42" s="739"/>
      <c r="L42" s="739"/>
    </row>
    <row r="43" spans="1:13">
      <c r="B43" s="738"/>
      <c r="C43" s="738"/>
      <c r="D43" s="738"/>
      <c r="E43" s="738"/>
      <c r="F43" s="738"/>
      <c r="G43" s="738"/>
      <c r="H43" s="738"/>
      <c r="I43" s="738"/>
      <c r="J43" s="737"/>
      <c r="K43" s="737" t="s">
        <v>379</v>
      </c>
      <c r="L43" s="737"/>
    </row>
    <row r="45" spans="1:13" s="731" customFormat="1">
      <c r="C45" s="731" t="s">
        <v>204</v>
      </c>
      <c r="J45" s="736"/>
      <c r="K45" s="736"/>
      <c r="L45" s="736"/>
    </row>
    <row r="46" spans="1:13">
      <c r="D46" s="726" t="s">
        <v>359</v>
      </c>
      <c r="J46" s="735"/>
      <c r="K46" s="735">
        <v>573</v>
      </c>
      <c r="L46" s="735"/>
    </row>
    <row r="47" spans="1:13">
      <c r="D47" s="726" t="s">
        <v>358</v>
      </c>
      <c r="J47" s="734"/>
      <c r="K47" s="734"/>
      <c r="L47" s="734"/>
    </row>
    <row r="48" spans="1:13">
      <c r="D48" s="726" t="s">
        <v>35</v>
      </c>
      <c r="J48" s="734"/>
      <c r="K48" s="734">
        <v>147662</v>
      </c>
      <c r="L48" s="734"/>
    </row>
    <row r="49" spans="1:12">
      <c r="D49" s="726" t="s">
        <v>115</v>
      </c>
      <c r="J49" s="734"/>
      <c r="K49" s="734"/>
      <c r="L49" s="734"/>
    </row>
    <row r="50" spans="1:12">
      <c r="D50" s="726" t="s">
        <v>357</v>
      </c>
      <c r="J50" s="734"/>
      <c r="K50" s="734">
        <v>-40420</v>
      </c>
      <c r="L50" s="734"/>
    </row>
    <row r="51" spans="1:12" s="731" customFormat="1">
      <c r="C51" s="731" t="s">
        <v>356</v>
      </c>
      <c r="J51" s="732"/>
      <c r="K51" s="732">
        <f>SUM(K46:K50)</f>
        <v>107815</v>
      </c>
      <c r="L51" s="732"/>
    </row>
    <row r="52" spans="1:12" ht="15.75" thickBot="1">
      <c r="A52" s="730" t="s">
        <v>154</v>
      </c>
      <c r="B52" s="728" t="s">
        <v>154</v>
      </c>
      <c r="C52" s="729"/>
      <c r="D52" s="729"/>
      <c r="E52" s="729"/>
      <c r="F52" s="729"/>
      <c r="G52" s="729"/>
      <c r="H52" s="729"/>
      <c r="I52" s="729"/>
      <c r="J52" s="728"/>
      <c r="K52" s="728"/>
      <c r="L52" s="728" t="s">
        <v>154</v>
      </c>
    </row>
    <row r="53" spans="1:12">
      <c r="K53" s="656"/>
      <c r="L53" s="656"/>
    </row>
    <row r="54" spans="1:12">
      <c r="C54" s="727" t="s">
        <v>355</v>
      </c>
      <c r="J54" s="726" t="s">
        <v>378</v>
      </c>
      <c r="L54" s="753">
        <v>1000</v>
      </c>
    </row>
    <row r="55" spans="1:12">
      <c r="D55" s="726" t="s">
        <v>377</v>
      </c>
    </row>
    <row r="56" spans="1:12">
      <c r="D56" s="726" t="s">
        <v>376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66CCFF"/>
  </sheetPr>
  <dimension ref="B3:W34"/>
  <sheetViews>
    <sheetView showGridLines="0" zoomScaleSheetLayoutView="80" workbookViewId="0"/>
  </sheetViews>
  <sheetFormatPr defaultColWidth="9.140625" defaultRowHeight="15" outlineLevelCol="1"/>
  <cols>
    <col min="1" max="1" width="9.140625" style="98"/>
    <col min="2" max="2" width="17.28515625" style="98" customWidth="1"/>
    <col min="3" max="3" width="12.7109375" style="98" customWidth="1" outlineLevel="1"/>
    <col min="4" max="4" width="10.7109375" style="98" customWidth="1" outlineLevel="1"/>
    <col min="5" max="5" width="10" style="98" customWidth="1" outlineLevel="1"/>
    <col min="6" max="6" width="2.7109375" style="98" customWidth="1" outlineLevel="1" collapsed="1"/>
    <col min="7" max="7" width="10.5703125" style="98" customWidth="1" outlineLevel="1"/>
    <col min="8" max="8" width="9.140625" style="98" customWidth="1" outlineLevel="1"/>
    <col min="9" max="9" width="10.5703125" style="98" customWidth="1" outlineLevel="1"/>
    <col min="10" max="10" width="2.7109375" style="98" customWidth="1"/>
    <col min="11" max="11" width="10.5703125" style="98" bestFit="1" customWidth="1"/>
    <col min="12" max="12" width="9.140625" style="98"/>
    <col min="13" max="13" width="10.5703125" style="98" bestFit="1" customWidth="1"/>
    <col min="14" max="14" width="2.7109375" style="98" customWidth="1"/>
    <col min="15" max="15" width="10.5703125" style="98" bestFit="1" customWidth="1"/>
    <col min="16" max="16" width="9.140625" style="98"/>
    <col min="17" max="17" width="10.5703125" style="98" bestFit="1" customWidth="1"/>
    <col min="18" max="19" width="9.140625" style="98"/>
    <col min="20" max="20" width="26.5703125" style="98" bestFit="1" customWidth="1"/>
    <col min="21" max="21" width="18.140625" style="98" customWidth="1"/>
    <col min="22" max="22" width="12.7109375" style="98" bestFit="1" customWidth="1"/>
    <col min="23" max="23" width="11.7109375" style="98" customWidth="1"/>
    <col min="24" max="16384" width="9.140625" style="98"/>
  </cols>
  <sheetData>
    <row r="3" spans="2:23">
      <c r="B3" s="437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</row>
    <row r="4" spans="2:23">
      <c r="B4" s="437"/>
      <c r="C4" s="432" t="s">
        <v>195</v>
      </c>
      <c r="D4" s="433"/>
      <c r="E4" s="433"/>
      <c r="F4" s="434"/>
      <c r="G4" s="432" t="s">
        <v>305</v>
      </c>
      <c r="H4" s="433"/>
      <c r="I4" s="433"/>
      <c r="J4" s="434"/>
      <c r="K4" s="432" t="s">
        <v>196</v>
      </c>
      <c r="L4" s="433"/>
      <c r="M4" s="433"/>
      <c r="N4" s="434"/>
      <c r="O4" s="432" t="s">
        <v>197</v>
      </c>
      <c r="P4" s="433"/>
      <c r="Q4" s="433"/>
      <c r="R4" s="437"/>
    </row>
    <row r="5" spans="2:23">
      <c r="B5" s="437"/>
      <c r="C5" s="432" t="s">
        <v>198</v>
      </c>
      <c r="D5" s="433"/>
      <c r="E5" s="433"/>
      <c r="F5" s="434"/>
      <c r="G5" s="432" t="s">
        <v>306</v>
      </c>
      <c r="H5" s="433"/>
      <c r="I5" s="433"/>
      <c r="J5" s="434"/>
      <c r="K5" s="432" t="s">
        <v>199</v>
      </c>
      <c r="L5" s="433"/>
      <c r="M5" s="433"/>
      <c r="N5" s="434"/>
      <c r="O5" s="432" t="s">
        <v>200</v>
      </c>
      <c r="P5" s="433"/>
      <c r="Q5" s="433"/>
      <c r="R5" s="437"/>
    </row>
    <row r="6" spans="2:23">
      <c r="B6" s="437"/>
      <c r="C6" s="435" t="s">
        <v>156</v>
      </c>
      <c r="D6" s="435" t="s">
        <v>194</v>
      </c>
      <c r="E6" s="435" t="s">
        <v>155</v>
      </c>
      <c r="F6" s="436"/>
      <c r="G6" s="435" t="str">
        <f>C6</f>
        <v>Low</v>
      </c>
      <c r="H6" s="435" t="str">
        <f>D6</f>
        <v>—</v>
      </c>
      <c r="I6" s="435" t="str">
        <f>E6</f>
        <v>High</v>
      </c>
      <c r="J6" s="436"/>
      <c r="K6" s="435" t="str">
        <f>G6</f>
        <v>Low</v>
      </c>
      <c r="L6" s="435" t="str">
        <f>H6</f>
        <v>—</v>
      </c>
      <c r="M6" s="435" t="str">
        <f>I6</f>
        <v>High</v>
      </c>
      <c r="N6" s="436"/>
      <c r="O6" s="435" t="str">
        <f>K6</f>
        <v>Low</v>
      </c>
      <c r="P6" s="435" t="str">
        <f>L6</f>
        <v>—</v>
      </c>
      <c r="Q6" s="435" t="str">
        <f>M6</f>
        <v>High</v>
      </c>
      <c r="R6" s="437"/>
    </row>
    <row r="7" spans="2:23"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</row>
    <row r="8" spans="2:23">
      <c r="B8" s="452" t="s">
        <v>201</v>
      </c>
      <c r="C8" s="438">
        <v>56.26</v>
      </c>
      <c r="D8" s="439" t="s">
        <v>194</v>
      </c>
      <c r="E8" s="438">
        <v>77.599999999999994</v>
      </c>
      <c r="F8" s="439"/>
      <c r="G8" s="440">
        <f>G10/G9</f>
        <v>67.080915711553772</v>
      </c>
      <c r="H8" s="440" t="s">
        <v>194</v>
      </c>
      <c r="I8" s="440">
        <f>I10/I9</f>
        <v>97.99951420744631</v>
      </c>
      <c r="J8" s="437"/>
      <c r="K8" s="440">
        <f>K10/K9</f>
        <v>108.30571370607716</v>
      </c>
      <c r="L8" s="440" t="s">
        <v>194</v>
      </c>
      <c r="M8" s="440">
        <f>M10/M9</f>
        <v>149.53051170060056</v>
      </c>
      <c r="N8" s="437"/>
      <c r="O8" s="441">
        <f ca="1">'DCF Analysis'!E38</f>
        <v>88.466922274781354</v>
      </c>
      <c r="P8" s="442" t="str">
        <f>L8</f>
        <v>—</v>
      </c>
      <c r="Q8" s="441">
        <f ca="1">'DCF Analysis'!F38</f>
        <v>96.341945371115571</v>
      </c>
      <c r="R8" s="437"/>
    </row>
    <row r="9" spans="2:23">
      <c r="B9" s="437" t="s">
        <v>202</v>
      </c>
      <c r="C9" s="453">
        <f>'DCF Analysis'!E37</f>
        <v>3365.7411739999998</v>
      </c>
      <c r="D9" s="439" t="s">
        <v>194</v>
      </c>
      <c r="E9" s="453">
        <f>C9</f>
        <v>3365.7411739999998</v>
      </c>
      <c r="F9" s="439"/>
      <c r="G9" s="444">
        <f>E9</f>
        <v>3365.7411739999998</v>
      </c>
      <c r="H9" s="444"/>
      <c r="I9" s="444">
        <f>G9</f>
        <v>3365.7411739999998</v>
      </c>
      <c r="J9" s="437"/>
      <c r="K9" s="444">
        <f>I9</f>
        <v>3365.7411739999998</v>
      </c>
      <c r="L9" s="444"/>
      <c r="M9" s="444">
        <f>K9</f>
        <v>3365.7411739999998</v>
      </c>
      <c r="N9" s="437"/>
      <c r="O9" s="444">
        <f>C9</f>
        <v>3365.7411739999998</v>
      </c>
      <c r="P9" s="437"/>
      <c r="Q9" s="444">
        <f>E9</f>
        <v>3365.7411739999998</v>
      </c>
      <c r="R9" s="437"/>
      <c r="T9" s="101" t="s">
        <v>205</v>
      </c>
    </row>
    <row r="10" spans="2:23">
      <c r="B10" s="452" t="s">
        <v>203</v>
      </c>
      <c r="C10" s="443">
        <f>C8*C9</f>
        <v>189356.59844923997</v>
      </c>
      <c r="D10" s="439" t="s">
        <v>194</v>
      </c>
      <c r="E10" s="443">
        <f>E8*E9</f>
        <v>261181.51510239995</v>
      </c>
      <c r="F10" s="439"/>
      <c r="G10" s="444">
        <f>G12-G11</f>
        <v>225777</v>
      </c>
      <c r="H10" s="444"/>
      <c r="I10" s="444">
        <f>I12-I11</f>
        <v>329841</v>
      </c>
      <c r="J10" s="437"/>
      <c r="K10" s="444">
        <f>K12-K11</f>
        <v>364529</v>
      </c>
      <c r="L10" s="444"/>
      <c r="M10" s="444">
        <f>M12-M11</f>
        <v>503281</v>
      </c>
      <c r="N10" s="437"/>
      <c r="O10" s="444">
        <f ca="1">O8*O9</f>
        <v>297756.76283728931</v>
      </c>
      <c r="P10" s="437"/>
      <c r="Q10" s="444">
        <f ca="1">Q8*Q9</f>
        <v>324262.05231882236</v>
      </c>
      <c r="R10" s="437"/>
      <c r="T10" s="99" t="str">
        <f>T23</f>
        <v>52-Week high/low</v>
      </c>
      <c r="U10" s="98" t="str">
        <f>TEXT(U31,"$0,0")&amp;" / "&amp;""&amp;TEXT(U23,"$0.00")</f>
        <v>$241,084 / $56.26</v>
      </c>
      <c r="W10" s="98" t="str">
        <f>TEXT(W31,"$0,0")&amp;" / "&amp;""&amp;TEXT(W23,"$0.00")</f>
        <v>$312,909 / $77.60</v>
      </c>
    </row>
    <row r="11" spans="2:23">
      <c r="B11" s="437" t="s">
        <v>424</v>
      </c>
      <c r="C11" s="454">
        <f>'DCF Analysis'!E35</f>
        <v>51727</v>
      </c>
      <c r="D11" s="439" t="s">
        <v>194</v>
      </c>
      <c r="E11" s="454">
        <f>C11</f>
        <v>51727</v>
      </c>
      <c r="F11" s="439"/>
      <c r="G11" s="444">
        <f>E11</f>
        <v>51727</v>
      </c>
      <c r="H11" s="444"/>
      <c r="I11" s="444">
        <f>G11</f>
        <v>51727</v>
      </c>
      <c r="J11" s="437"/>
      <c r="K11" s="444">
        <f>I11</f>
        <v>51727</v>
      </c>
      <c r="L11" s="444"/>
      <c r="M11" s="444">
        <f>K11</f>
        <v>51727</v>
      </c>
      <c r="N11" s="437"/>
      <c r="O11" s="444">
        <f>C11</f>
        <v>51727</v>
      </c>
      <c r="P11" s="437"/>
      <c r="Q11" s="444">
        <f>E11</f>
        <v>51727</v>
      </c>
      <c r="R11" s="437"/>
      <c r="T11" s="99" t="s">
        <v>210</v>
      </c>
      <c r="U11" s="98" t="str">
        <f>TEXT(U32,"$0,0")&amp;" / "&amp;""&amp;TEXT(U24,"$0.00")</f>
        <v>$277,504 / $67.08</v>
      </c>
      <c r="W11" s="98" t="str">
        <f>TEXT(W32,"$0,0")&amp;" / "&amp;""&amp;TEXT(W24,"$0.00")</f>
        <v>$381,568 / $98.00</v>
      </c>
    </row>
    <row r="12" spans="2:23">
      <c r="B12" s="452" t="s">
        <v>180</v>
      </c>
      <c r="C12" s="445">
        <f>C10+C11</f>
        <v>241083.59844923997</v>
      </c>
      <c r="D12" s="446" t="s">
        <v>194</v>
      </c>
      <c r="E12" s="445">
        <f>E10+E11</f>
        <v>312908.51510239998</v>
      </c>
      <c r="F12" s="439"/>
      <c r="G12" s="447">
        <f>G14*G13</f>
        <v>277504</v>
      </c>
      <c r="H12" s="447" t="s">
        <v>194</v>
      </c>
      <c r="I12" s="447">
        <f>I14*I13</f>
        <v>381568</v>
      </c>
      <c r="J12" s="437"/>
      <c r="K12" s="447">
        <f>K14*K13</f>
        <v>416256</v>
      </c>
      <c r="L12" s="447" t="s">
        <v>194</v>
      </c>
      <c r="M12" s="447">
        <f>M14*M13</f>
        <v>555008</v>
      </c>
      <c r="N12" s="437"/>
      <c r="O12" s="447">
        <f ca="1">O10+O11</f>
        <v>349483.76283728931</v>
      </c>
      <c r="P12" s="448" t="s">
        <v>194</v>
      </c>
      <c r="Q12" s="447">
        <f ca="1">Q10+Q11</f>
        <v>375989.05231882236</v>
      </c>
      <c r="R12" s="437"/>
      <c r="T12" s="99" t="s">
        <v>211</v>
      </c>
      <c r="U12" s="98" t="str">
        <f>TEXT(U33,"$0,0")&amp;" / "&amp;""&amp;TEXT(U25,"$0.00")</f>
        <v>$416,256 / $108.31</v>
      </c>
      <c r="W12" s="98" t="str">
        <f>TEXT(W33,"$0,0")&amp;" / "&amp;""&amp;TEXT(W25,"$0.00")</f>
        <v>$555,008 / $149.53</v>
      </c>
    </row>
    <row r="13" spans="2:23">
      <c r="B13" s="437" t="s">
        <v>304</v>
      </c>
      <c r="C13" s="444">
        <f>'Wal-Mart Comp'!F22</f>
        <v>34688</v>
      </c>
      <c r="D13" s="439"/>
      <c r="E13" s="444">
        <f>C13</f>
        <v>34688</v>
      </c>
      <c r="F13" s="439"/>
      <c r="G13" s="449">
        <f>E13</f>
        <v>34688</v>
      </c>
      <c r="H13" s="439"/>
      <c r="I13" s="449">
        <f>G13</f>
        <v>34688</v>
      </c>
      <c r="J13" s="437"/>
      <c r="K13" s="449">
        <f>I13</f>
        <v>34688</v>
      </c>
      <c r="L13" s="439"/>
      <c r="M13" s="449">
        <f>K13</f>
        <v>34688</v>
      </c>
      <c r="N13" s="437"/>
      <c r="O13" s="449">
        <f>M13</f>
        <v>34688</v>
      </c>
      <c r="P13" s="437"/>
      <c r="Q13" s="449">
        <f>O13</f>
        <v>34688</v>
      </c>
      <c r="R13" s="437"/>
      <c r="T13" s="99" t="s">
        <v>212</v>
      </c>
      <c r="U13" s="98" t="str">
        <f ca="1">TEXT(U34,"$0,0")&amp;" / "&amp;""&amp;TEXT(U26,"$0.00")</f>
        <v>$349,484 / $88.47</v>
      </c>
      <c r="W13" s="98" t="str">
        <f ca="1">TEXT(W34,"$0,0")&amp;" / "&amp;""&amp;TEXT(W26,"$0.00")</f>
        <v>$375,989 / $96.34</v>
      </c>
    </row>
    <row r="14" spans="2:23">
      <c r="B14" s="437" t="s">
        <v>135</v>
      </c>
      <c r="C14" s="450">
        <f>C12/C13</f>
        <v>6.9500576121206175</v>
      </c>
      <c r="D14" s="446" t="s">
        <v>194</v>
      </c>
      <c r="E14" s="450">
        <f>E12/E13</f>
        <v>9.0206559934963089</v>
      </c>
      <c r="F14" s="439"/>
      <c r="G14" s="451">
        <v>8</v>
      </c>
      <c r="H14" s="446" t="s">
        <v>194</v>
      </c>
      <c r="I14" s="451">
        <v>11</v>
      </c>
      <c r="J14" s="437"/>
      <c r="K14" s="451">
        <v>12</v>
      </c>
      <c r="L14" s="446" t="s">
        <v>194</v>
      </c>
      <c r="M14" s="451">
        <v>16</v>
      </c>
      <c r="N14" s="437"/>
      <c r="O14" s="450">
        <f ca="1">O12/O13</f>
        <v>10.075062351167242</v>
      </c>
      <c r="P14" s="448" t="s">
        <v>194</v>
      </c>
      <c r="Q14" s="450">
        <f ca="1">Q12/Q13</f>
        <v>10.839167790556456</v>
      </c>
      <c r="R14" s="437"/>
    </row>
    <row r="15" spans="2:23"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7"/>
      <c r="M15" s="437"/>
      <c r="N15" s="437"/>
      <c r="O15" s="437"/>
      <c r="P15" s="437"/>
      <c r="Q15" s="437"/>
      <c r="R15" s="437"/>
    </row>
    <row r="16" spans="2:23">
      <c r="B16" s="437"/>
      <c r="C16" s="437"/>
      <c r="D16" s="437"/>
      <c r="E16" s="437"/>
      <c r="F16" s="437"/>
      <c r="G16" s="437"/>
      <c r="H16" s="437"/>
      <c r="I16" s="437"/>
      <c r="J16" s="437"/>
      <c r="K16" s="437"/>
      <c r="L16" s="437"/>
      <c r="M16" s="437"/>
      <c r="N16" s="437"/>
      <c r="O16" s="437"/>
      <c r="P16" s="437"/>
      <c r="Q16" s="437"/>
      <c r="R16" s="437"/>
    </row>
    <row r="20" spans="3:23">
      <c r="C20" s="99"/>
    </row>
    <row r="21" spans="3:23">
      <c r="T21" s="100"/>
      <c r="U21" s="100"/>
      <c r="V21" s="100"/>
      <c r="W21" s="100"/>
    </row>
    <row r="22" spans="3:23">
      <c r="T22" s="101" t="s">
        <v>205</v>
      </c>
      <c r="U22" s="101" t="s">
        <v>206</v>
      </c>
      <c r="V22" s="101" t="s">
        <v>207</v>
      </c>
      <c r="W22" s="101" t="s">
        <v>208</v>
      </c>
    </row>
    <row r="23" spans="3:23">
      <c r="C23" s="99" t="s">
        <v>213</v>
      </c>
      <c r="T23" s="99" t="s">
        <v>209</v>
      </c>
      <c r="U23" s="102">
        <f>C8</f>
        <v>56.26</v>
      </c>
      <c r="V23" s="102">
        <f>W23-U23</f>
        <v>21.339999999999996</v>
      </c>
      <c r="W23" s="102">
        <f>E8</f>
        <v>77.599999999999994</v>
      </c>
    </row>
    <row r="24" spans="3:23">
      <c r="C24" s="431">
        <f>'DCF Analysis'!O22</f>
        <v>73.819999999999993</v>
      </c>
      <c r="T24" s="99" t="s">
        <v>307</v>
      </c>
      <c r="U24" s="102">
        <f>G8</f>
        <v>67.080915711553772</v>
      </c>
      <c r="V24" s="102">
        <f>W24-U24</f>
        <v>30.918598495892539</v>
      </c>
      <c r="W24" s="102">
        <f>I8</f>
        <v>97.99951420744631</v>
      </c>
    </row>
    <row r="25" spans="3:23">
      <c r="T25" s="99" t="s">
        <v>308</v>
      </c>
      <c r="U25" s="102">
        <f>K8</f>
        <v>108.30571370607716</v>
      </c>
      <c r="V25" s="102">
        <f>W25-U25</f>
        <v>41.224797994523399</v>
      </c>
      <c r="W25" s="102">
        <f>M8</f>
        <v>149.53051170060056</v>
      </c>
    </row>
    <row r="26" spans="3:23">
      <c r="T26" s="99" t="s">
        <v>212</v>
      </c>
      <c r="U26" s="102">
        <f ca="1">O8</f>
        <v>88.466922274781354</v>
      </c>
      <c r="V26" s="102">
        <f ca="1">W26-U26</f>
        <v>7.8750230963342176</v>
      </c>
      <c r="W26" s="102">
        <f ca="1">Q8</f>
        <v>96.341945371115571</v>
      </c>
    </row>
    <row r="27" spans="3:23" ht="3.95" customHeight="1" thickBot="1">
      <c r="T27" s="103"/>
      <c r="U27" s="103"/>
      <c r="V27" s="103"/>
      <c r="W27" s="103"/>
    </row>
    <row r="30" spans="3:23">
      <c r="T30" s="101" t="s">
        <v>205</v>
      </c>
      <c r="U30" s="101" t="s">
        <v>206</v>
      </c>
      <c r="V30" s="101" t="s">
        <v>207</v>
      </c>
      <c r="W30" s="101" t="s">
        <v>208</v>
      </c>
    </row>
    <row r="31" spans="3:23">
      <c r="T31" s="99" t="str">
        <f>T23</f>
        <v>52-Week high/low</v>
      </c>
      <c r="U31" s="102">
        <f>C12</f>
        <v>241083.59844923997</v>
      </c>
      <c r="V31" s="102">
        <f>W31-U31</f>
        <v>71824.916653160006</v>
      </c>
      <c r="W31" s="102">
        <f>E12</f>
        <v>312908.51510239998</v>
      </c>
    </row>
    <row r="32" spans="3:23">
      <c r="T32" s="99" t="str">
        <f>T24</f>
        <v>Comparable company analysis</v>
      </c>
      <c r="U32" s="102">
        <f>G12</f>
        <v>277504</v>
      </c>
      <c r="V32" s="102">
        <f>W32-U32</f>
        <v>104064</v>
      </c>
      <c r="W32" s="102">
        <f>I12</f>
        <v>381568</v>
      </c>
    </row>
    <row r="33" spans="20:23">
      <c r="T33" s="99" t="str">
        <f>T25</f>
        <v>Precedent transactions</v>
      </c>
      <c r="U33" s="102">
        <f>K12</f>
        <v>416256</v>
      </c>
      <c r="V33" s="102">
        <f>W33-U33</f>
        <v>138752</v>
      </c>
      <c r="W33" s="102">
        <f>M12</f>
        <v>555008</v>
      </c>
    </row>
    <row r="34" spans="20:23">
      <c r="T34" s="99" t="str">
        <f>T26</f>
        <v>Discounted cash flow analysis</v>
      </c>
      <c r="U34" s="102">
        <f ca="1">O12</f>
        <v>349483.76283728931</v>
      </c>
      <c r="V34" s="102">
        <f ca="1">W34-U34</f>
        <v>26505.289481533051</v>
      </c>
      <c r="W34" s="102">
        <f ca="1">Q12</f>
        <v>375989.05231882236</v>
      </c>
    </row>
  </sheetData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1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1" width="2.7109375" style="51" customWidth="1"/>
    <col min="2" max="2" width="2.7109375" style="2" customWidth="1"/>
    <col min="3" max="3" width="47.710937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4" ht="58.5" customHeight="1">
      <c r="E1" s="35"/>
      <c r="F1" s="54"/>
      <c r="G1" s="34"/>
      <c r="H1" s="54"/>
      <c r="I1" s="54"/>
      <c r="J1" s="54"/>
      <c r="K1" s="54"/>
    </row>
    <row r="2" spans="1:14" ht="12.75" customHeight="1">
      <c r="A2" s="32" t="s">
        <v>14</v>
      </c>
      <c r="B2" s="32"/>
      <c r="C2" s="44"/>
      <c r="D2" s="33"/>
      <c r="E2" s="33"/>
      <c r="F2" s="36"/>
      <c r="G2" s="32"/>
      <c r="H2" s="36"/>
      <c r="I2" s="36"/>
      <c r="J2" s="36"/>
      <c r="K2" s="36"/>
    </row>
    <row r="3" spans="1:14" ht="12.75" customHeight="1">
      <c r="A3" s="5" t="s">
        <v>107</v>
      </c>
      <c r="B3" s="6"/>
      <c r="C3" s="38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  <c r="M3"/>
    </row>
    <row r="4" spans="1:14" ht="12.75" customHeight="1">
      <c r="A4" s="5"/>
      <c r="B4" s="6"/>
      <c r="C4" s="38"/>
      <c r="D4" s="38"/>
      <c r="E4" s="38"/>
      <c r="F4" s="37"/>
      <c r="G4" s="37"/>
      <c r="H4" s="37"/>
      <c r="I4" s="37"/>
      <c r="J4" s="37"/>
      <c r="K4" s="37"/>
    </row>
    <row r="5" spans="1:14" ht="12.75" customHeight="1">
      <c r="A5" s="39" t="s">
        <v>349</v>
      </c>
      <c r="B5" s="40"/>
      <c r="C5" s="43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4" ht="21" customHeight="1">
      <c r="A6" s="105" t="s">
        <v>20</v>
      </c>
      <c r="B6" s="105"/>
      <c r="C6" s="105"/>
      <c r="D6" s="151"/>
      <c r="E6" s="151"/>
      <c r="F6" s="151"/>
      <c r="G6" s="151"/>
      <c r="H6" s="151"/>
      <c r="I6" s="151"/>
      <c r="J6" s="151"/>
      <c r="K6" s="151"/>
    </row>
    <row r="7" spans="1:14" ht="12.75" customHeight="1">
      <c r="A7" s="116"/>
      <c r="B7" s="109" t="s">
        <v>59</v>
      </c>
      <c r="C7" s="120"/>
      <c r="D7" s="154">
        <v>14883</v>
      </c>
      <c r="E7" s="154">
        <v>16993</v>
      </c>
      <c r="F7" s="154">
        <v>16387</v>
      </c>
      <c r="G7" s="152">
        <f ca="1">'Income Statement'!G40</f>
        <v>17213.24092546224</v>
      </c>
      <c r="H7" s="152">
        <f ca="1">'Income Statement'!H40</f>
        <v>18052.013491583126</v>
      </c>
      <c r="I7" s="152">
        <f ca="1">'Income Statement'!I40</f>
        <v>18690.297633790899</v>
      </c>
      <c r="J7" s="152">
        <f ca="1">'Income Statement'!J40</f>
        <v>19094.170540806284</v>
      </c>
      <c r="K7" s="152">
        <f ca="1">'Income Statement'!K40</f>
        <v>19249.290706059412</v>
      </c>
      <c r="L7" s="55"/>
    </row>
    <row r="8" spans="1:14" ht="12.75" customHeight="1">
      <c r="A8" s="116"/>
      <c r="B8" s="109" t="s">
        <v>425</v>
      </c>
      <c r="C8" s="120"/>
      <c r="D8" s="154">
        <v>79</v>
      </c>
      <c r="E8" s="154">
        <v>-1034</v>
      </c>
      <c r="F8" s="154">
        <v>67</v>
      </c>
      <c r="G8" s="152">
        <f>-'Income Statement'!G39</f>
        <v>0</v>
      </c>
      <c r="H8" s="152">
        <f>-'Income Statement'!H39</f>
        <v>0</v>
      </c>
      <c r="I8" s="152">
        <f>-'Income Statement'!I39</f>
        <v>0</v>
      </c>
      <c r="J8" s="152">
        <f>-'Income Statement'!J39</f>
        <v>0</v>
      </c>
      <c r="K8" s="152">
        <f>-'Income Statement'!K39</f>
        <v>0</v>
      </c>
      <c r="L8" s="55"/>
    </row>
    <row r="9" spans="1:14" ht="12.75" customHeight="1">
      <c r="A9" s="116"/>
      <c r="B9" s="120" t="s">
        <v>46</v>
      </c>
      <c r="C9" s="120"/>
      <c r="D9" s="154">
        <v>7157</v>
      </c>
      <c r="E9" s="154">
        <v>7641</v>
      </c>
      <c r="F9" s="154">
        <v>8130</v>
      </c>
      <c r="G9" s="155">
        <f>'Income Statement'!G23</f>
        <v>8591.6632571428563</v>
      </c>
      <c r="H9" s="155">
        <f>'Income Statement'!H23</f>
        <v>9188.6096771428565</v>
      </c>
      <c r="I9" s="155">
        <f>'Income Statement'!I23</f>
        <v>9809.4339539428565</v>
      </c>
      <c r="J9" s="155">
        <f>'Income Statement'!J23</f>
        <v>10448.882959046856</v>
      </c>
      <c r="K9" s="155">
        <f>'Income Statement'!K23</f>
        <v>11101.120944252936</v>
      </c>
      <c r="L9" s="55"/>
    </row>
    <row r="10" spans="1:14" ht="12.75" customHeight="1">
      <c r="A10" s="116"/>
      <c r="B10" s="120" t="s">
        <v>19</v>
      </c>
      <c r="C10" s="120"/>
      <c r="D10" s="154">
        <v>-504</v>
      </c>
      <c r="E10" s="154">
        <v>651</v>
      </c>
      <c r="F10" s="154">
        <v>1050</v>
      </c>
      <c r="G10" s="155">
        <f>Depreciation!G37</f>
        <v>715.93057442185705</v>
      </c>
      <c r="H10" s="155">
        <f>Depreciation!H37</f>
        <v>1003.504280285808</v>
      </c>
      <c r="I10" s="155">
        <f>Depreciation!I37</f>
        <v>790.98604906752598</v>
      </c>
      <c r="J10" s="155">
        <f>Depreciation!J37</f>
        <v>596.3241351168856</v>
      </c>
      <c r="K10" s="155">
        <f>Depreciation!K37</f>
        <v>411.42494172131251</v>
      </c>
      <c r="L10" s="55"/>
    </row>
    <row r="11" spans="1:14" ht="12.75" customHeight="1">
      <c r="A11" s="116"/>
      <c r="B11" s="120" t="s">
        <v>110</v>
      </c>
      <c r="C11" s="120"/>
      <c r="D11" s="154">
        <v>318</v>
      </c>
      <c r="E11" s="154">
        <v>1087</v>
      </c>
      <c r="F11" s="154">
        <v>398</v>
      </c>
      <c r="G11" s="155">
        <f>MIN(D11:F11)</f>
        <v>318</v>
      </c>
      <c r="H11" s="155">
        <f>G11</f>
        <v>318</v>
      </c>
      <c r="I11" s="155">
        <f>H11</f>
        <v>318</v>
      </c>
      <c r="J11" s="155">
        <f>I11</f>
        <v>318</v>
      </c>
      <c r="K11" s="155">
        <f>J11</f>
        <v>318</v>
      </c>
      <c r="L11" s="55"/>
    </row>
    <row r="12" spans="1:14" ht="12.75" customHeight="1">
      <c r="A12" s="116"/>
      <c r="B12" s="117" t="s">
        <v>250</v>
      </c>
      <c r="C12" s="120"/>
      <c r="D12" s="155"/>
      <c r="E12" s="155"/>
      <c r="F12" s="155"/>
      <c r="G12" s="155"/>
      <c r="H12" s="155"/>
      <c r="I12" s="155"/>
      <c r="J12" s="155"/>
      <c r="K12" s="155"/>
      <c r="L12" s="55"/>
    </row>
    <row r="13" spans="1:14" ht="12.75" customHeight="1">
      <c r="A13" s="116"/>
      <c r="B13" s="120"/>
      <c r="C13" s="120" t="s">
        <v>23</v>
      </c>
      <c r="D13" s="154">
        <v>-297</v>
      </c>
      <c r="E13" s="154">
        <v>-733</v>
      </c>
      <c r="F13" s="154">
        <v>-796</v>
      </c>
      <c r="G13" s="155">
        <f>-('Operating Working Capital'!G7-'Operating Working Capital'!F7)</f>
        <v>146.51444444444405</v>
      </c>
      <c r="H13" s="155">
        <f>-('Operating Working Capital'!H7-'Operating Working Capital'!G7)</f>
        <v>-289.52427777777848</v>
      </c>
      <c r="I13" s="155">
        <f>-('Operating Working Capital'!I7-'Operating Working Capital'!H7)</f>
        <v>-243.20039333333352</v>
      </c>
      <c r="J13" s="155">
        <f>-('Operating Working Capital'!J7-'Operating Working Capital'!I7)</f>
        <v>-189.69630679999955</v>
      </c>
      <c r="K13" s="155">
        <f>-('Operating Working Capital'!K7-'Operating Working Capital'!J7)</f>
        <v>-130.25813066933461</v>
      </c>
      <c r="L13" s="55"/>
    </row>
    <row r="14" spans="1:14" ht="12.75" customHeight="1">
      <c r="A14" s="116"/>
      <c r="B14" s="120"/>
      <c r="C14" s="120" t="s">
        <v>24</v>
      </c>
      <c r="D14" s="154">
        <v>2213</v>
      </c>
      <c r="E14" s="154">
        <v>-3205</v>
      </c>
      <c r="F14" s="154">
        <v>-3727</v>
      </c>
      <c r="G14" s="155">
        <f>-('Operating Working Capital'!G9-'Operating Working Capital'!F9)</f>
        <v>-148.40374999999767</v>
      </c>
      <c r="H14" s="155">
        <f>-('Operating Working Capital'!H9-'Operating Working Capital'!G9)</f>
        <v>-2043.120187499997</v>
      </c>
      <c r="I14" s="155">
        <f>-('Operating Working Capital'!I9-'Operating Working Capital'!H9)</f>
        <v>-1716.2209575000088</v>
      </c>
      <c r="J14" s="155">
        <f>-('Operating Working Capital'!J9-'Operating Working Capital'!I9)</f>
        <v>-1338.6523468500018</v>
      </c>
      <c r="K14" s="155">
        <f>-('Operating Working Capital'!K9-'Operating Working Capital'!J9)</f>
        <v>-919.20794483699865</v>
      </c>
      <c r="L14" s="55"/>
    </row>
    <row r="15" spans="1:14" ht="12.75" customHeight="1">
      <c r="A15" s="116"/>
      <c r="B15" s="120"/>
      <c r="C15" s="120" t="s">
        <v>252</v>
      </c>
      <c r="D15" s="154">
        <v>0</v>
      </c>
      <c r="E15" s="154">
        <v>0</v>
      </c>
      <c r="F15" s="154">
        <v>0</v>
      </c>
      <c r="G15" s="155">
        <f>-('Operating Working Capital'!G11-'Operating Working Capital'!F11)</f>
        <v>-773.85073000000011</v>
      </c>
      <c r="H15" s="155">
        <f>-('Operating Working Capital'!H11-'Operating Working Capital'!G11)</f>
        <v>-122.94253650000019</v>
      </c>
      <c r="I15" s="155">
        <f>-('Operating Working Capital'!I11-'Operating Working Capital'!H11)</f>
        <v>-103.27173065999978</v>
      </c>
      <c r="J15" s="155">
        <f>-('Operating Working Capital'!J11-'Operating Working Capital'!I11)</f>
        <v>-80.551949914800389</v>
      </c>
      <c r="K15" s="155">
        <f>-('Operating Working Capital'!K11-'Operating Working Capital'!J11)</f>
        <v>-55.312338941496364</v>
      </c>
      <c r="N15" s="55" t="s">
        <v>235</v>
      </c>
    </row>
    <row r="16" spans="1:14" ht="12.75" customHeight="1">
      <c r="A16" s="116"/>
      <c r="B16" s="120"/>
      <c r="C16" s="120" t="s">
        <v>25</v>
      </c>
      <c r="D16" s="154">
        <v>1052</v>
      </c>
      <c r="E16" s="154">
        <v>2676</v>
      </c>
      <c r="F16" s="154">
        <v>2687</v>
      </c>
      <c r="G16" s="155">
        <f>'Operating Working Capital'!G15-'Operating Working Capital'!F15</f>
        <v>701.15124999999534</v>
      </c>
      <c r="H16" s="155">
        <f>'Operating Working Capital'!H15-'Operating Working Capital'!G15</f>
        <v>1865.457562500007</v>
      </c>
      <c r="I16" s="155">
        <f>'Operating Working Capital'!I15-'Operating Working Capital'!H15</f>
        <v>1566.9843525000033</v>
      </c>
      <c r="J16" s="155">
        <f>'Operating Working Capital'!J15-'Operating Working Capital'!I15</f>
        <v>1222.2477949500026</v>
      </c>
      <c r="K16" s="155">
        <f>'Operating Working Capital'!K15-'Operating Working Capital'!J15</f>
        <v>839.27681919899624</v>
      </c>
      <c r="L16" s="55"/>
    </row>
    <row r="17" spans="1:14" ht="12.75" customHeight="1">
      <c r="A17" s="116"/>
      <c r="B17" s="120"/>
      <c r="C17" s="120" t="s">
        <v>111</v>
      </c>
      <c r="D17" s="154">
        <v>1348</v>
      </c>
      <c r="E17" s="154">
        <v>-433</v>
      </c>
      <c r="F17" s="154">
        <v>59</v>
      </c>
      <c r="G17" s="155">
        <f>'Operating Working Capital'!G17-'Operating Working Capital'!F17</f>
        <v>1425.7372944444433</v>
      </c>
      <c r="H17" s="155">
        <f>'Operating Working Capital'!H17-'Operating Working Capital'!G17</f>
        <v>978.98686472222471</v>
      </c>
      <c r="I17" s="155">
        <f>'Operating Working Capital'!I17-'Operating Working Capital'!H17</f>
        <v>822.34896636666599</v>
      </c>
      <c r="J17" s="155">
        <f>'Operating Working Capital'!J17-'Operating Working Capital'!I17</f>
        <v>641.43219376600246</v>
      </c>
      <c r="K17" s="155">
        <f>'Operating Working Capital'!K17-'Operating Working Capital'!J17</f>
        <v>440.45010638598615</v>
      </c>
      <c r="L17" s="55"/>
    </row>
    <row r="18" spans="1:14" ht="12.75" customHeight="1">
      <c r="A18" s="116"/>
      <c r="B18" s="120"/>
      <c r="C18" s="120" t="s">
        <v>253</v>
      </c>
      <c r="D18" s="154">
        <v>0</v>
      </c>
      <c r="E18" s="154">
        <v>0</v>
      </c>
      <c r="F18" s="154">
        <v>0</v>
      </c>
      <c r="G18" s="155">
        <f ca="1">'Operating Working Capital'!G19-'Operating Working Capital'!F19</f>
        <v>-459.841425325307</v>
      </c>
      <c r="H18" s="155">
        <f ca="1">'Operating Working Capital'!H19-'Operating Working Capital'!G19</f>
        <v>34.312474750890374</v>
      </c>
      <c r="I18" s="155">
        <f ca="1">'Operating Working Capital'!I19-'Operating Working Capital'!H19</f>
        <v>26.110902285091584</v>
      </c>
      <c r="J18" s="155">
        <f ca="1">'Operating Working Capital'!J19-'Operating Working Capital'!I19</f>
        <v>16.521616805641884</v>
      </c>
      <c r="K18" s="155">
        <f ca="1">'Operating Working Capital'!K19-'Operating Working Capital'!J19</f>
        <v>6.3456495462380644</v>
      </c>
      <c r="N18" s="55" t="s">
        <v>235</v>
      </c>
    </row>
    <row r="19" spans="1:14" ht="12.75" customHeight="1">
      <c r="A19" s="116"/>
      <c r="B19" s="120"/>
      <c r="C19" s="117" t="s">
        <v>251</v>
      </c>
      <c r="D19" s="156">
        <f>SUM(D13:D18)</f>
        <v>4316</v>
      </c>
      <c r="E19" s="156">
        <f t="shared" ref="E19:K19" si="0">SUM(E13:E18)</f>
        <v>-1695</v>
      </c>
      <c r="F19" s="156">
        <f t="shared" si="0"/>
        <v>-1777</v>
      </c>
      <c r="G19" s="156">
        <f t="shared" ca="1" si="0"/>
        <v>891.30708356357786</v>
      </c>
      <c r="H19" s="156">
        <f t="shared" ca="1" si="0"/>
        <v>423.16990019534649</v>
      </c>
      <c r="I19" s="156">
        <f t="shared" ca="1" si="0"/>
        <v>352.75113965841877</v>
      </c>
      <c r="J19" s="156">
        <f t="shared" ca="1" si="0"/>
        <v>271.3010019568452</v>
      </c>
      <c r="K19" s="156">
        <f t="shared" ca="1" si="0"/>
        <v>181.29416068339083</v>
      </c>
      <c r="L19" s="55"/>
    </row>
    <row r="20" spans="1:14" ht="12.75" customHeight="1">
      <c r="A20" s="116"/>
      <c r="B20" s="117" t="s">
        <v>225</v>
      </c>
      <c r="C20" s="120"/>
      <c r="D20" s="157">
        <f t="shared" ref="D20:K20" si="1">SUM(D7:D11,D19)</f>
        <v>26249</v>
      </c>
      <c r="E20" s="157">
        <f t="shared" si="1"/>
        <v>23643</v>
      </c>
      <c r="F20" s="157">
        <f t="shared" si="1"/>
        <v>24255</v>
      </c>
      <c r="G20" s="157">
        <f t="shared" ca="1" si="1"/>
        <v>27730.141840590532</v>
      </c>
      <c r="H20" s="157">
        <f t="shared" ca="1" si="1"/>
        <v>28985.297349207136</v>
      </c>
      <c r="I20" s="157">
        <f t="shared" ca="1" si="1"/>
        <v>29961.4687764597</v>
      </c>
      <c r="J20" s="157">
        <f t="shared" ca="1" si="1"/>
        <v>30728.678636926874</v>
      </c>
      <c r="K20" s="157">
        <f t="shared" ca="1" si="1"/>
        <v>31261.130752717054</v>
      </c>
      <c r="L20" s="55"/>
    </row>
    <row r="21" spans="1:14" ht="21" customHeight="1" collapsed="1">
      <c r="A21" s="105" t="s">
        <v>21</v>
      </c>
      <c r="B21" s="117"/>
      <c r="C21" s="117"/>
      <c r="D21" s="158"/>
      <c r="E21" s="158"/>
      <c r="F21" s="158"/>
      <c r="G21" s="158"/>
      <c r="H21" s="158"/>
      <c r="I21" s="158"/>
      <c r="J21" s="158"/>
      <c r="K21" s="158"/>
      <c r="L21" s="55"/>
    </row>
    <row r="22" spans="1:14" ht="12.75" customHeight="1">
      <c r="A22" s="105"/>
      <c r="B22" s="120" t="s">
        <v>233</v>
      </c>
      <c r="C22" s="120"/>
      <c r="D22" s="153">
        <v>-12184</v>
      </c>
      <c r="E22" s="153">
        <v>-12699</v>
      </c>
      <c r="F22" s="153">
        <v>-13510</v>
      </c>
      <c r="G22" s="152">
        <f>-G23*'Income Statement'!G11</f>
        <v>-14213.01</v>
      </c>
      <c r="H22" s="152">
        <f>-H23*'Income Statement'!H11</f>
        <v>-14923.6605</v>
      </c>
      <c r="I22" s="152">
        <f>-I23*'Income Statement'!I11</f>
        <v>-15520.606920000002</v>
      </c>
      <c r="J22" s="152">
        <f>-J23*'Income Statement'!J11</f>
        <v>-15986.225127600001</v>
      </c>
      <c r="K22" s="152">
        <f>-K23*'Income Statement'!K11</f>
        <v>-16305.949630152003</v>
      </c>
      <c r="L22" s="55"/>
    </row>
    <row r="23" spans="1:14" ht="12.75" customHeight="1">
      <c r="A23" s="105"/>
      <c r="B23" s="120"/>
      <c r="C23" s="120" t="s">
        <v>236</v>
      </c>
      <c r="D23" s="164">
        <f>-D22/'Income Statement'!D11</f>
        <v>2.9856524988666578E-2</v>
      </c>
      <c r="E23" s="164">
        <f>-E22/'Income Statement'!E11</f>
        <v>3.0103188581696295E-2</v>
      </c>
      <c r="F23" s="164">
        <f>-F22/'Income Statement'!F11</f>
        <v>3.0227094753328111E-2</v>
      </c>
      <c r="G23" s="165">
        <v>0.03</v>
      </c>
      <c r="H23" s="165">
        <v>0.03</v>
      </c>
      <c r="I23" s="165">
        <v>0.03</v>
      </c>
      <c r="J23" s="165">
        <v>0.03</v>
      </c>
      <c r="K23" s="165">
        <v>0.03</v>
      </c>
      <c r="N23" s="55" t="s">
        <v>235</v>
      </c>
    </row>
    <row r="24" spans="1:14" ht="12.75" customHeight="1">
      <c r="A24" s="105"/>
      <c r="B24" s="120" t="s">
        <v>226</v>
      </c>
      <c r="C24" s="120"/>
      <c r="D24" s="154">
        <v>1002</v>
      </c>
      <c r="E24" s="154">
        <v>489</v>
      </c>
      <c r="F24" s="154">
        <v>580</v>
      </c>
      <c r="G24" s="161">
        <v>0</v>
      </c>
      <c r="H24" s="161">
        <v>0</v>
      </c>
      <c r="I24" s="161">
        <v>0</v>
      </c>
      <c r="J24" s="161">
        <v>0</v>
      </c>
      <c r="K24" s="161">
        <v>0</v>
      </c>
      <c r="L24" s="55"/>
    </row>
    <row r="25" spans="1:14" ht="12.75" customHeight="1">
      <c r="A25" s="105"/>
      <c r="B25" s="120" t="s">
        <v>227</v>
      </c>
      <c r="C25" s="120"/>
      <c r="D25" s="154">
        <v>0</v>
      </c>
      <c r="E25" s="154">
        <v>-202</v>
      </c>
      <c r="F25" s="154">
        <v>-3548</v>
      </c>
      <c r="G25" s="161">
        <v>0</v>
      </c>
      <c r="H25" s="161">
        <v>0</v>
      </c>
      <c r="I25" s="161">
        <v>0</v>
      </c>
      <c r="J25" s="161">
        <v>0</v>
      </c>
      <c r="K25" s="161">
        <v>0</v>
      </c>
      <c r="L25" s="55"/>
    </row>
    <row r="26" spans="1:14" ht="12.75" customHeight="1">
      <c r="A26" s="105"/>
      <c r="B26" s="120" t="s">
        <v>228</v>
      </c>
      <c r="C26" s="120"/>
      <c r="D26" s="159">
        <v>-438</v>
      </c>
      <c r="E26" s="159">
        <v>219</v>
      </c>
      <c r="F26" s="159">
        <v>-131</v>
      </c>
      <c r="G26" s="163">
        <f>D26</f>
        <v>-438</v>
      </c>
      <c r="H26" s="163">
        <f>E26</f>
        <v>219</v>
      </c>
      <c r="I26" s="163">
        <f>F26</f>
        <v>-131</v>
      </c>
      <c r="J26" s="163">
        <f>G26</f>
        <v>-438</v>
      </c>
      <c r="K26" s="163">
        <f>H26</f>
        <v>219</v>
      </c>
      <c r="L26" s="55"/>
    </row>
    <row r="27" spans="1:14" ht="12.75" customHeight="1">
      <c r="A27" s="116"/>
      <c r="B27" s="117" t="s">
        <v>229</v>
      </c>
      <c r="C27" s="120"/>
      <c r="D27" s="157">
        <f t="shared" ref="D27:K27" si="2">D22+SUM(D24:D26)</f>
        <v>-11620</v>
      </c>
      <c r="E27" s="157">
        <f t="shared" si="2"/>
        <v>-12193</v>
      </c>
      <c r="F27" s="157">
        <f t="shared" si="2"/>
        <v>-16609</v>
      </c>
      <c r="G27" s="157">
        <f t="shared" si="2"/>
        <v>-14651.01</v>
      </c>
      <c r="H27" s="157">
        <f t="shared" si="2"/>
        <v>-14704.6605</v>
      </c>
      <c r="I27" s="157">
        <f t="shared" si="2"/>
        <v>-15651.606920000002</v>
      </c>
      <c r="J27" s="157">
        <f t="shared" si="2"/>
        <v>-16424.225127600002</v>
      </c>
      <c r="K27" s="157">
        <f t="shared" si="2"/>
        <v>-16086.949630152003</v>
      </c>
      <c r="L27" s="55"/>
    </row>
    <row r="28" spans="1:14" ht="21" customHeight="1">
      <c r="A28" s="105" t="s">
        <v>22</v>
      </c>
      <c r="B28" s="117"/>
      <c r="C28" s="117"/>
      <c r="D28" s="158"/>
      <c r="E28" s="158"/>
      <c r="F28" s="158"/>
      <c r="G28" s="158"/>
      <c r="H28" s="158"/>
      <c r="I28" s="158"/>
      <c r="J28" s="158"/>
      <c r="K28" s="158"/>
      <c r="L28" s="55"/>
    </row>
    <row r="29" spans="1:14" ht="12.75" customHeight="1">
      <c r="A29" s="116"/>
      <c r="B29" s="120" t="s">
        <v>36</v>
      </c>
      <c r="C29" s="120"/>
      <c r="D29" s="154">
        <v>-1033</v>
      </c>
      <c r="E29" s="154">
        <v>503</v>
      </c>
      <c r="F29" s="154">
        <v>3019</v>
      </c>
      <c r="G29" s="155">
        <f ca="1">'Debt Schedule'!G13+'Debt Schedule'!G14</f>
        <v>0</v>
      </c>
      <c r="H29" s="155">
        <f ca="1">'Debt Schedule'!H13+'Debt Schedule'!H14</f>
        <v>0</v>
      </c>
      <c r="I29" s="155">
        <f ca="1">'Debt Schedule'!I13+'Debt Schedule'!I14</f>
        <v>0</v>
      </c>
      <c r="J29" s="155">
        <f ca="1">'Debt Schedule'!J13+'Debt Schedule'!J14</f>
        <v>0</v>
      </c>
      <c r="K29" s="155">
        <f ca="1">'Debt Schedule'!K13+'Debt Schedule'!K14</f>
        <v>0</v>
      </c>
      <c r="L29" s="55"/>
    </row>
    <row r="30" spans="1:14" ht="12.75" customHeight="1">
      <c r="A30" s="116"/>
      <c r="B30" s="120" t="s">
        <v>37</v>
      </c>
      <c r="C30" s="120"/>
      <c r="D30" s="154">
        <f>5546-6033</f>
        <v>-487</v>
      </c>
      <c r="E30" s="154">
        <f>11396-4080</f>
        <v>7316</v>
      </c>
      <c r="F30" s="154">
        <f>5050-4584</f>
        <v>466</v>
      </c>
      <c r="G30" s="155">
        <f>'Debt Schedule'!G34+'Debt Schedule'!G35</f>
        <v>0</v>
      </c>
      <c r="H30" s="155">
        <f>'Debt Schedule'!H34+'Debt Schedule'!H35</f>
        <v>0</v>
      </c>
      <c r="I30" s="155">
        <f>'Debt Schedule'!I34+'Debt Schedule'!I35</f>
        <v>0</v>
      </c>
      <c r="J30" s="155">
        <f>'Debt Schedule'!J34+'Debt Schedule'!J35</f>
        <v>0</v>
      </c>
      <c r="K30" s="155">
        <f>'Debt Schedule'!K34+'Debt Schedule'!K35</f>
        <v>0</v>
      </c>
      <c r="L30" s="55"/>
    </row>
    <row r="31" spans="1:14" ht="12.75" customHeight="1">
      <c r="A31" s="116"/>
      <c r="B31" s="120" t="s">
        <v>173</v>
      </c>
      <c r="C31" s="120"/>
      <c r="D31" s="154">
        <v>0</v>
      </c>
      <c r="E31" s="154">
        <v>0</v>
      </c>
      <c r="F31" s="154">
        <v>0</v>
      </c>
      <c r="G31" s="155">
        <f>'Debt Schedule'!G20+'Debt Schedule'!G21</f>
        <v>0</v>
      </c>
      <c r="H31" s="155">
        <f>'Debt Schedule'!H20+'Debt Schedule'!H21</f>
        <v>0</v>
      </c>
      <c r="I31" s="155">
        <f>'Debt Schedule'!I20+'Debt Schedule'!I21</f>
        <v>0</v>
      </c>
      <c r="J31" s="155">
        <f>'Debt Schedule'!J20+'Debt Schedule'!J21</f>
        <v>0</v>
      </c>
      <c r="K31" s="155">
        <f>'Debt Schedule'!K20+'Debt Schedule'!K21</f>
        <v>0</v>
      </c>
      <c r="L31" s="55"/>
      <c r="N31" s="55" t="s">
        <v>235</v>
      </c>
    </row>
    <row r="32" spans="1:14" ht="12.75" customHeight="1">
      <c r="A32" s="116"/>
      <c r="B32" s="120" t="s">
        <v>174</v>
      </c>
      <c r="C32" s="120"/>
      <c r="D32" s="154">
        <v>0</v>
      </c>
      <c r="E32" s="154">
        <v>0</v>
      </c>
      <c r="F32" s="154">
        <v>0</v>
      </c>
      <c r="G32" s="155">
        <f>'Debt Schedule'!G27+'Debt Schedule'!G28</f>
        <v>0</v>
      </c>
      <c r="H32" s="155">
        <f>'Debt Schedule'!H27+'Debt Schedule'!H28</f>
        <v>0</v>
      </c>
      <c r="I32" s="155">
        <f>'Debt Schedule'!I27+'Debt Schedule'!I28</f>
        <v>0</v>
      </c>
      <c r="J32" s="155">
        <f>'Debt Schedule'!J27+'Debt Schedule'!J28</f>
        <v>0</v>
      </c>
      <c r="K32" s="155">
        <f>'Debt Schedule'!K27+'Debt Schedule'!K28</f>
        <v>0</v>
      </c>
      <c r="L32" s="55"/>
      <c r="N32" s="55" t="s">
        <v>235</v>
      </c>
    </row>
    <row r="33" spans="1:16" ht="12.75" customHeight="1">
      <c r="A33" s="116"/>
      <c r="B33" s="120" t="s">
        <v>230</v>
      </c>
      <c r="C33" s="120"/>
      <c r="D33" s="154">
        <v>-4217</v>
      </c>
      <c r="E33" s="154">
        <v>-4437</v>
      </c>
      <c r="F33" s="154">
        <v>-5048</v>
      </c>
      <c r="G33" s="155">
        <f>-G34*'Income Statement'!G49</f>
        <v>-5344.696448130001</v>
      </c>
      <c r="H33" s="155">
        <f>-H34*'Income Statement'!H49</f>
        <v>-5187.2864481300003</v>
      </c>
      <c r="I33" s="155">
        <f>-I34*'Income Statement'!I49</f>
        <v>-5029.8764481300004</v>
      </c>
      <c r="J33" s="155">
        <f>-J34*'Income Statement'!J49</f>
        <v>-4872.4664481300006</v>
      </c>
      <c r="K33" s="155">
        <f>-K34*'Income Statement'!K49</f>
        <v>-4715.0564481300007</v>
      </c>
      <c r="L33" s="55"/>
    </row>
    <row r="34" spans="1:16" ht="12.75" customHeight="1">
      <c r="A34" s="116"/>
      <c r="B34" s="120"/>
      <c r="C34" s="129" t="s">
        <v>234</v>
      </c>
      <c r="D34" s="154"/>
      <c r="E34" s="154"/>
      <c r="F34" s="154"/>
      <c r="G34" s="162">
        <v>1.59</v>
      </c>
      <c r="H34" s="162">
        <v>1.59</v>
      </c>
      <c r="I34" s="162">
        <v>1.59</v>
      </c>
      <c r="J34" s="162">
        <v>1.59</v>
      </c>
      <c r="K34" s="162">
        <v>1.59</v>
      </c>
      <c r="N34" s="55" t="s">
        <v>235</v>
      </c>
    </row>
    <row r="35" spans="1:16" ht="12.75" customHeight="1">
      <c r="A35" s="116"/>
      <c r="B35" s="120" t="s">
        <v>231</v>
      </c>
      <c r="C35" s="120"/>
      <c r="D35" s="154">
        <v>-7276</v>
      </c>
      <c r="E35" s="154">
        <v>-14776</v>
      </c>
      <c r="F35" s="154">
        <v>-6298</v>
      </c>
      <c r="G35" s="154">
        <v>-7308.18</v>
      </c>
      <c r="H35" s="154">
        <v>-7308.18</v>
      </c>
      <c r="I35" s="154">
        <v>-7308.18</v>
      </c>
      <c r="J35" s="154">
        <v>-7308.18</v>
      </c>
      <c r="K35" s="154">
        <v>-7308.18</v>
      </c>
      <c r="L35" s="55"/>
      <c r="M35" s="55"/>
      <c r="N35" s="55"/>
      <c r="O35" s="55"/>
      <c r="P35" s="55"/>
    </row>
    <row r="36" spans="1:16" ht="12.75" customHeight="1">
      <c r="A36" s="116"/>
      <c r="B36" s="120" t="s">
        <v>112</v>
      </c>
      <c r="C36" s="120"/>
      <c r="D36" s="154">
        <v>-436</v>
      </c>
      <c r="E36" s="154">
        <v>0</v>
      </c>
      <c r="F36" s="154">
        <v>0</v>
      </c>
      <c r="G36" s="154">
        <v>0</v>
      </c>
      <c r="H36" s="154">
        <v>0</v>
      </c>
      <c r="I36" s="154">
        <v>0</v>
      </c>
      <c r="J36" s="154">
        <v>0</v>
      </c>
      <c r="K36" s="154">
        <v>0</v>
      </c>
      <c r="L36" s="55"/>
    </row>
    <row r="37" spans="1:16" ht="12.75" customHeight="1">
      <c r="A37" s="116"/>
      <c r="B37" s="120" t="s">
        <v>113</v>
      </c>
      <c r="C37" s="120"/>
      <c r="D37" s="154">
        <v>-346</v>
      </c>
      <c r="E37" s="154">
        <v>-363</v>
      </c>
      <c r="F37" s="154">
        <v>-355</v>
      </c>
      <c r="G37" s="155">
        <f>'Debt Schedule'!G41+'Debt Schedule'!G42</f>
        <v>0</v>
      </c>
      <c r="H37" s="155">
        <f>'Debt Schedule'!H41+'Debt Schedule'!H42</f>
        <v>0</v>
      </c>
      <c r="I37" s="155">
        <f>'Debt Schedule'!I41+'Debt Schedule'!I42</f>
        <v>0</v>
      </c>
      <c r="J37" s="155">
        <f>'Debt Schedule'!J41+'Debt Schedule'!J42</f>
        <v>0</v>
      </c>
      <c r="K37" s="155">
        <f>'Debt Schedule'!K41+'Debt Schedule'!K42</f>
        <v>0</v>
      </c>
      <c r="L37" s="55"/>
    </row>
    <row r="38" spans="1:16" ht="12.75" customHeight="1">
      <c r="A38" s="116"/>
      <c r="B38" s="120" t="s">
        <v>0</v>
      </c>
      <c r="C38" s="120"/>
      <c r="D38" s="159">
        <v>-396</v>
      </c>
      <c r="E38" s="159">
        <v>-271</v>
      </c>
      <c r="F38" s="159">
        <v>-242</v>
      </c>
      <c r="G38" s="159">
        <f>F38</f>
        <v>-242</v>
      </c>
      <c r="H38" s="159">
        <f>G38</f>
        <v>-242</v>
      </c>
      <c r="I38" s="159">
        <f>H38</f>
        <v>-242</v>
      </c>
      <c r="J38" s="159">
        <f>I38</f>
        <v>-242</v>
      </c>
      <c r="K38" s="159">
        <f>J38</f>
        <v>-242</v>
      </c>
      <c r="L38" s="55"/>
    </row>
    <row r="39" spans="1:16" ht="12.75" customHeight="1">
      <c r="A39" s="116"/>
      <c r="B39" s="117" t="s">
        <v>232</v>
      </c>
      <c r="C39" s="120"/>
      <c r="D39" s="156">
        <f t="shared" ref="D39:K39" si="3">SUM(D29:D33)+SUM(D35:D38)</f>
        <v>-14191</v>
      </c>
      <c r="E39" s="156">
        <f t="shared" si="3"/>
        <v>-12028</v>
      </c>
      <c r="F39" s="156">
        <f t="shared" si="3"/>
        <v>-8458</v>
      </c>
      <c r="G39" s="156">
        <f t="shared" ca="1" si="3"/>
        <v>-12894.876448130002</v>
      </c>
      <c r="H39" s="156">
        <f t="shared" ca="1" si="3"/>
        <v>-12737.466448130001</v>
      </c>
      <c r="I39" s="156">
        <f t="shared" ca="1" si="3"/>
        <v>-12580.056448130001</v>
      </c>
      <c r="J39" s="156">
        <f t="shared" ca="1" si="3"/>
        <v>-12422.646448130001</v>
      </c>
      <c r="K39" s="156">
        <f t="shared" ca="1" si="3"/>
        <v>-12265.236448130001</v>
      </c>
      <c r="L39" s="55"/>
    </row>
    <row r="40" spans="1:16" ht="12.75" customHeight="1">
      <c r="A40" s="116"/>
      <c r="B40" s="117"/>
      <c r="C40" s="120" t="s">
        <v>172</v>
      </c>
      <c r="D40" s="154">
        <v>194</v>
      </c>
      <c r="E40" s="154">
        <v>66</v>
      </c>
      <c r="F40" s="154">
        <v>-33</v>
      </c>
      <c r="G40" s="155">
        <f>D40</f>
        <v>194</v>
      </c>
      <c r="H40" s="155">
        <f>E40</f>
        <v>66</v>
      </c>
      <c r="I40" s="155">
        <f>F40</f>
        <v>-33</v>
      </c>
      <c r="J40" s="155">
        <f>G40</f>
        <v>194</v>
      </c>
      <c r="K40" s="155">
        <f>H40</f>
        <v>66</v>
      </c>
      <c r="L40" s="55"/>
    </row>
    <row r="41" spans="1:16" ht="21" customHeight="1">
      <c r="A41" s="123" t="s">
        <v>101</v>
      </c>
      <c r="B41" s="117"/>
      <c r="C41" s="120"/>
      <c r="D41" s="157">
        <f t="shared" ref="D41:K41" si="4">D20+D27+D39+D40</f>
        <v>632</v>
      </c>
      <c r="E41" s="157">
        <f t="shared" si="4"/>
        <v>-512</v>
      </c>
      <c r="F41" s="157">
        <f t="shared" si="4"/>
        <v>-845</v>
      </c>
      <c r="G41" s="157">
        <f t="shared" ca="1" si="4"/>
        <v>378.25539246052904</v>
      </c>
      <c r="H41" s="157">
        <f t="shared" ca="1" si="4"/>
        <v>1609.1704010771355</v>
      </c>
      <c r="I41" s="157">
        <f t="shared" ca="1" si="4"/>
        <v>1696.8054083296975</v>
      </c>
      <c r="J41" s="157">
        <f t="shared" ca="1" si="4"/>
        <v>2075.8070611968706</v>
      </c>
      <c r="K41" s="157">
        <f t="shared" ca="1" si="4"/>
        <v>2974.9446744350498</v>
      </c>
      <c r="L41" s="55"/>
    </row>
    <row r="42" spans="1:16" ht="21" customHeight="1">
      <c r="A42" s="117" t="s">
        <v>18</v>
      </c>
      <c r="B42" s="120"/>
      <c r="C42" s="117"/>
      <c r="D42" s="151"/>
      <c r="E42" s="151"/>
      <c r="F42" s="151"/>
      <c r="G42" s="151"/>
      <c r="H42" s="151"/>
      <c r="I42" s="151"/>
      <c r="J42" s="151"/>
      <c r="K42" s="151"/>
      <c r="L42" s="55"/>
    </row>
    <row r="43" spans="1:16" ht="12.75" customHeight="1">
      <c r="A43" s="147"/>
      <c r="B43" s="148" t="s">
        <v>64</v>
      </c>
      <c r="C43" s="148"/>
      <c r="D43" s="160"/>
      <c r="E43" s="160"/>
      <c r="F43" s="160"/>
      <c r="G43" s="160">
        <f ca="1">G20+G27+G33+G35+G36+G38+G40</f>
        <v>378.25539246052995</v>
      </c>
      <c r="H43" s="160">
        <f ca="1">H20+H27+H33+H35+H36+H38+H40</f>
        <v>1609.1704010771355</v>
      </c>
      <c r="I43" s="160">
        <f ca="1">I20+I27+I33+I35+I36+I38+I40</f>
        <v>1696.8054083296975</v>
      </c>
      <c r="J43" s="160">
        <f ca="1">J20+J27+J33+J35+J36+J38+J40</f>
        <v>2075.8070611968706</v>
      </c>
      <c r="K43" s="160">
        <f ca="1">K20+K27+K33+K35+K36+K38+K40</f>
        <v>2974.9446744350498</v>
      </c>
      <c r="L43" s="55"/>
    </row>
    <row r="44" spans="1:16" ht="12.75" customHeight="1"/>
    <row r="45" spans="1:16" ht="12.75" customHeight="1"/>
    <row r="46" spans="1:16" ht="12.75" customHeight="1"/>
    <row r="47" spans="1:16" ht="12.75" customHeight="1"/>
    <row r="48" spans="1:16" ht="12.75" customHeight="1"/>
    <row r="49" ht="12.75" customHeight="1"/>
    <row r="50" ht="12.75" customHeight="1"/>
    <row r="51" ht="12.75" customHeight="1"/>
  </sheetData>
  <phoneticPr fontId="5" type="noConversion"/>
  <dataValidations disablePrompts="1" count="1">
    <dataValidation type="list" allowBlank="1" showInputMessage="1" showErrorMessage="1" sqref="L10">
      <formula1>"Y,N"</formula1>
    </dataValidation>
  </dataValidation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ignoredErrors>
    <ignoredError sqref="G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1" width="2.7109375" style="51" customWidth="1"/>
    <col min="2" max="2" width="2.7109375" style="2" customWidth="1"/>
    <col min="3" max="3" width="39.4257812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8.5" customHeight="1">
      <c r="B1" s="30"/>
      <c r="E1" s="54"/>
      <c r="F1" s="54"/>
      <c r="G1" s="34"/>
      <c r="H1" s="54"/>
      <c r="I1" s="54"/>
      <c r="J1" s="54"/>
      <c r="K1" s="54"/>
    </row>
    <row r="2" spans="1:12" ht="12.75" customHeight="1">
      <c r="A2" s="32" t="s">
        <v>16</v>
      </c>
      <c r="B2" s="58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5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</row>
    <row r="4" spans="1:12" ht="12.75" customHeight="1">
      <c r="A4" s="5"/>
      <c r="B4" s="5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187" t="s">
        <v>350</v>
      </c>
      <c r="B5" s="188"/>
      <c r="C5" s="189"/>
      <c r="D5" s="190">
        <f>'Income Statement'!D5</f>
        <v>2010</v>
      </c>
      <c r="E5" s="190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2" customFormat="1" ht="21" customHeight="1">
      <c r="A6" s="186" t="s">
        <v>6</v>
      </c>
      <c r="B6" s="186"/>
      <c r="C6" s="186"/>
      <c r="D6" s="186"/>
      <c r="E6" s="186"/>
      <c r="F6" s="186"/>
      <c r="G6" s="151"/>
      <c r="H6" s="151"/>
      <c r="I6" s="151"/>
      <c r="J6" s="151"/>
      <c r="K6" s="151"/>
    </row>
    <row r="7" spans="1:12" s="2" customFormat="1" ht="12.75" customHeight="1">
      <c r="A7" s="120"/>
      <c r="B7" s="117" t="s">
        <v>65</v>
      </c>
      <c r="C7" s="120"/>
      <c r="D7" s="120"/>
      <c r="E7" s="120"/>
      <c r="F7" s="120"/>
      <c r="G7" s="155"/>
      <c r="H7" s="155"/>
      <c r="I7" s="155"/>
      <c r="J7" s="155"/>
      <c r="K7" s="155"/>
    </row>
    <row r="8" spans="1:12" s="2" customFormat="1" ht="12.75" customHeight="1">
      <c r="A8" s="120"/>
      <c r="B8" s="120"/>
      <c r="C8" s="120" t="s">
        <v>26</v>
      </c>
      <c r="D8" s="154"/>
      <c r="E8" s="154">
        <v>7395</v>
      </c>
      <c r="F8" s="154">
        <v>6550</v>
      </c>
      <c r="G8" s="155">
        <f ca="1">F8+'Cash Flow Statement'!G41</f>
        <v>6928.255392460529</v>
      </c>
      <c r="H8" s="155">
        <f ca="1">G8+'Cash Flow Statement'!H41</f>
        <v>8537.4257935376645</v>
      </c>
      <c r="I8" s="155">
        <f ca="1">H8+'Cash Flow Statement'!I41</f>
        <v>10234.231201867362</v>
      </c>
      <c r="J8" s="155">
        <f ca="1">I8+'Cash Flow Statement'!J41</f>
        <v>12310.038263064233</v>
      </c>
      <c r="K8" s="155">
        <f ca="1">J8+'Cash Flow Statement'!K41</f>
        <v>15284.982937499282</v>
      </c>
    </row>
    <row r="9" spans="1:12" s="2" customFormat="1" ht="12.75" customHeight="1">
      <c r="A9" s="120"/>
      <c r="B9" s="120"/>
      <c r="C9" s="120" t="s">
        <v>242</v>
      </c>
      <c r="D9" s="154"/>
      <c r="E9" s="154">
        <v>5089</v>
      </c>
      <c r="F9" s="154">
        <v>5937</v>
      </c>
      <c r="G9" s="155">
        <f>F9-'Cash Flow Statement'!G13</f>
        <v>5790.4855555555559</v>
      </c>
      <c r="H9" s="155">
        <f>G9-'Cash Flow Statement'!H13</f>
        <v>6080.0098333333344</v>
      </c>
      <c r="I9" s="155">
        <f>H9-'Cash Flow Statement'!I13</f>
        <v>6323.2102266666679</v>
      </c>
      <c r="J9" s="155">
        <f>I9-'Cash Flow Statement'!J13</f>
        <v>6512.9065334666675</v>
      </c>
      <c r="K9" s="155">
        <f>J9-'Cash Flow Statement'!K13</f>
        <v>6643.1646641360021</v>
      </c>
    </row>
    <row r="10" spans="1:12" s="2" customFormat="1" ht="12.75" customHeight="1">
      <c r="A10" s="120"/>
      <c r="B10" s="120"/>
      <c r="C10" s="120" t="s">
        <v>243</v>
      </c>
      <c r="D10" s="154"/>
      <c r="E10" s="154">
        <v>36437</v>
      </c>
      <c r="F10" s="154">
        <v>40714</v>
      </c>
      <c r="G10" s="155">
        <f>F10-'Cash Flow Statement'!G14</f>
        <v>40862.403749999998</v>
      </c>
      <c r="H10" s="155">
        <f>G10-'Cash Flow Statement'!H14</f>
        <v>42905.523937499995</v>
      </c>
      <c r="I10" s="155">
        <f>H10-'Cash Flow Statement'!I14</f>
        <v>44621.744895000003</v>
      </c>
      <c r="J10" s="155">
        <f>I10-'Cash Flow Statement'!J14</f>
        <v>45960.397241850005</v>
      </c>
      <c r="K10" s="155">
        <f>J10-'Cash Flow Statement'!K14</f>
        <v>46879.605186687004</v>
      </c>
    </row>
    <row r="11" spans="1:12" s="2" customFormat="1" ht="12.75" customHeight="1">
      <c r="A11" s="120"/>
      <c r="B11" s="120"/>
      <c r="C11" s="120" t="s">
        <v>244</v>
      </c>
      <c r="D11" s="154"/>
      <c r="E11" s="154">
        <v>2960</v>
      </c>
      <c r="F11" s="154">
        <v>1685</v>
      </c>
      <c r="G11" s="155">
        <f>F11-'Cash Flow Statement'!G15</f>
        <v>2458.8507300000001</v>
      </c>
      <c r="H11" s="155">
        <f>G11-'Cash Flow Statement'!H15</f>
        <v>2581.7932665000003</v>
      </c>
      <c r="I11" s="155">
        <f>H11-'Cash Flow Statement'!I15</f>
        <v>2685.0649971600001</v>
      </c>
      <c r="J11" s="155">
        <f>I11-'Cash Flow Statement'!J15</f>
        <v>2765.6169470748005</v>
      </c>
      <c r="K11" s="155">
        <f>J11-'Cash Flow Statement'!K15</f>
        <v>2820.9292860162968</v>
      </c>
    </row>
    <row r="12" spans="1:12" s="2" customFormat="1" ht="12.75" customHeight="1">
      <c r="A12" s="120"/>
      <c r="B12" s="120"/>
      <c r="C12" s="120" t="s">
        <v>108</v>
      </c>
      <c r="D12" s="159"/>
      <c r="E12" s="159">
        <v>131</v>
      </c>
      <c r="F12" s="159">
        <v>89</v>
      </c>
      <c r="G12" s="163">
        <f>F12</f>
        <v>89</v>
      </c>
      <c r="H12" s="163">
        <f>G12</f>
        <v>89</v>
      </c>
      <c r="I12" s="163">
        <f>H12</f>
        <v>89</v>
      </c>
      <c r="J12" s="163">
        <f>I12</f>
        <v>89</v>
      </c>
      <c r="K12" s="163">
        <f>J12</f>
        <v>89</v>
      </c>
    </row>
    <row r="13" spans="1:12" s="2" customFormat="1" ht="12.75" customHeight="1">
      <c r="A13" s="120"/>
      <c r="B13" s="120"/>
      <c r="C13" s="117" t="s">
        <v>28</v>
      </c>
      <c r="D13" s="151"/>
      <c r="E13" s="151">
        <f t="shared" ref="E13:K13" si="0">SUM(E8:E12)</f>
        <v>52012</v>
      </c>
      <c r="F13" s="151">
        <f t="shared" si="0"/>
        <v>54975</v>
      </c>
      <c r="G13" s="151">
        <f t="shared" ca="1" si="0"/>
        <v>56128.995428016082</v>
      </c>
      <c r="H13" s="151">
        <f t="shared" ca="1" si="0"/>
        <v>60193.752830870988</v>
      </c>
      <c r="I13" s="151">
        <f t="shared" ca="1" si="0"/>
        <v>63953.251320694035</v>
      </c>
      <c r="J13" s="151">
        <f t="shared" ca="1" si="0"/>
        <v>67637.958985455713</v>
      </c>
      <c r="K13" s="151">
        <f t="shared" ca="1" si="0"/>
        <v>71717.682074338576</v>
      </c>
    </row>
    <row r="14" spans="1:12" s="2" customFormat="1" ht="12.75" customHeight="1">
      <c r="A14" s="120"/>
      <c r="B14" s="120" t="s">
        <v>30</v>
      </c>
      <c r="C14" s="120"/>
      <c r="D14" s="154"/>
      <c r="E14" s="154">
        <f>105098+2780</f>
        <v>107878</v>
      </c>
      <c r="F14" s="154">
        <f>109603+2721</f>
        <v>112324</v>
      </c>
      <c r="G14" s="155">
        <f>F14-'Cash Flow Statement'!G22-'Cash Flow Statement'!G9-'Cash Flow Statement'!G24-'Cash Flow Statement'!G25</f>
        <v>117945.34674285713</v>
      </c>
      <c r="H14" s="155">
        <f>G14-'Cash Flow Statement'!H22-'Cash Flow Statement'!H9-'Cash Flow Statement'!H24-'Cash Flow Statement'!H25</f>
        <v>123680.39756571427</v>
      </c>
      <c r="I14" s="155">
        <f>H14-'Cash Flow Statement'!I22-'Cash Flow Statement'!I9-'Cash Flow Statement'!I24-'Cash Flow Statement'!I25</f>
        <v>129391.57053177142</v>
      </c>
      <c r="J14" s="155">
        <f>I14-'Cash Flow Statement'!J22-'Cash Flow Statement'!J9-'Cash Flow Statement'!J24-'Cash Flow Statement'!J25</f>
        <v>134928.91270032455</v>
      </c>
      <c r="K14" s="155">
        <f>J14-'Cash Flow Statement'!K22-'Cash Flow Statement'!K9-'Cash Flow Statement'!K24-'Cash Flow Statement'!K25</f>
        <v>140133.74138622361</v>
      </c>
    </row>
    <row r="15" spans="1:12" s="2" customFormat="1" ht="12.75" customHeight="1">
      <c r="A15" s="120"/>
      <c r="B15" s="120" t="s">
        <v>7</v>
      </c>
      <c r="C15" s="120"/>
      <c r="D15" s="154"/>
      <c r="E15" s="154">
        <v>16763</v>
      </c>
      <c r="F15" s="154">
        <v>20651</v>
      </c>
      <c r="G15" s="155">
        <f>F15</f>
        <v>20651</v>
      </c>
      <c r="H15" s="155">
        <f>G15</f>
        <v>20651</v>
      </c>
      <c r="I15" s="155">
        <f>H15</f>
        <v>20651</v>
      </c>
      <c r="J15" s="155">
        <f>I15</f>
        <v>20651</v>
      </c>
      <c r="K15" s="155">
        <f>J15</f>
        <v>20651</v>
      </c>
    </row>
    <row r="16" spans="1:12" s="2" customFormat="1" ht="12.75" customHeight="1">
      <c r="A16" s="120"/>
      <c r="B16" s="120" t="s">
        <v>114</v>
      </c>
      <c r="C16" s="120"/>
      <c r="D16" s="159"/>
      <c r="E16" s="159">
        <v>4129</v>
      </c>
      <c r="F16" s="159">
        <v>5456</v>
      </c>
      <c r="G16" s="163">
        <f>F16-'Cash Flow Statement'!G26-'Cash Flow Statement'!G11</f>
        <v>5576</v>
      </c>
      <c r="H16" s="163">
        <f>G16-'Cash Flow Statement'!H26-'Cash Flow Statement'!H11</f>
        <v>5039</v>
      </c>
      <c r="I16" s="163">
        <f>H16-'Cash Flow Statement'!I26-'Cash Flow Statement'!I11</f>
        <v>4852</v>
      </c>
      <c r="J16" s="163">
        <f>I16-'Cash Flow Statement'!J26-'Cash Flow Statement'!J11</f>
        <v>4972</v>
      </c>
      <c r="K16" s="163">
        <f>J16-'Cash Flow Statement'!K26-'Cash Flow Statement'!K11</f>
        <v>4435</v>
      </c>
    </row>
    <row r="17" spans="1:11" s="2" customFormat="1" ht="12.75" customHeight="1">
      <c r="A17" s="120"/>
      <c r="B17" s="117" t="s">
        <v>66</v>
      </c>
      <c r="C17" s="117"/>
      <c r="D17" s="157"/>
      <c r="E17" s="157">
        <f t="shared" ref="E17:K17" si="1">SUM(E13:E16)</f>
        <v>180782</v>
      </c>
      <c r="F17" s="157">
        <f t="shared" si="1"/>
        <v>193406</v>
      </c>
      <c r="G17" s="157">
        <f t="shared" ca="1" si="1"/>
        <v>200301.34217087322</v>
      </c>
      <c r="H17" s="157">
        <f t="shared" ca="1" si="1"/>
        <v>209564.15039658526</v>
      </c>
      <c r="I17" s="157">
        <f t="shared" ca="1" si="1"/>
        <v>218847.82185246545</v>
      </c>
      <c r="J17" s="157">
        <f t="shared" ca="1" si="1"/>
        <v>228189.87168578026</v>
      </c>
      <c r="K17" s="157">
        <f t="shared" ca="1" si="1"/>
        <v>236937.42346056219</v>
      </c>
    </row>
    <row r="18" spans="1:11" s="2" customFormat="1" ht="21" customHeight="1">
      <c r="A18" s="117" t="s">
        <v>8</v>
      </c>
      <c r="B18" s="120"/>
      <c r="C18" s="117"/>
      <c r="D18" s="158"/>
      <c r="E18" s="117"/>
      <c r="F18" s="117"/>
      <c r="G18" s="117"/>
      <c r="H18" s="117"/>
      <c r="I18" s="117"/>
      <c r="J18" s="117"/>
      <c r="K18" s="117"/>
    </row>
    <row r="19" spans="1:11" s="2" customFormat="1" ht="12.75" customHeight="1">
      <c r="A19" s="120"/>
      <c r="B19" s="117" t="s">
        <v>67</v>
      </c>
      <c r="C19" s="120"/>
      <c r="D19" s="120"/>
      <c r="E19" s="120"/>
      <c r="F19" s="120"/>
      <c r="G19" s="120"/>
      <c r="H19" s="120"/>
      <c r="I19" s="120"/>
      <c r="J19" s="120"/>
      <c r="K19" s="120"/>
    </row>
    <row r="20" spans="1:11" s="2" customFormat="1" ht="12.75" customHeight="1">
      <c r="A20" s="120"/>
      <c r="B20" s="120"/>
      <c r="C20" s="120" t="s">
        <v>345</v>
      </c>
      <c r="D20" s="154"/>
      <c r="E20" s="154">
        <v>1031</v>
      </c>
      <c r="F20" s="154">
        <v>4047</v>
      </c>
      <c r="G20" s="155">
        <f ca="1">F20+'Cash Flow Statement'!G29</f>
        <v>4047</v>
      </c>
      <c r="H20" s="155">
        <f ca="1">G20+'Cash Flow Statement'!H29</f>
        <v>4047</v>
      </c>
      <c r="I20" s="155">
        <f ca="1">H20+'Cash Flow Statement'!I29</f>
        <v>4047</v>
      </c>
      <c r="J20" s="155">
        <f ca="1">I20+'Cash Flow Statement'!J29</f>
        <v>4047</v>
      </c>
      <c r="K20" s="155">
        <f ca="1">J20+'Cash Flow Statement'!K29</f>
        <v>4047</v>
      </c>
    </row>
    <row r="21" spans="1:11" s="2" customFormat="1" ht="12.75" customHeight="1">
      <c r="A21" s="120"/>
      <c r="B21" s="120"/>
      <c r="C21" s="120" t="s">
        <v>27</v>
      </c>
      <c r="D21" s="154"/>
      <c r="E21" s="154">
        <v>33676</v>
      </c>
      <c r="F21" s="154">
        <v>36608</v>
      </c>
      <c r="G21" s="155">
        <f>F21+'Cash Flow Statement'!G16</f>
        <v>37309.151249999995</v>
      </c>
      <c r="H21" s="155">
        <f>G21+'Cash Flow Statement'!H16</f>
        <v>39174.608812500002</v>
      </c>
      <c r="I21" s="155">
        <f>H21+'Cash Flow Statement'!I16</f>
        <v>40741.593165000006</v>
      </c>
      <c r="J21" s="155">
        <f>I21+'Cash Flow Statement'!J16</f>
        <v>41963.840959950008</v>
      </c>
      <c r="K21" s="155">
        <f>J21+'Cash Flow Statement'!K16</f>
        <v>42803.117779149004</v>
      </c>
    </row>
    <row r="22" spans="1:11" s="2" customFormat="1" ht="12.75" customHeight="1">
      <c r="A22" s="120"/>
      <c r="B22" s="129"/>
      <c r="C22" s="120" t="s">
        <v>109</v>
      </c>
      <c r="D22" s="178"/>
      <c r="E22" s="154">
        <v>18701</v>
      </c>
      <c r="F22" s="154">
        <v>18154</v>
      </c>
      <c r="G22" s="155">
        <f>F22+'Cash Flow Statement'!G17</f>
        <v>19579.737294444443</v>
      </c>
      <c r="H22" s="155">
        <f>G22+'Cash Flow Statement'!H17</f>
        <v>20558.724159166668</v>
      </c>
      <c r="I22" s="155">
        <f>H22+'Cash Flow Statement'!I17</f>
        <v>21381.073125533334</v>
      </c>
      <c r="J22" s="155">
        <f>I22+'Cash Flow Statement'!J17</f>
        <v>22022.505319299336</v>
      </c>
      <c r="K22" s="155">
        <f>J22+'Cash Flow Statement'!K17</f>
        <v>22462.955425685323</v>
      </c>
    </row>
    <row r="23" spans="1:11" s="2" customFormat="1" ht="12.75" customHeight="1">
      <c r="A23" s="120"/>
      <c r="B23" s="129"/>
      <c r="C23" s="120" t="s">
        <v>245</v>
      </c>
      <c r="D23" s="178"/>
      <c r="E23" s="154">
        <v>157</v>
      </c>
      <c r="F23" s="154">
        <v>1164</v>
      </c>
      <c r="G23" s="155">
        <f ca="1">F23+'Cash Flow Statement'!G18</f>
        <v>704.158574674693</v>
      </c>
      <c r="H23" s="155">
        <f ca="1">G23+'Cash Flow Statement'!H18</f>
        <v>738.47104942558337</v>
      </c>
      <c r="I23" s="155">
        <f ca="1">H23+'Cash Flow Statement'!I18</f>
        <v>764.58195171067496</v>
      </c>
      <c r="J23" s="155">
        <f ca="1">I23+'Cash Flow Statement'!J18</f>
        <v>781.10356851631684</v>
      </c>
      <c r="K23" s="155">
        <f ca="1">J23+'Cash Flow Statement'!K18</f>
        <v>787.44921806255491</v>
      </c>
    </row>
    <row r="24" spans="1:11" s="2" customFormat="1" ht="12.75" customHeight="1">
      <c r="A24" s="120"/>
      <c r="B24" s="120"/>
      <c r="C24" s="120" t="s">
        <v>173</v>
      </c>
      <c r="D24" s="154"/>
      <c r="E24" s="154">
        <v>4655</v>
      </c>
      <c r="F24" s="154">
        <v>1975</v>
      </c>
      <c r="G24" s="155">
        <f>F24+'Cash Flow Statement'!G31</f>
        <v>1975</v>
      </c>
      <c r="H24" s="155">
        <f>G24+'Cash Flow Statement'!H31</f>
        <v>1975</v>
      </c>
      <c r="I24" s="155">
        <f>H24+'Cash Flow Statement'!I31</f>
        <v>1975</v>
      </c>
      <c r="J24" s="155">
        <f>I24+'Cash Flow Statement'!J31</f>
        <v>1975</v>
      </c>
      <c r="K24" s="155">
        <f>J24+'Cash Flow Statement'!K31</f>
        <v>1975</v>
      </c>
    </row>
    <row r="25" spans="1:11" s="2" customFormat="1" ht="12.75" customHeight="1">
      <c r="A25" s="120"/>
      <c r="B25" s="120"/>
      <c r="C25" s="120" t="s">
        <v>246</v>
      </c>
      <c r="D25" s="154"/>
      <c r="E25" s="154">
        <v>336</v>
      </c>
      <c r="F25" s="154">
        <v>326</v>
      </c>
      <c r="G25" s="155">
        <f>F25+'Cash Flow Statement'!G32</f>
        <v>326</v>
      </c>
      <c r="H25" s="155">
        <f>G25+'Cash Flow Statement'!H32</f>
        <v>326</v>
      </c>
      <c r="I25" s="155">
        <f>H25+'Cash Flow Statement'!I32</f>
        <v>326</v>
      </c>
      <c r="J25" s="155">
        <f>I25+'Cash Flow Statement'!J32</f>
        <v>326</v>
      </c>
      <c r="K25" s="155">
        <f>J25+'Cash Flow Statement'!K32</f>
        <v>326</v>
      </c>
    </row>
    <row r="26" spans="1:11" s="2" customFormat="1" ht="12.75" customHeight="1">
      <c r="A26" s="120"/>
      <c r="B26" s="120"/>
      <c r="C26" s="120" t="s">
        <v>247</v>
      </c>
      <c r="D26" s="159"/>
      <c r="E26" s="159">
        <v>47</v>
      </c>
      <c r="F26" s="159">
        <v>26</v>
      </c>
      <c r="G26" s="163">
        <f>F26</f>
        <v>26</v>
      </c>
      <c r="H26" s="163">
        <f>G26</f>
        <v>26</v>
      </c>
      <c r="I26" s="163">
        <f>H26</f>
        <v>26</v>
      </c>
      <c r="J26" s="163">
        <f>I26</f>
        <v>26</v>
      </c>
      <c r="K26" s="163">
        <f>J26</f>
        <v>26</v>
      </c>
    </row>
    <row r="27" spans="1:11" s="2" customFormat="1" ht="12.75" customHeight="1">
      <c r="A27" s="120"/>
      <c r="B27" s="120"/>
      <c r="C27" s="117" t="s">
        <v>29</v>
      </c>
      <c r="D27" s="151"/>
      <c r="E27" s="151">
        <f t="shared" ref="E27:K27" si="2">SUM(E20:E26)</f>
        <v>58603</v>
      </c>
      <c r="F27" s="151">
        <f t="shared" si="2"/>
        <v>62300</v>
      </c>
      <c r="G27" s="151">
        <f t="shared" ca="1" si="2"/>
        <v>63967.047119119132</v>
      </c>
      <c r="H27" s="151">
        <f t="shared" ca="1" si="2"/>
        <v>66845.804021092248</v>
      </c>
      <c r="I27" s="151">
        <f t="shared" ca="1" si="2"/>
        <v>69261.248242244008</v>
      </c>
      <c r="J27" s="151">
        <f t="shared" ca="1" si="2"/>
        <v>71141.449847765674</v>
      </c>
      <c r="K27" s="151">
        <f t="shared" ca="1" si="2"/>
        <v>72427.522422896887</v>
      </c>
    </row>
    <row r="28" spans="1:11" s="2" customFormat="1" ht="12.75" customHeight="1">
      <c r="A28" s="120"/>
      <c r="B28" s="120" t="s">
        <v>35</v>
      </c>
      <c r="C28" s="120"/>
      <c r="D28" s="154"/>
      <c r="E28" s="154">
        <v>40692</v>
      </c>
      <c r="F28" s="154">
        <v>44070</v>
      </c>
      <c r="G28" s="155">
        <f>F28+'Cash Flow Statement'!G30</f>
        <v>44070</v>
      </c>
      <c r="H28" s="155">
        <f>G28+'Cash Flow Statement'!H30</f>
        <v>44070</v>
      </c>
      <c r="I28" s="155">
        <f>H28+'Cash Flow Statement'!I30</f>
        <v>44070</v>
      </c>
      <c r="J28" s="155">
        <f>I28+'Cash Flow Statement'!J30</f>
        <v>44070</v>
      </c>
      <c r="K28" s="155">
        <f>J28+'Cash Flow Statement'!K30</f>
        <v>44070</v>
      </c>
    </row>
    <row r="29" spans="1:11" s="2" customFormat="1" ht="12.75" customHeight="1">
      <c r="A29" s="120"/>
      <c r="B29" s="120" t="s">
        <v>115</v>
      </c>
      <c r="C29" s="120"/>
      <c r="D29" s="154"/>
      <c r="E29" s="154">
        <v>3150</v>
      </c>
      <c r="F29" s="154">
        <v>3009</v>
      </c>
      <c r="G29" s="155">
        <f>F29+'Cash Flow Statement'!G37</f>
        <v>3009</v>
      </c>
      <c r="H29" s="155">
        <f>G29+'Cash Flow Statement'!H37</f>
        <v>3009</v>
      </c>
      <c r="I29" s="155">
        <f>H29+'Cash Flow Statement'!I37</f>
        <v>3009</v>
      </c>
      <c r="J29" s="155">
        <f>I29+'Cash Flow Statement'!J37</f>
        <v>3009</v>
      </c>
      <c r="K29" s="155">
        <f>J29+'Cash Flow Statement'!K37</f>
        <v>3009</v>
      </c>
    </row>
    <row r="30" spans="1:11" s="2" customFormat="1" ht="12.75" customHeight="1">
      <c r="A30" s="120"/>
      <c r="B30" s="120" t="s">
        <v>116</v>
      </c>
      <c r="C30" s="120"/>
      <c r="D30" s="154"/>
      <c r="E30" s="154">
        <v>6682</v>
      </c>
      <c r="F30" s="154">
        <v>7862</v>
      </c>
      <c r="G30" s="155">
        <f>F30+'Cash Flow Statement'!G10</f>
        <v>8577.9305744218564</v>
      </c>
      <c r="H30" s="155">
        <f>G30+'Cash Flow Statement'!H10</f>
        <v>9581.4348547076643</v>
      </c>
      <c r="I30" s="155">
        <f>H30+'Cash Flow Statement'!I10</f>
        <v>10372.42090377519</v>
      </c>
      <c r="J30" s="155">
        <f>I30+'Cash Flow Statement'!J10</f>
        <v>10968.745038892075</v>
      </c>
      <c r="K30" s="155">
        <f>J30+'Cash Flow Statement'!K10</f>
        <v>11380.169980613387</v>
      </c>
    </row>
    <row r="31" spans="1:11" s="2" customFormat="1" ht="12.75" customHeight="1">
      <c r="A31" s="120"/>
      <c r="B31" s="120" t="s">
        <v>117</v>
      </c>
      <c r="C31" s="120"/>
      <c r="D31" s="159"/>
      <c r="E31" s="159">
        <v>408</v>
      </c>
      <c r="F31" s="159">
        <v>404</v>
      </c>
      <c r="G31" s="163">
        <f>F31+'Cash Flow Statement'!F36</f>
        <v>404</v>
      </c>
      <c r="H31" s="163">
        <f>G31+'Cash Flow Statement'!G36</f>
        <v>404</v>
      </c>
      <c r="I31" s="163">
        <f>H31+'Cash Flow Statement'!H36</f>
        <v>404</v>
      </c>
      <c r="J31" s="163">
        <f>I31+'Cash Flow Statement'!I36</f>
        <v>404</v>
      </c>
      <c r="K31" s="163">
        <f>J31+'Cash Flow Statement'!J36</f>
        <v>404</v>
      </c>
    </row>
    <row r="32" spans="1:11" s="2" customFormat="1" ht="12.75" customHeight="1">
      <c r="A32" s="120"/>
      <c r="B32" s="117" t="s">
        <v>68</v>
      </c>
      <c r="C32" s="117"/>
      <c r="D32" s="157"/>
      <c r="E32" s="157">
        <f t="shared" ref="E32:K32" si="3">SUM(E27:E31)</f>
        <v>109535</v>
      </c>
      <c r="F32" s="157">
        <f t="shared" si="3"/>
        <v>117645</v>
      </c>
      <c r="G32" s="157">
        <f t="shared" ca="1" si="3"/>
        <v>120027.97769354099</v>
      </c>
      <c r="H32" s="157">
        <f t="shared" ca="1" si="3"/>
        <v>123910.23887579991</v>
      </c>
      <c r="I32" s="157">
        <f t="shared" ca="1" si="3"/>
        <v>127116.66914601919</v>
      </c>
      <c r="J32" s="157">
        <f t="shared" ca="1" si="3"/>
        <v>129593.19488665774</v>
      </c>
      <c r="K32" s="157">
        <f t="shared" ca="1" si="3"/>
        <v>131290.69240351027</v>
      </c>
    </row>
    <row r="33" spans="1:11" s="2" customFormat="1" ht="21" customHeight="1">
      <c r="A33" s="117" t="s">
        <v>414</v>
      </c>
      <c r="B33" s="120"/>
      <c r="C33" s="117"/>
      <c r="D33" s="105"/>
      <c r="E33" s="105"/>
      <c r="F33" s="105"/>
      <c r="G33" s="105"/>
      <c r="H33" s="214"/>
      <c r="I33" s="105"/>
      <c r="J33" s="105"/>
      <c r="K33" s="105"/>
    </row>
    <row r="34" spans="1:11" s="11" customFormat="1" ht="12.75" customHeight="1">
      <c r="A34" s="120"/>
      <c r="B34" s="120" t="s">
        <v>103</v>
      </c>
      <c r="C34" s="120"/>
      <c r="D34" s="154"/>
      <c r="E34" s="154">
        <f>3577+352</f>
        <v>3929</v>
      </c>
      <c r="F34" s="154">
        <f>3692+342</f>
        <v>4034</v>
      </c>
      <c r="G34" s="155">
        <f>F34</f>
        <v>4034</v>
      </c>
      <c r="H34" s="155">
        <f t="shared" ref="H34:K34" si="4">G34</f>
        <v>4034</v>
      </c>
      <c r="I34" s="155">
        <f t="shared" si="4"/>
        <v>4034</v>
      </c>
      <c r="J34" s="155">
        <f t="shared" si="4"/>
        <v>4034</v>
      </c>
      <c r="K34" s="155">
        <f t="shared" si="4"/>
        <v>4034</v>
      </c>
    </row>
    <row r="35" spans="1:11" s="11" customFormat="1" ht="12.75" customHeight="1">
      <c r="A35" s="120"/>
      <c r="B35" s="120" t="s">
        <v>69</v>
      </c>
      <c r="C35" s="120"/>
      <c r="D35" s="161"/>
      <c r="E35" s="161">
        <v>63967</v>
      </c>
      <c r="F35" s="161">
        <v>68691</v>
      </c>
      <c r="G35" s="211">
        <f ca="1">F35+'Cash Flow Statement'!G7+'Cash Flow Statement'!G33+'Cash Flow Statement'!G35</f>
        <v>73251.364477332245</v>
      </c>
      <c r="H35" s="211">
        <f ca="1">G35+'Cash Flow Statement'!H7+'Cash Flow Statement'!H33+'Cash Flow Statement'!H35</f>
        <v>78807.911520785361</v>
      </c>
      <c r="I35" s="211">
        <f ca="1">H35+'Cash Flow Statement'!I7+'Cash Flow Statement'!I33+'Cash Flow Statement'!I35</f>
        <v>85160.152706446272</v>
      </c>
      <c r="J35" s="211">
        <f ca="1">I35+'Cash Flow Statement'!J7+'Cash Flow Statement'!J33+'Cash Flow Statement'!J35</f>
        <v>92073.676799122564</v>
      </c>
      <c r="K35" s="211">
        <f ca="1">J35+'Cash Flow Statement'!K7+'Cash Flow Statement'!K33+'Cash Flow Statement'!K35</f>
        <v>99299.731057051977</v>
      </c>
    </row>
    <row r="36" spans="1:11" s="11" customFormat="1" ht="12.75" customHeight="1">
      <c r="A36" s="120"/>
      <c r="B36" s="120" t="s">
        <v>31</v>
      </c>
      <c r="C36" s="120"/>
      <c r="D36" s="159"/>
      <c r="E36" s="159">
        <v>646</v>
      </c>
      <c r="F36" s="159">
        <v>-1410</v>
      </c>
      <c r="G36" s="163">
        <f>F36+'Cash Flow Statement'!G40+'Cash Flow Statement'!G38+'Cash Flow Statement'!G8</f>
        <v>-1458</v>
      </c>
      <c r="H36" s="163">
        <f>G36+'Cash Flow Statement'!H40+'Cash Flow Statement'!H38+'Cash Flow Statement'!H8</f>
        <v>-1634</v>
      </c>
      <c r="I36" s="163">
        <f>H36+'Cash Flow Statement'!I40+'Cash Flow Statement'!I38+'Cash Flow Statement'!I8</f>
        <v>-1909</v>
      </c>
      <c r="J36" s="163">
        <f>I36+'Cash Flow Statement'!J40+'Cash Flow Statement'!J38+'Cash Flow Statement'!J8</f>
        <v>-1957</v>
      </c>
      <c r="K36" s="163">
        <f>J36+'Cash Flow Statement'!K40+'Cash Flow Statement'!K38+'Cash Flow Statement'!K8</f>
        <v>-2133</v>
      </c>
    </row>
    <row r="37" spans="1:11" s="2" customFormat="1" ht="12.75" customHeight="1">
      <c r="A37" s="120"/>
      <c r="B37" s="117" t="s">
        <v>415</v>
      </c>
      <c r="C37" s="117"/>
      <c r="D37" s="156"/>
      <c r="E37" s="156">
        <f t="shared" ref="E37:K37" si="5">SUM(E34:E36)</f>
        <v>68542</v>
      </c>
      <c r="F37" s="156">
        <f t="shared" si="5"/>
        <v>71315</v>
      </c>
      <c r="G37" s="156">
        <f t="shared" ca="1" si="5"/>
        <v>75827.364477332245</v>
      </c>
      <c r="H37" s="156">
        <f t="shared" ca="1" si="5"/>
        <v>81207.911520785361</v>
      </c>
      <c r="I37" s="156">
        <f t="shared" ca="1" si="5"/>
        <v>87285.152706446272</v>
      </c>
      <c r="J37" s="156">
        <f t="shared" ca="1" si="5"/>
        <v>94150.676799122564</v>
      </c>
      <c r="K37" s="156">
        <f t="shared" ca="1" si="5"/>
        <v>101200.73105705198</v>
      </c>
    </row>
    <row r="38" spans="1:11" s="2" customFormat="1" ht="12.75" customHeight="1">
      <c r="A38" s="120"/>
      <c r="B38" s="117"/>
      <c r="C38" s="117" t="s">
        <v>118</v>
      </c>
      <c r="D38" s="157"/>
      <c r="E38" s="154">
        <v>2705</v>
      </c>
      <c r="F38" s="154">
        <v>4446</v>
      </c>
      <c r="G38" s="211">
        <f>F38</f>
        <v>4446</v>
      </c>
      <c r="H38" s="211">
        <f>G38</f>
        <v>4446</v>
      </c>
      <c r="I38" s="211">
        <f>H38</f>
        <v>4446</v>
      </c>
      <c r="J38" s="211">
        <f>I38</f>
        <v>4446</v>
      </c>
      <c r="K38" s="211">
        <f>J38</f>
        <v>4446</v>
      </c>
    </row>
    <row r="39" spans="1:11" s="2" customFormat="1" ht="21" customHeight="1" thickBot="1">
      <c r="A39" s="120"/>
      <c r="B39" s="117" t="s">
        <v>254</v>
      </c>
      <c r="C39" s="117"/>
      <c r="D39" s="213"/>
      <c r="E39" s="213">
        <f>E32+E37+E38</f>
        <v>180782</v>
      </c>
      <c r="F39" s="213">
        <f t="shared" ref="F39:K39" si="6">F38+F37+F32</f>
        <v>193406</v>
      </c>
      <c r="G39" s="213">
        <f t="shared" ca="1" si="6"/>
        <v>200301.34217087325</v>
      </c>
      <c r="H39" s="213">
        <f t="shared" ca="1" si="6"/>
        <v>209564.15039658529</v>
      </c>
      <c r="I39" s="213">
        <f t="shared" ca="1" si="6"/>
        <v>218847.82185246545</v>
      </c>
      <c r="J39" s="213">
        <f t="shared" ca="1" si="6"/>
        <v>228189.87168578029</v>
      </c>
      <c r="K39" s="213">
        <f t="shared" ca="1" si="6"/>
        <v>236937.42346056225</v>
      </c>
    </row>
    <row r="40" spans="1:11" s="2" customFormat="1" ht="21" customHeight="1" thickTop="1">
      <c r="A40" s="117" t="s">
        <v>18</v>
      </c>
      <c r="B40" s="120"/>
      <c r="C40" s="117"/>
      <c r="D40" s="157"/>
      <c r="E40" s="157"/>
      <c r="F40" s="157"/>
      <c r="G40" s="157"/>
      <c r="H40" s="157"/>
      <c r="I40" s="157"/>
      <c r="J40" s="157"/>
      <c r="K40" s="157"/>
    </row>
    <row r="41" spans="1:11" s="52" customFormat="1" ht="12.75" customHeight="1">
      <c r="A41" s="147"/>
      <c r="B41" s="184" t="s">
        <v>9</v>
      </c>
      <c r="C41" s="148"/>
      <c r="D41" s="212"/>
      <c r="E41" s="212" t="str">
        <f t="shared" ref="E41:K41" si="7">IF(ROUND(E17-E39,1)=0,"Y","N")</f>
        <v>Y</v>
      </c>
      <c r="F41" s="212" t="str">
        <f t="shared" si="7"/>
        <v>Y</v>
      </c>
      <c r="G41" s="212" t="str">
        <f t="shared" ca="1" si="7"/>
        <v>Y</v>
      </c>
      <c r="H41" s="212" t="str">
        <f t="shared" ca="1" si="7"/>
        <v>Y</v>
      </c>
      <c r="I41" s="212" t="str">
        <f t="shared" ca="1" si="7"/>
        <v>Y</v>
      </c>
      <c r="J41" s="212" t="str">
        <f t="shared" ca="1" si="7"/>
        <v>Y</v>
      </c>
      <c r="K41" s="212" t="str">
        <f t="shared" ca="1" si="7"/>
        <v>Y</v>
      </c>
    </row>
    <row r="42" spans="1:11" ht="12.75" customHeight="1">
      <c r="D42" s="10"/>
      <c r="E42" s="10"/>
      <c r="F42" s="10"/>
      <c r="G42" s="10"/>
      <c r="H42" s="10"/>
      <c r="I42" s="10"/>
      <c r="J42" s="10"/>
      <c r="K42" s="10"/>
    </row>
    <row r="43" spans="1:11" ht="12.75" customHeight="1">
      <c r="F43" s="4"/>
      <c r="G43" s="4"/>
      <c r="H43" s="4"/>
      <c r="I43" s="4"/>
      <c r="J43" s="4"/>
      <c r="K43" s="4"/>
    </row>
    <row r="44" spans="1:11" ht="12.75" customHeight="1">
      <c r="F44" s="4"/>
      <c r="G44" s="4"/>
      <c r="H44" s="4"/>
      <c r="I44" s="4"/>
      <c r="J44" s="4"/>
      <c r="K44" s="4"/>
    </row>
    <row r="45" spans="1:11" ht="12.75" customHeight="1"/>
    <row r="46" spans="1:11" ht="12.75" customHeight="1"/>
    <row r="47" spans="1:11" ht="12.75" customHeight="1"/>
    <row r="48" spans="1:1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3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1" ht="59.2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1" ht="12.75" customHeight="1">
      <c r="A2" s="32" t="s">
        <v>3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1" ht="12.75" customHeight="1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1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1" ht="12.75" customHeight="1">
      <c r="A5" s="39" t="s">
        <v>349</v>
      </c>
      <c r="B5" s="40"/>
      <c r="C5" s="41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1" s="2" customFormat="1" ht="12.75" customHeight="1">
      <c r="A6" s="105"/>
      <c r="B6" s="105" t="s">
        <v>426</v>
      </c>
      <c r="C6" s="166"/>
      <c r="D6" s="166"/>
      <c r="E6" s="167"/>
      <c r="F6" s="167"/>
      <c r="G6" s="168">
        <f>'Balance Sheet'!F14</f>
        <v>112324</v>
      </c>
      <c r="H6" s="167"/>
      <c r="I6" s="167"/>
      <c r="J6" s="167"/>
      <c r="K6" s="167"/>
    </row>
    <row r="7" spans="1:11" s="2" customFormat="1" ht="12.75" customHeight="1">
      <c r="A7" s="105"/>
      <c r="B7" s="105" t="s">
        <v>427</v>
      </c>
      <c r="C7" s="105"/>
      <c r="D7" s="166"/>
      <c r="E7" s="166"/>
      <c r="F7" s="166"/>
      <c r="G7" s="168">
        <f>-'Cash Flow Statement'!G22</f>
        <v>14213.01</v>
      </c>
      <c r="H7" s="168">
        <f>-'Cash Flow Statement'!H22</f>
        <v>14923.6605</v>
      </c>
      <c r="I7" s="168">
        <f>-'Cash Flow Statement'!I22</f>
        <v>15520.606920000002</v>
      </c>
      <c r="J7" s="168">
        <f>-'Cash Flow Statement'!J22</f>
        <v>15986.225127600001</v>
      </c>
      <c r="K7" s="168">
        <f>-'Cash Flow Statement'!K22</f>
        <v>16305.949630152003</v>
      </c>
    </row>
    <row r="8" spans="1:11" s="2" customFormat="1" ht="21" customHeight="1">
      <c r="A8" s="105" t="s">
        <v>238</v>
      </c>
      <c r="B8" s="120"/>
      <c r="C8" s="105"/>
      <c r="D8" s="169"/>
      <c r="E8" s="169"/>
      <c r="F8" s="169"/>
      <c r="G8" s="120"/>
      <c r="H8" s="170"/>
      <c r="I8" s="170"/>
      <c r="J8" s="170"/>
      <c r="K8" s="170"/>
    </row>
    <row r="9" spans="1:11" s="2" customFormat="1" ht="12">
      <c r="A9" s="105"/>
      <c r="B9" s="117" t="s">
        <v>239</v>
      </c>
      <c r="C9" s="105"/>
      <c r="D9" s="169"/>
      <c r="E9" s="169"/>
      <c r="F9" s="169"/>
      <c r="G9" s="120"/>
      <c r="H9" s="170"/>
      <c r="I9" s="170"/>
      <c r="J9" s="170"/>
      <c r="K9" s="170"/>
    </row>
    <row r="10" spans="1:11" s="2" customFormat="1" ht="12">
      <c r="A10" s="105"/>
      <c r="B10" s="120"/>
      <c r="C10" s="109" t="s">
        <v>237</v>
      </c>
      <c r="D10" s="169"/>
      <c r="E10" s="169"/>
      <c r="F10" s="169"/>
      <c r="G10" s="171">
        <v>14</v>
      </c>
      <c r="H10" s="170"/>
      <c r="I10" s="170"/>
      <c r="J10" s="170"/>
      <c r="K10" s="170"/>
    </row>
    <row r="11" spans="1:11" s="2" customFormat="1" ht="12.75" customHeight="1">
      <c r="A11" s="105"/>
      <c r="B11" s="120"/>
      <c r="C11" s="109" t="s">
        <v>240</v>
      </c>
      <c r="D11" s="171"/>
      <c r="E11" s="171"/>
      <c r="F11" s="171"/>
      <c r="G11" s="171">
        <v>25</v>
      </c>
      <c r="H11" s="171">
        <v>25</v>
      </c>
      <c r="I11" s="171">
        <v>25</v>
      </c>
      <c r="J11" s="171">
        <v>25</v>
      </c>
      <c r="K11" s="171">
        <v>25</v>
      </c>
    </row>
    <row r="12" spans="1:11" s="2" customFormat="1" ht="12.75" customHeight="1">
      <c r="A12" s="105"/>
      <c r="B12" s="117" t="s">
        <v>3</v>
      </c>
      <c r="C12" s="109"/>
      <c r="D12" s="171"/>
      <c r="E12" s="171"/>
      <c r="F12" s="171"/>
      <c r="G12" s="171"/>
      <c r="H12" s="171"/>
      <c r="I12" s="171"/>
      <c r="J12" s="171"/>
      <c r="K12" s="171"/>
    </row>
    <row r="13" spans="1:11" s="2" customFormat="1" ht="12.75" customHeight="1">
      <c r="A13" s="105"/>
      <c r="B13" s="120"/>
      <c r="C13" s="172" t="s">
        <v>11</v>
      </c>
      <c r="D13" s="173"/>
      <c r="E13" s="173"/>
      <c r="F13" s="173"/>
      <c r="G13" s="173">
        <f>$G$6/$G$10</f>
        <v>8023.1428571428569</v>
      </c>
      <c r="H13" s="173">
        <f>$G$6/$G$10</f>
        <v>8023.1428571428569</v>
      </c>
      <c r="I13" s="173">
        <f>$G$6/$G$10</f>
        <v>8023.1428571428569</v>
      </c>
      <c r="J13" s="173">
        <f>$G$6/$G$10</f>
        <v>8023.1428571428569</v>
      </c>
      <c r="K13" s="173">
        <f>$G$6/$G$10</f>
        <v>8023.1428571428569</v>
      </c>
    </row>
    <row r="14" spans="1:11" s="2" customFormat="1" ht="12.75" customHeight="1">
      <c r="A14" s="120"/>
      <c r="B14" s="120"/>
      <c r="C14" s="174" t="str">
        <f>G$5&amp;" CAPEX"</f>
        <v>2013 CAPEX</v>
      </c>
      <c r="D14" s="175"/>
      <c r="E14" s="176"/>
      <c r="F14" s="176"/>
      <c r="G14" s="176">
        <f>$G$7/$G$11</f>
        <v>568.5204</v>
      </c>
      <c r="H14" s="176">
        <f>$G$7/$G$11</f>
        <v>568.5204</v>
      </c>
      <c r="I14" s="176">
        <f>$G$7/$G$11</f>
        <v>568.5204</v>
      </c>
      <c r="J14" s="176">
        <f>$G$7/$G$11</f>
        <v>568.5204</v>
      </c>
      <c r="K14" s="176">
        <f>$G$7/$G$11</f>
        <v>568.5204</v>
      </c>
    </row>
    <row r="15" spans="1:11" s="2" customFormat="1" ht="12.75" customHeight="1">
      <c r="A15" s="120"/>
      <c r="B15" s="120"/>
      <c r="C15" s="174" t="str">
        <f>H$5&amp;" CAPEX"</f>
        <v>2014 CAPEX</v>
      </c>
      <c r="D15" s="175"/>
      <c r="E15" s="176"/>
      <c r="F15" s="176"/>
      <c r="G15" s="176"/>
      <c r="H15" s="176">
        <f>$H$7/$H$11</f>
        <v>596.94641999999999</v>
      </c>
      <c r="I15" s="176">
        <f>$H$7/$H$11</f>
        <v>596.94641999999999</v>
      </c>
      <c r="J15" s="176">
        <f>$H$7/$H$11</f>
        <v>596.94641999999999</v>
      </c>
      <c r="K15" s="176">
        <f>$H$7/$H$11</f>
        <v>596.94641999999999</v>
      </c>
    </row>
    <row r="16" spans="1:11" s="2" customFormat="1" ht="12.75" customHeight="1">
      <c r="A16" s="117"/>
      <c r="B16" s="120"/>
      <c r="C16" s="174" t="str">
        <f>I$5&amp;" CAPEX"</f>
        <v>2015 CAPEX</v>
      </c>
      <c r="D16" s="177"/>
      <c r="E16" s="177"/>
      <c r="F16" s="177"/>
      <c r="G16" s="177"/>
      <c r="H16" s="177"/>
      <c r="I16" s="176">
        <f>$I$7/$I$11</f>
        <v>620.82427680000012</v>
      </c>
      <c r="J16" s="176">
        <f>$I$7/$I$11</f>
        <v>620.82427680000012</v>
      </c>
      <c r="K16" s="176">
        <f>$I$7/$I$11</f>
        <v>620.82427680000012</v>
      </c>
    </row>
    <row r="17" spans="1:11" s="2" customFormat="1" ht="12.75" customHeight="1">
      <c r="A17" s="117"/>
      <c r="B17" s="120"/>
      <c r="C17" s="174" t="str">
        <f>J$5&amp;" CAPEX"</f>
        <v>2016 CAPEX</v>
      </c>
      <c r="D17" s="176"/>
      <c r="E17" s="176"/>
      <c r="F17" s="176"/>
      <c r="G17" s="176"/>
      <c r="H17" s="176"/>
      <c r="I17" s="176"/>
      <c r="J17" s="176">
        <f>$J$7/$J$11</f>
        <v>639.44900510399998</v>
      </c>
      <c r="K17" s="176">
        <f>$J$7/$J$11</f>
        <v>639.44900510399998</v>
      </c>
    </row>
    <row r="18" spans="1:11" s="2" customFormat="1" ht="12.75" customHeight="1">
      <c r="A18" s="117"/>
      <c r="B18" s="120"/>
      <c r="C18" s="174" t="str">
        <f>K$5&amp;" CAPEX"</f>
        <v>2017 CAPEX</v>
      </c>
      <c r="D18" s="178"/>
      <c r="E18" s="179"/>
      <c r="F18" s="179"/>
      <c r="G18" s="179"/>
      <c r="H18" s="179"/>
      <c r="I18" s="179"/>
      <c r="J18" s="179"/>
      <c r="K18" s="176">
        <f>$K$7/$K$11</f>
        <v>652.23798520608011</v>
      </c>
    </row>
    <row r="19" spans="1:11" s="2" customFormat="1" ht="12.75" customHeight="1">
      <c r="A19" s="117"/>
      <c r="B19" s="117" t="s">
        <v>70</v>
      </c>
      <c r="C19" s="117"/>
      <c r="D19" s="151"/>
      <c r="E19" s="151"/>
      <c r="F19" s="151"/>
      <c r="G19" s="151">
        <f>SUM(G13:G18)</f>
        <v>8591.6632571428563</v>
      </c>
      <c r="H19" s="151">
        <f>SUM(H13:H18)</f>
        <v>9188.6096771428565</v>
      </c>
      <c r="I19" s="151">
        <f>SUM(I13:I18)</f>
        <v>9809.4339539428565</v>
      </c>
      <c r="J19" s="151">
        <f>SUM(J13:J18)</f>
        <v>10448.882959046856</v>
      </c>
      <c r="K19" s="151">
        <f>SUM(K13:K18)</f>
        <v>11101.120944252936</v>
      </c>
    </row>
    <row r="20" spans="1:11" s="2" customFormat="1" ht="21" customHeight="1">
      <c r="A20" s="105" t="s">
        <v>71</v>
      </c>
      <c r="B20" s="120"/>
      <c r="C20" s="105"/>
      <c r="D20" s="169"/>
      <c r="E20" s="169"/>
      <c r="F20" s="169"/>
      <c r="G20" s="170"/>
      <c r="H20" s="170"/>
      <c r="I20" s="170"/>
      <c r="J20" s="170"/>
      <c r="K20" s="170"/>
    </row>
    <row r="21" spans="1:11" s="2" customFormat="1" ht="12.75" customHeight="1">
      <c r="A21" s="117"/>
      <c r="B21" s="120"/>
      <c r="C21" s="172" t="s">
        <v>11</v>
      </c>
      <c r="D21" s="181"/>
      <c r="E21" s="181"/>
      <c r="F21" s="181"/>
      <c r="G21" s="182">
        <v>8.7499999999999994E-2</v>
      </c>
      <c r="H21" s="182">
        <v>9.1300000000000006E-2</v>
      </c>
      <c r="I21" s="182">
        <v>8.2100000000000006E-2</v>
      </c>
      <c r="J21" s="182">
        <v>7.3899999999999993E-2</v>
      </c>
      <c r="K21" s="182">
        <v>6.6500000000000004E-2</v>
      </c>
    </row>
    <row r="22" spans="1:11" s="2" customFormat="1" ht="12.75" customHeight="1">
      <c r="A22" s="120"/>
      <c r="B22" s="120"/>
      <c r="C22" s="174" t="str">
        <f>G$5&amp;" CAPEX"</f>
        <v>2013 CAPEX</v>
      </c>
      <c r="D22" s="175"/>
      <c r="E22" s="176"/>
      <c r="F22" s="176"/>
      <c r="G22" s="182">
        <v>6.5629999999999994E-2</v>
      </c>
      <c r="H22" s="182">
        <v>7.0000000000000007E-2</v>
      </c>
      <c r="I22" s="182">
        <v>6.4820000000000003E-2</v>
      </c>
      <c r="J22" s="182">
        <v>5.9960000000000006E-2</v>
      </c>
      <c r="K22" s="182">
        <v>5.5460000000000002E-2</v>
      </c>
    </row>
    <row r="23" spans="1:11" s="2" customFormat="1" ht="12.75" customHeight="1">
      <c r="A23" s="120"/>
      <c r="B23" s="120"/>
      <c r="C23" s="174" t="str">
        <f>H$5&amp;" CAPEX"</f>
        <v>2014 CAPEX</v>
      </c>
      <c r="D23" s="175"/>
      <c r="E23" s="176"/>
      <c r="F23" s="176"/>
      <c r="G23" s="176"/>
      <c r="H23" s="182">
        <v>6.5629999999999994E-2</v>
      </c>
      <c r="I23" s="182">
        <v>7.0000000000000007E-2</v>
      </c>
      <c r="J23" s="182">
        <v>6.4820000000000003E-2</v>
      </c>
      <c r="K23" s="182">
        <v>5.9960000000000006E-2</v>
      </c>
    </row>
    <row r="24" spans="1:11" s="2" customFormat="1" ht="12.75" customHeight="1">
      <c r="A24" s="120"/>
      <c r="B24" s="120"/>
      <c r="C24" s="174" t="str">
        <f>I$5&amp;" CAPEX"</f>
        <v>2015 CAPEX</v>
      </c>
      <c r="D24" s="177"/>
      <c r="E24" s="177"/>
      <c r="F24" s="177"/>
      <c r="G24" s="177"/>
      <c r="H24" s="177"/>
      <c r="I24" s="182">
        <v>6.5629999999999994E-2</v>
      </c>
      <c r="J24" s="182">
        <v>7.0000000000000007E-2</v>
      </c>
      <c r="K24" s="182">
        <v>6.4820000000000003E-2</v>
      </c>
    </row>
    <row r="25" spans="1:11" s="2" customFormat="1" ht="12.75" customHeight="1">
      <c r="A25" s="117"/>
      <c r="B25" s="120"/>
      <c r="C25" s="174" t="str">
        <f>J$5&amp;" CAPEX"</f>
        <v>2016 CAPEX</v>
      </c>
      <c r="D25" s="176"/>
      <c r="E25" s="176"/>
      <c r="F25" s="176"/>
      <c r="G25" s="176"/>
      <c r="H25" s="176"/>
      <c r="I25" s="176"/>
      <c r="J25" s="182">
        <v>6.5629999999999994E-2</v>
      </c>
      <c r="K25" s="182">
        <v>7.0000000000000007E-2</v>
      </c>
    </row>
    <row r="26" spans="1:11" s="2" customFormat="1" ht="12.75" customHeight="1">
      <c r="A26" s="120"/>
      <c r="B26" s="120"/>
      <c r="C26" s="174" t="str">
        <f>K$5&amp;" CAPEX"</f>
        <v>2017 CAPEX</v>
      </c>
      <c r="D26" s="175"/>
      <c r="E26" s="176"/>
      <c r="F26" s="176"/>
      <c r="G26" s="176"/>
      <c r="H26" s="176"/>
      <c r="I26" s="176"/>
      <c r="J26" s="176"/>
      <c r="K26" s="182">
        <v>6.5629999999999994E-2</v>
      </c>
    </row>
    <row r="27" spans="1:11" s="2" customFormat="1" ht="19.5" customHeight="1">
      <c r="A27" s="105" t="s">
        <v>241</v>
      </c>
      <c r="B27" s="120"/>
      <c r="C27" s="174"/>
      <c r="D27" s="175"/>
      <c r="E27" s="176"/>
      <c r="F27" s="176"/>
      <c r="G27" s="176"/>
      <c r="H27" s="176"/>
      <c r="I27" s="176"/>
      <c r="J27" s="176"/>
      <c r="K27" s="182"/>
    </row>
    <row r="28" spans="1:11" s="2" customFormat="1" ht="12.75" customHeight="1">
      <c r="A28" s="105"/>
      <c r="B28" s="120"/>
      <c r="C28" s="172" t="s">
        <v>11</v>
      </c>
      <c r="D28" s="173"/>
      <c r="E28" s="173"/>
      <c r="F28" s="173"/>
      <c r="G28" s="173">
        <f>$G$6*G21</f>
        <v>9828.3499999999985</v>
      </c>
      <c r="H28" s="173">
        <f>$G$6*H21</f>
        <v>10255.181200000001</v>
      </c>
      <c r="I28" s="173">
        <f>$G$6*I21</f>
        <v>9221.8004000000001</v>
      </c>
      <c r="J28" s="173">
        <f>$G$6*J21</f>
        <v>8300.7435999999998</v>
      </c>
      <c r="K28" s="173">
        <f>$G$6*K21</f>
        <v>7469.5460000000003</v>
      </c>
    </row>
    <row r="29" spans="1:11" s="2" customFormat="1" ht="12.75" customHeight="1">
      <c r="A29" s="120"/>
      <c r="B29" s="120"/>
      <c r="C29" s="174" t="str">
        <f>G$5&amp;" CAPEX"</f>
        <v>2013 CAPEX</v>
      </c>
      <c r="D29" s="175"/>
      <c r="E29" s="176"/>
      <c r="F29" s="176"/>
      <c r="G29" s="176">
        <f>$G$7*G22</f>
        <v>932.7998462999999</v>
      </c>
      <c r="H29" s="176">
        <f>$G$7*H22</f>
        <v>994.91070000000013</v>
      </c>
      <c r="I29" s="176">
        <f>$G$7*I22</f>
        <v>921.2873082000001</v>
      </c>
      <c r="J29" s="176">
        <f>$G$7*J22</f>
        <v>852.21207960000015</v>
      </c>
      <c r="K29" s="176">
        <f>$G$7*K22</f>
        <v>788.25353460000008</v>
      </c>
    </row>
    <row r="30" spans="1:11" s="2" customFormat="1" ht="12.75" customHeight="1">
      <c r="A30" s="120"/>
      <c r="B30" s="120"/>
      <c r="C30" s="174" t="str">
        <f>H$5&amp;" CAPEX"</f>
        <v>2014 CAPEX</v>
      </c>
      <c r="D30" s="175"/>
      <c r="E30" s="176"/>
      <c r="F30" s="176"/>
      <c r="G30" s="176"/>
      <c r="H30" s="176">
        <f>$H$7*H23</f>
        <v>979.43983861499987</v>
      </c>
      <c r="I30" s="176">
        <f>$H$7*I23</f>
        <v>1044.6562350000002</v>
      </c>
      <c r="J30" s="176">
        <f>$H$7*J23</f>
        <v>967.35167361000003</v>
      </c>
      <c r="K30" s="176">
        <f>$H$7*K23</f>
        <v>894.8226835800001</v>
      </c>
    </row>
    <row r="31" spans="1:11" s="2" customFormat="1" ht="12.75" customHeight="1">
      <c r="A31" s="117"/>
      <c r="B31" s="120"/>
      <c r="C31" s="174" t="str">
        <f>I$5&amp;" CAPEX"</f>
        <v>2015 CAPEX</v>
      </c>
      <c r="D31" s="177"/>
      <c r="E31" s="177"/>
      <c r="F31" s="177"/>
      <c r="G31" s="177"/>
      <c r="H31" s="177"/>
      <c r="I31" s="176">
        <f>$I$7*I24</f>
        <v>1018.6174321596001</v>
      </c>
      <c r="J31" s="176">
        <f>$I$7*J24</f>
        <v>1086.4424844000002</v>
      </c>
      <c r="K31" s="176">
        <f>$I$7*K24</f>
        <v>1006.0457405544001</v>
      </c>
    </row>
    <row r="32" spans="1:11" s="2" customFormat="1" ht="12.75" customHeight="1">
      <c r="A32" s="117"/>
      <c r="B32" s="120"/>
      <c r="C32" s="174" t="str">
        <f>J$5&amp;" CAPEX"</f>
        <v>2016 CAPEX</v>
      </c>
      <c r="D32" s="176"/>
      <c r="E32" s="176"/>
      <c r="F32" s="176"/>
      <c r="G32" s="176"/>
      <c r="H32" s="176"/>
      <c r="I32" s="176"/>
      <c r="J32" s="176">
        <f>$J$7*J25</f>
        <v>1049.1759551243879</v>
      </c>
      <c r="K32" s="176">
        <f>$J$7*K25</f>
        <v>1119.0357589320001</v>
      </c>
    </row>
    <row r="33" spans="1:11" s="2" customFormat="1" ht="12.75" customHeight="1">
      <c r="A33" s="117"/>
      <c r="B33" s="120"/>
      <c r="C33" s="174" t="str">
        <f>K$5&amp;" CAPEX"</f>
        <v>2017 CAPEX</v>
      </c>
      <c r="D33" s="178"/>
      <c r="E33" s="179"/>
      <c r="F33" s="179"/>
      <c r="G33" s="179"/>
      <c r="H33" s="179"/>
      <c r="I33" s="179"/>
      <c r="J33" s="179"/>
      <c r="K33" s="176">
        <f>$K$7*K26</f>
        <v>1070.1594742268758</v>
      </c>
    </row>
    <row r="34" spans="1:11" s="2" customFormat="1" ht="12.75" customHeight="1">
      <c r="A34" s="117"/>
      <c r="B34" s="117" t="s">
        <v>72</v>
      </c>
      <c r="C34" s="117"/>
      <c r="D34" s="151"/>
      <c r="E34" s="151"/>
      <c r="F34" s="151"/>
      <c r="G34" s="151">
        <f>SUM(G28:G33)</f>
        <v>10761.149846299999</v>
      </c>
      <c r="H34" s="151">
        <f>SUM(H28:H33)</f>
        <v>12229.531738615002</v>
      </c>
      <c r="I34" s="151">
        <f>SUM(I28:I33)</f>
        <v>12206.361375359602</v>
      </c>
      <c r="J34" s="151">
        <f>SUM(J28:J33)</f>
        <v>12255.925792734388</v>
      </c>
      <c r="K34" s="151">
        <f>SUM(K28:K33)</f>
        <v>12347.863191893277</v>
      </c>
    </row>
    <row r="35" spans="1:11" s="2" customFormat="1" ht="12.75" customHeight="1">
      <c r="A35" s="117"/>
      <c r="B35" s="120" t="s">
        <v>73</v>
      </c>
      <c r="C35" s="120"/>
      <c r="D35" s="152"/>
      <c r="E35" s="152"/>
      <c r="F35" s="152"/>
      <c r="G35" s="152">
        <f>G34-G19</f>
        <v>2169.4865891571426</v>
      </c>
      <c r="H35" s="152">
        <f>H34-H19</f>
        <v>3040.9220614721453</v>
      </c>
      <c r="I35" s="152">
        <f>I34-I19</f>
        <v>2396.9274214167453</v>
      </c>
      <c r="J35" s="152">
        <f>J34-J19</f>
        <v>1807.042833687532</v>
      </c>
      <c r="K35" s="152">
        <f>K34-K19</f>
        <v>1246.7422476403408</v>
      </c>
    </row>
    <row r="36" spans="1:11" s="11" customFormat="1" ht="12.75" customHeight="1">
      <c r="A36" s="120"/>
      <c r="B36" s="120"/>
      <c r="C36" s="129" t="s">
        <v>74</v>
      </c>
      <c r="D36" s="183"/>
      <c r="E36" s="183"/>
      <c r="F36" s="183"/>
      <c r="G36" s="183">
        <f>'Income Statement'!G34</f>
        <v>0.33</v>
      </c>
      <c r="H36" s="183">
        <f>'Income Statement'!H34</f>
        <v>0.33</v>
      </c>
      <c r="I36" s="183">
        <f>'Income Statement'!I34</f>
        <v>0.33</v>
      </c>
      <c r="J36" s="183">
        <f>'Income Statement'!J34</f>
        <v>0.33</v>
      </c>
      <c r="K36" s="183">
        <f>'Income Statement'!K34</f>
        <v>0.33</v>
      </c>
    </row>
    <row r="37" spans="1:11" s="56" customFormat="1" ht="12.75" customHeight="1">
      <c r="A37" s="148"/>
      <c r="B37" s="184" t="s">
        <v>75</v>
      </c>
      <c r="C37" s="184"/>
      <c r="D37" s="185"/>
      <c r="E37" s="185"/>
      <c r="F37" s="185"/>
      <c r="G37" s="185">
        <f>G35*G36</f>
        <v>715.93057442185705</v>
      </c>
      <c r="H37" s="185">
        <f>H35*H36</f>
        <v>1003.504280285808</v>
      </c>
      <c r="I37" s="185">
        <f>I35*I36</f>
        <v>790.98604906752598</v>
      </c>
      <c r="J37" s="185">
        <f>J35*J36</f>
        <v>596.3241351168856</v>
      </c>
      <c r="K37" s="185">
        <f>K35*K36</f>
        <v>411.42494172131251</v>
      </c>
    </row>
    <row r="38" spans="1:11" s="11" customFormat="1" ht="12">
      <c r="D38" s="12"/>
      <c r="E38" s="12"/>
      <c r="F38" s="12"/>
      <c r="G38" s="12"/>
      <c r="H38" s="12"/>
      <c r="I38" s="12"/>
      <c r="J38" s="12"/>
      <c r="K38" s="12"/>
    </row>
    <row r="39" spans="1:11" s="11" customFormat="1" ht="12">
      <c r="D39" s="12"/>
      <c r="E39" s="12"/>
      <c r="F39" s="12"/>
      <c r="G39" s="12"/>
      <c r="H39" s="12"/>
      <c r="I39" s="12"/>
      <c r="J39" s="12"/>
      <c r="K39" s="12"/>
    </row>
    <row r="40" spans="1:11" ht="20.100000000000001" customHeight="1">
      <c r="D40" s="10"/>
      <c r="E40" s="10"/>
      <c r="F40" s="10"/>
      <c r="G40" s="10"/>
      <c r="H40" s="10"/>
      <c r="I40" s="10"/>
      <c r="J40" s="10"/>
      <c r="K40" s="10"/>
    </row>
    <row r="41" spans="1:11" ht="20.100000000000001" customHeight="1">
      <c r="F41" s="4"/>
      <c r="G41" s="4"/>
      <c r="H41" s="4"/>
      <c r="I41" s="4"/>
      <c r="J41" s="4"/>
      <c r="K41" s="4"/>
    </row>
    <row r="42" spans="1:11" ht="20.100000000000001" customHeight="1">
      <c r="C42"/>
      <c r="D42"/>
      <c r="E42"/>
      <c r="F42"/>
      <c r="G42"/>
      <c r="H42"/>
      <c r="I42"/>
      <c r="J42"/>
      <c r="K42" s="4"/>
    </row>
    <row r="43" spans="1:11" ht="20.100000000000001" customHeight="1">
      <c r="C43"/>
      <c r="D43"/>
      <c r="E43"/>
      <c r="F43"/>
      <c r="G43"/>
      <c r="H43"/>
      <c r="I43"/>
      <c r="J43"/>
    </row>
    <row r="44" spans="1:11" ht="20.100000000000001" customHeight="1">
      <c r="C44"/>
      <c r="D44"/>
      <c r="E44"/>
      <c r="F44"/>
      <c r="G44"/>
      <c r="H44"/>
      <c r="I44"/>
      <c r="J44"/>
    </row>
    <row r="45" spans="1:11" ht="20.100000000000001" customHeight="1">
      <c r="C45"/>
      <c r="D45"/>
      <c r="E45"/>
      <c r="F45"/>
      <c r="G45"/>
      <c r="H45"/>
      <c r="I45"/>
      <c r="J45"/>
    </row>
    <row r="46" spans="1:11" ht="20.100000000000001" customHeight="1">
      <c r="C46"/>
      <c r="D46"/>
      <c r="E46"/>
      <c r="F46"/>
      <c r="G46"/>
      <c r="H46"/>
      <c r="I46"/>
      <c r="J46"/>
    </row>
    <row r="47" spans="1:11" ht="20.100000000000001" customHeight="1">
      <c r="C47"/>
      <c r="D47"/>
      <c r="E47"/>
      <c r="F47"/>
      <c r="G47"/>
      <c r="H47"/>
      <c r="I47"/>
      <c r="J47"/>
    </row>
    <row r="48" spans="1:11" ht="20.100000000000001" customHeight="1">
      <c r="C48"/>
      <c r="D48"/>
      <c r="E48"/>
      <c r="F48"/>
      <c r="G48"/>
      <c r="H48"/>
      <c r="I48"/>
      <c r="J48"/>
    </row>
    <row r="49" spans="3:10" ht="20.100000000000001" customHeight="1">
      <c r="C49"/>
      <c r="D49"/>
      <c r="E49"/>
      <c r="F49"/>
      <c r="G49"/>
      <c r="H49"/>
      <c r="I49"/>
      <c r="J49"/>
    </row>
    <row r="50" spans="3:10" ht="20.100000000000001" customHeight="1">
      <c r="C50"/>
      <c r="D50"/>
      <c r="E50"/>
      <c r="F50"/>
      <c r="G50"/>
      <c r="H50"/>
      <c r="I50"/>
      <c r="J50"/>
    </row>
    <row r="51" spans="3:10" ht="20.100000000000001" customHeight="1">
      <c r="C51"/>
      <c r="D51"/>
      <c r="E51"/>
      <c r="F51"/>
      <c r="G51"/>
      <c r="H51"/>
      <c r="I51"/>
      <c r="J51"/>
    </row>
    <row r="52" spans="3:10" ht="20.100000000000001" customHeight="1">
      <c r="C52"/>
      <c r="D52"/>
      <c r="E52"/>
      <c r="F52"/>
      <c r="G52"/>
      <c r="H52"/>
      <c r="I52"/>
      <c r="J52"/>
    </row>
    <row r="53" spans="3:10" ht="20.100000000000001" customHeight="1">
      <c r="C53"/>
      <c r="D53"/>
      <c r="E53"/>
      <c r="F53"/>
      <c r="G53"/>
      <c r="H53"/>
      <c r="I53"/>
      <c r="J53"/>
    </row>
    <row r="54" spans="3:10" ht="20.100000000000001" customHeight="1">
      <c r="C54"/>
      <c r="D54"/>
      <c r="E54"/>
      <c r="F54"/>
      <c r="G54"/>
      <c r="H54"/>
      <c r="I54"/>
      <c r="J54"/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32.8554687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9.2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2" ht="12.75" customHeight="1">
      <c r="A2" s="32" t="s">
        <v>17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2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39" t="s">
        <v>350</v>
      </c>
      <c r="B5" s="40"/>
      <c r="C5" s="40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2" customFormat="1" ht="21" customHeight="1">
      <c r="A6" s="105" t="s">
        <v>76</v>
      </c>
      <c r="B6" s="105"/>
      <c r="C6" s="105"/>
      <c r="D6" s="166"/>
      <c r="E6" s="166"/>
      <c r="F6" s="166"/>
      <c r="G6" s="166"/>
      <c r="H6" s="166"/>
      <c r="I6" s="166"/>
      <c r="J6" s="166"/>
      <c r="K6" s="166"/>
    </row>
    <row r="7" spans="1:12" s="2" customFormat="1" ht="12.75" customHeight="1">
      <c r="A7" s="105"/>
      <c r="B7" s="120" t="s">
        <v>242</v>
      </c>
      <c r="C7" s="120"/>
      <c r="D7" s="191"/>
      <c r="E7" s="192">
        <f>'Balance Sheet'!E9</f>
        <v>5089</v>
      </c>
      <c r="F7" s="192">
        <f>'Balance Sheet'!F9</f>
        <v>5937</v>
      </c>
      <c r="G7" s="192">
        <f>G8/360*'Income Statement'!G11</f>
        <v>5790.4855555555559</v>
      </c>
      <c r="H7" s="192">
        <f>H8/360*'Income Statement'!H11</f>
        <v>6080.0098333333344</v>
      </c>
      <c r="I7" s="192">
        <f>I8/360*'Income Statement'!I11</f>
        <v>6323.2102266666679</v>
      </c>
      <c r="J7" s="192">
        <f>J8/360*'Income Statement'!J11</f>
        <v>6512.9065334666675</v>
      </c>
      <c r="K7" s="192">
        <f>K8/360*'Income Statement'!K11</f>
        <v>6643.1646641360021</v>
      </c>
    </row>
    <row r="8" spans="1:12" s="2" customFormat="1" ht="12.75" customHeight="1">
      <c r="A8" s="105"/>
      <c r="B8" s="120"/>
      <c r="C8" s="193" t="s">
        <v>77</v>
      </c>
      <c r="D8" s="194"/>
      <c r="E8" s="194"/>
      <c r="F8" s="194">
        <f>AVERAGE(F7,E7)/'Income Statement'!F11*360</f>
        <v>4.4404966998545703</v>
      </c>
      <c r="G8" s="202">
        <v>4.4000000000000004</v>
      </c>
      <c r="H8" s="202">
        <v>4.4000000000000004</v>
      </c>
      <c r="I8" s="202">
        <v>4.4000000000000004</v>
      </c>
      <c r="J8" s="202">
        <v>4.4000000000000004</v>
      </c>
      <c r="K8" s="202">
        <v>4.4000000000000004</v>
      </c>
      <c r="L8" s="3"/>
    </row>
    <row r="9" spans="1:12" s="2" customFormat="1" ht="12.75" customHeight="1">
      <c r="A9" s="105"/>
      <c r="B9" s="120" t="s">
        <v>243</v>
      </c>
      <c r="C9" s="120"/>
      <c r="D9" s="195"/>
      <c r="E9" s="192">
        <f>'Balance Sheet'!E10</f>
        <v>36437</v>
      </c>
      <c r="F9" s="192">
        <f>'Balance Sheet'!F10</f>
        <v>40714</v>
      </c>
      <c r="G9" s="192">
        <f>G10/360*'Income Statement'!G14</f>
        <v>40862.403749999998</v>
      </c>
      <c r="H9" s="192">
        <f>H10/360*'Income Statement'!H14</f>
        <v>42905.523937499995</v>
      </c>
      <c r="I9" s="192">
        <f>I10/360*'Income Statement'!I14</f>
        <v>44621.744895000003</v>
      </c>
      <c r="J9" s="192">
        <f>J10/360*'Income Statement'!J14</f>
        <v>45960.397241850005</v>
      </c>
      <c r="K9" s="192">
        <f>K10/360*'Income Statement'!K14</f>
        <v>46879.605186687004</v>
      </c>
    </row>
    <row r="10" spans="1:12" s="2" customFormat="1" ht="12.75" customHeight="1">
      <c r="A10" s="105"/>
      <c r="B10" s="120"/>
      <c r="C10" s="193" t="s">
        <v>78</v>
      </c>
      <c r="D10" s="194"/>
      <c r="E10" s="194"/>
      <c r="F10" s="194">
        <f>AVERAGE(F9,E9)/'Income Statement'!F14*360</f>
        <v>41.438559113410733</v>
      </c>
      <c r="G10" s="202">
        <v>41.4</v>
      </c>
      <c r="H10" s="202">
        <v>41.4</v>
      </c>
      <c r="I10" s="202">
        <v>41.4</v>
      </c>
      <c r="J10" s="202">
        <v>41.4</v>
      </c>
      <c r="K10" s="202">
        <v>41.4</v>
      </c>
    </row>
    <row r="11" spans="1:12" s="2" customFormat="1" ht="12.75" customHeight="1">
      <c r="A11" s="105"/>
      <c r="B11" s="174" t="s">
        <v>244</v>
      </c>
      <c r="C11" s="196"/>
      <c r="D11" s="178"/>
      <c r="E11" s="179">
        <f>'Balance Sheet'!E11</f>
        <v>2960</v>
      </c>
      <c r="F11" s="179">
        <f>'Balance Sheet'!F11</f>
        <v>1685</v>
      </c>
      <c r="G11" s="179">
        <f>G12/360*'Income Statement'!G19</f>
        <v>2458.8507300000001</v>
      </c>
      <c r="H11" s="179">
        <f>H12/360*'Income Statement'!H19</f>
        <v>2581.7932665000003</v>
      </c>
      <c r="I11" s="179">
        <f>I12/360*'Income Statement'!I19</f>
        <v>2685.0649971600001</v>
      </c>
      <c r="J11" s="179">
        <f>J12/360*'Income Statement'!J19</f>
        <v>2765.6169470748005</v>
      </c>
      <c r="K11" s="179">
        <f>K12/360*'Income Statement'!K19</f>
        <v>2820.9292860162968</v>
      </c>
    </row>
    <row r="12" spans="1:12" s="2" customFormat="1" ht="12.75" customHeight="1">
      <c r="A12" s="105"/>
      <c r="B12" s="174"/>
      <c r="C12" s="193" t="s">
        <v>89</v>
      </c>
      <c r="D12" s="197"/>
      <c r="E12" s="197"/>
      <c r="F12" s="203">
        <f>AVERAGE(F11,E11)/'Income Statement'!F19*360</f>
        <v>10.839437350100473</v>
      </c>
      <c r="G12" s="197">
        <v>10.8</v>
      </c>
      <c r="H12" s="197">
        <v>10.8</v>
      </c>
      <c r="I12" s="197">
        <v>10.8</v>
      </c>
      <c r="J12" s="197">
        <v>10.8</v>
      </c>
      <c r="K12" s="197">
        <v>10.8</v>
      </c>
    </row>
    <row r="13" spans="1:12" s="2" customFormat="1" ht="12.75" customHeight="1">
      <c r="A13" s="105"/>
      <c r="B13" s="198" t="s">
        <v>28</v>
      </c>
      <c r="C13" s="199"/>
      <c r="D13" s="200"/>
      <c r="E13" s="201">
        <f>E11+E9+E7</f>
        <v>44486</v>
      </c>
      <c r="F13" s="201">
        <f t="shared" ref="F13:K13" si="0">F11+F9+F7</f>
        <v>48336</v>
      </c>
      <c r="G13" s="201">
        <f t="shared" si="0"/>
        <v>49111.740035555551</v>
      </c>
      <c r="H13" s="201">
        <f t="shared" si="0"/>
        <v>51567.327037333329</v>
      </c>
      <c r="I13" s="201">
        <f t="shared" si="0"/>
        <v>53630.020118826673</v>
      </c>
      <c r="J13" s="201">
        <f t="shared" si="0"/>
        <v>55238.920722391471</v>
      </c>
      <c r="K13" s="201">
        <f t="shared" si="0"/>
        <v>56343.699136839306</v>
      </c>
    </row>
    <row r="14" spans="1:12" s="2" customFormat="1" ht="21" customHeight="1">
      <c r="A14" s="105" t="s">
        <v>79</v>
      </c>
      <c r="B14" s="204"/>
      <c r="C14" s="204"/>
      <c r="D14" s="173"/>
      <c r="E14" s="205"/>
      <c r="F14" s="206"/>
      <c r="G14" s="173"/>
      <c r="H14" s="173"/>
      <c r="I14" s="173"/>
      <c r="J14" s="173"/>
      <c r="K14" s="173"/>
    </row>
    <row r="15" spans="1:12" s="2" customFormat="1" ht="12.75" customHeight="1">
      <c r="A15" s="117"/>
      <c r="B15" s="174" t="s">
        <v>27</v>
      </c>
      <c r="C15" s="174"/>
      <c r="D15" s="178"/>
      <c r="E15" s="179">
        <f>'Balance Sheet'!E21</f>
        <v>33676</v>
      </c>
      <c r="F15" s="179">
        <f>'Balance Sheet'!F21</f>
        <v>36608</v>
      </c>
      <c r="G15" s="192">
        <f>G16/360*'Income Statement'!G14</f>
        <v>37309.151249999995</v>
      </c>
      <c r="H15" s="192">
        <f>H16/360*'Income Statement'!H14</f>
        <v>39174.608812500002</v>
      </c>
      <c r="I15" s="192">
        <f>I16/360*'Income Statement'!I14</f>
        <v>40741.593165000006</v>
      </c>
      <c r="J15" s="192">
        <f>J16/360*'Income Statement'!J14</f>
        <v>41963.840959950008</v>
      </c>
      <c r="K15" s="192">
        <f>K16/360*'Income Statement'!K14</f>
        <v>42803.117779149004</v>
      </c>
    </row>
    <row r="16" spans="1:12" s="2" customFormat="1" ht="12.75" customHeight="1">
      <c r="A16" s="105"/>
      <c r="B16" s="120"/>
      <c r="C16" s="193" t="s">
        <v>80</v>
      </c>
      <c r="D16" s="194"/>
      <c r="E16" s="207"/>
      <c r="F16" s="194">
        <f>AVERAGE(F15,E15)/'Income Statement'!F14*360</f>
        <v>37.750226033712593</v>
      </c>
      <c r="G16" s="202">
        <v>37.799999999999997</v>
      </c>
      <c r="H16" s="202">
        <v>37.799999999999997</v>
      </c>
      <c r="I16" s="202">
        <v>37.799999999999997</v>
      </c>
      <c r="J16" s="202">
        <v>37.799999999999997</v>
      </c>
      <c r="K16" s="202">
        <v>37.799999999999997</v>
      </c>
      <c r="L16" s="3"/>
    </row>
    <row r="17" spans="1:12" s="2" customFormat="1" ht="12.75" customHeight="1">
      <c r="A17" s="105"/>
      <c r="B17" s="120" t="s">
        <v>109</v>
      </c>
      <c r="C17" s="196"/>
      <c r="D17" s="178"/>
      <c r="E17" s="179">
        <f>'Balance Sheet'!E22</f>
        <v>18701</v>
      </c>
      <c r="F17" s="179">
        <f>'Balance Sheet'!F22</f>
        <v>18154</v>
      </c>
      <c r="G17" s="179">
        <f>G18/360*'Income Statement'!G19</f>
        <v>19579.737294444443</v>
      </c>
      <c r="H17" s="179">
        <f>H18/360*'Income Statement'!H19</f>
        <v>20558.724159166668</v>
      </c>
      <c r="I17" s="179">
        <f>I18/360*'Income Statement'!I19</f>
        <v>21381.073125533334</v>
      </c>
      <c r="J17" s="179">
        <f>J18/360*'Income Statement'!J19</f>
        <v>22022.505319299336</v>
      </c>
      <c r="K17" s="179">
        <f>K18/360*'Income Statement'!K19</f>
        <v>22462.955425685323</v>
      </c>
      <c r="L17" s="3"/>
    </row>
    <row r="18" spans="1:12" s="2" customFormat="1" ht="12.75" customHeight="1">
      <c r="A18" s="105"/>
      <c r="B18" s="120"/>
      <c r="C18" s="193" t="s">
        <v>80</v>
      </c>
      <c r="D18" s="194"/>
      <c r="E18" s="207"/>
      <c r="F18" s="194">
        <f>AVERAGE(F17,E17)/'Income Statement'!F19*360</f>
        <v>86.003759642185784</v>
      </c>
      <c r="G18" s="202">
        <v>86</v>
      </c>
      <c r="H18" s="202">
        <v>86</v>
      </c>
      <c r="I18" s="202">
        <v>86</v>
      </c>
      <c r="J18" s="202">
        <v>86</v>
      </c>
      <c r="K18" s="202">
        <v>86</v>
      </c>
      <c r="L18" s="3"/>
    </row>
    <row r="19" spans="1:12" s="2" customFormat="1" ht="12.75" customHeight="1">
      <c r="A19" s="105"/>
      <c r="B19" s="120" t="s">
        <v>248</v>
      </c>
      <c r="C19" s="193"/>
      <c r="D19" s="194"/>
      <c r="E19" s="179">
        <f>'Balance Sheet'!E23</f>
        <v>157</v>
      </c>
      <c r="F19" s="179">
        <f>'Balance Sheet'!F23</f>
        <v>1164</v>
      </c>
      <c r="G19" s="179">
        <f ca="1">G20/360*'Income Statement'!G33</f>
        <v>704.158574674693</v>
      </c>
      <c r="H19" s="179">
        <f ca="1">H20/360*'Income Statement'!H33</f>
        <v>738.47104942558337</v>
      </c>
      <c r="I19" s="179">
        <f ca="1">I20/360*'Income Statement'!I33</f>
        <v>764.58195171067496</v>
      </c>
      <c r="J19" s="179">
        <f ca="1">J20/360*'Income Statement'!J33</f>
        <v>781.10356851631684</v>
      </c>
      <c r="K19" s="179">
        <f ca="1">K20/360*'Income Statement'!K33</f>
        <v>787.44921806255491</v>
      </c>
      <c r="L19" s="3"/>
    </row>
    <row r="20" spans="1:12" s="2" customFormat="1" ht="12.75" customHeight="1">
      <c r="A20" s="105"/>
      <c r="B20" s="120"/>
      <c r="C20" s="193" t="s">
        <v>249</v>
      </c>
      <c r="D20" s="194"/>
      <c r="E20" s="207"/>
      <c r="F20" s="194">
        <f>AVERAGE(F19,E19)/'Income Statement'!F33*360</f>
        <v>29.932024169184292</v>
      </c>
      <c r="G20" s="202">
        <v>29.9</v>
      </c>
      <c r="H20" s="202">
        <v>29.9</v>
      </c>
      <c r="I20" s="202">
        <v>29.9</v>
      </c>
      <c r="J20" s="202">
        <v>29.9</v>
      </c>
      <c r="K20" s="202">
        <v>29.9</v>
      </c>
      <c r="L20" s="3"/>
    </row>
    <row r="21" spans="1:12" s="2" customFormat="1" ht="12.75" customHeight="1">
      <c r="A21" s="120"/>
      <c r="B21" s="198" t="s">
        <v>29</v>
      </c>
      <c r="C21" s="174"/>
      <c r="D21" s="208"/>
      <c r="E21" s="208">
        <f t="shared" ref="E21:K21" si="1">E19+E17+E15</f>
        <v>52534</v>
      </c>
      <c r="F21" s="208">
        <f t="shared" si="1"/>
        <v>55926</v>
      </c>
      <c r="G21" s="208">
        <f t="shared" ca="1" si="1"/>
        <v>57593.047119119132</v>
      </c>
      <c r="H21" s="208">
        <f t="shared" ca="1" si="1"/>
        <v>60471.804021092255</v>
      </c>
      <c r="I21" s="208">
        <f t="shared" ca="1" si="1"/>
        <v>62887.248242244015</v>
      </c>
      <c r="J21" s="208">
        <f t="shared" ca="1" si="1"/>
        <v>64767.44984776566</v>
      </c>
      <c r="K21" s="208">
        <f t="shared" ca="1" si="1"/>
        <v>66053.522422896887</v>
      </c>
    </row>
    <row r="22" spans="1:12" s="2" customFormat="1" ht="21" customHeight="1">
      <c r="A22" s="120"/>
      <c r="B22" s="117" t="s">
        <v>90</v>
      </c>
      <c r="C22" s="209"/>
      <c r="D22" s="177"/>
      <c r="E22" s="151">
        <f>E13-E21</f>
        <v>-8048</v>
      </c>
      <c r="F22" s="151">
        <f t="shared" ref="F22:K22" si="2">F13-F21</f>
        <v>-7590</v>
      </c>
      <c r="G22" s="151">
        <f t="shared" ca="1" si="2"/>
        <v>-8481.3070835635808</v>
      </c>
      <c r="H22" s="151">
        <f t="shared" ca="1" si="2"/>
        <v>-8904.4769837589265</v>
      </c>
      <c r="I22" s="151">
        <f t="shared" ca="1" si="2"/>
        <v>-9257.2281234173424</v>
      </c>
      <c r="J22" s="151">
        <f t="shared" ca="1" si="2"/>
        <v>-9528.5291253741889</v>
      </c>
      <c r="K22" s="151">
        <f t="shared" ca="1" si="2"/>
        <v>-9709.8232860575808</v>
      </c>
    </row>
    <row r="23" spans="1:12" s="31" customFormat="1" ht="12.75" customHeight="1">
      <c r="A23" s="109"/>
      <c r="B23" s="109" t="s">
        <v>91</v>
      </c>
      <c r="C23" s="210"/>
      <c r="D23" s="211"/>
      <c r="E23" s="211"/>
      <c r="F23" s="211"/>
      <c r="G23" s="211">
        <f ca="1">G22-F22</f>
        <v>-891.30708356358082</v>
      </c>
      <c r="H23" s="211">
        <f ca="1">H22-G22</f>
        <v>-423.16990019534569</v>
      </c>
      <c r="I23" s="211">
        <f ca="1">I22-H22</f>
        <v>-352.75113965841592</v>
      </c>
      <c r="J23" s="211">
        <f ca="1">J22-I22</f>
        <v>-271.30100195684645</v>
      </c>
      <c r="K23" s="211">
        <f ca="1">K22-J22</f>
        <v>-181.29416068339196</v>
      </c>
    </row>
    <row r="24" spans="1:12" ht="12.75" customHeight="1">
      <c r="A24" s="148"/>
      <c r="B24" s="184" t="s">
        <v>12</v>
      </c>
      <c r="C24" s="148"/>
      <c r="D24" s="212"/>
      <c r="E24" s="212"/>
      <c r="F24" s="212"/>
      <c r="G24" s="212" t="str">
        <f ca="1">IF(ROUND(-G23-'Cash Flow Statement'!G19,1)=0,"Y","N")</f>
        <v>Y</v>
      </c>
      <c r="H24" s="212" t="str">
        <f ca="1">IF(ROUND(-H23-'Cash Flow Statement'!H19,1)=0,"Y","N")</f>
        <v>Y</v>
      </c>
      <c r="I24" s="212" t="str">
        <f ca="1">IF(ROUND(-I23-'Cash Flow Statement'!I19,1)=0,"Y","N")</f>
        <v>Y</v>
      </c>
      <c r="J24" s="212" t="str">
        <f ca="1">IF(ROUND(-J23-'Cash Flow Statement'!J19,1)=0,"Y","N")</f>
        <v>Y</v>
      </c>
      <c r="K24" s="212" t="str">
        <f ca="1">IF(ROUND(-K23-'Cash Flow Statement'!K19,1)=0,"Y","N")</f>
        <v>Y</v>
      </c>
    </row>
    <row r="25" spans="1:12" s="2" customFormat="1" ht="12">
      <c r="A25" s="1"/>
      <c r="B25" s="13"/>
      <c r="C25" s="13"/>
      <c r="D25" s="20"/>
      <c r="E25" s="20"/>
      <c r="F25" s="20"/>
      <c r="G25" s="20"/>
      <c r="H25" s="20"/>
      <c r="I25" s="20"/>
      <c r="J25" s="20"/>
      <c r="K25" s="20"/>
    </row>
    <row r="26" spans="1:12" s="2" customFormat="1" ht="12">
      <c r="A26" s="1"/>
      <c r="B26" s="13"/>
      <c r="C26" s="13"/>
      <c r="D26" s="19"/>
      <c r="E26" s="20"/>
      <c r="F26" s="20"/>
      <c r="G26" s="20"/>
      <c r="H26" s="20"/>
      <c r="I26" s="20"/>
      <c r="J26" s="20"/>
      <c r="K26" s="20"/>
    </row>
    <row r="27" spans="1:12" s="2" customFormat="1" ht="12">
      <c r="A27" s="1"/>
      <c r="B27" s="13"/>
      <c r="C27" s="13"/>
      <c r="D27" s="20"/>
      <c r="E27" s="20"/>
      <c r="F27" s="20"/>
      <c r="G27" s="20"/>
      <c r="H27" s="20"/>
      <c r="I27" s="20"/>
      <c r="J27" s="20"/>
      <c r="K27" s="20"/>
    </row>
    <row r="28" spans="1:12" s="2" customFormat="1" ht="12">
      <c r="A28" s="1"/>
      <c r="B28" s="13"/>
      <c r="C28" s="13"/>
      <c r="D28" s="17"/>
      <c r="E28" s="17"/>
      <c r="F28" s="17"/>
      <c r="G28" s="17"/>
      <c r="H28" s="17"/>
      <c r="I28" s="17"/>
      <c r="J28" s="17"/>
      <c r="K28" s="17"/>
    </row>
    <row r="29" spans="1:12" s="2" customFormat="1" ht="12">
      <c r="A29" s="1"/>
      <c r="B29" s="1"/>
      <c r="C29" s="1"/>
      <c r="D29" s="8"/>
      <c r="E29" s="8"/>
      <c r="F29" s="8"/>
      <c r="G29" s="8"/>
      <c r="H29" s="8"/>
      <c r="I29" s="8"/>
      <c r="J29" s="8"/>
      <c r="K29" s="8"/>
    </row>
    <row r="30" spans="1:12" s="2" customFormat="1" ht="21" customHeight="1">
      <c r="B30" s="14"/>
      <c r="C30" s="14"/>
      <c r="D30" s="15"/>
      <c r="E30" s="15"/>
      <c r="F30" s="15"/>
      <c r="G30" s="16"/>
      <c r="H30" s="16"/>
      <c r="I30" s="16"/>
      <c r="J30" s="16"/>
      <c r="K30" s="16"/>
    </row>
    <row r="31" spans="1:12" s="2" customFormat="1" ht="12">
      <c r="A31" s="1"/>
      <c r="B31" s="14"/>
      <c r="C31" s="14"/>
      <c r="D31" s="22"/>
      <c r="E31" s="22"/>
      <c r="F31" s="22"/>
      <c r="G31" s="22"/>
      <c r="H31" s="22"/>
      <c r="I31" s="22"/>
      <c r="J31" s="22"/>
      <c r="K31" s="22"/>
    </row>
    <row r="32" spans="1:12" s="2" customFormat="1" ht="12">
      <c r="A32" s="1"/>
      <c r="B32" s="27"/>
      <c r="C32" s="27"/>
      <c r="D32" s="28"/>
      <c r="E32" s="28"/>
      <c r="F32" s="28"/>
      <c r="G32" s="28"/>
      <c r="H32" s="28"/>
      <c r="I32" s="28"/>
      <c r="J32" s="28"/>
      <c r="K32" s="28"/>
    </row>
    <row r="33" spans="1:11" s="2" customFormat="1" ht="12">
      <c r="B33" s="13"/>
      <c r="C33" s="13"/>
      <c r="D33" s="18"/>
      <c r="E33" s="18"/>
      <c r="F33" s="18"/>
      <c r="G33" s="18"/>
      <c r="H33" s="18"/>
      <c r="I33" s="18"/>
      <c r="J33" s="18"/>
      <c r="K33" s="18"/>
    </row>
    <row r="34" spans="1:11" s="2" customFormat="1" ht="12">
      <c r="A34" s="1"/>
      <c r="B34" s="13"/>
      <c r="C34" s="13"/>
      <c r="D34" s="19"/>
      <c r="E34" s="20"/>
      <c r="F34" s="20"/>
      <c r="G34" s="20"/>
      <c r="H34" s="20"/>
      <c r="I34" s="20"/>
      <c r="J34" s="20"/>
      <c r="K34" s="20"/>
    </row>
    <row r="35" spans="1:11" s="2" customFormat="1" ht="12">
      <c r="A35" s="1"/>
      <c r="B35" s="13"/>
      <c r="C35" s="13"/>
      <c r="D35" s="19"/>
      <c r="E35" s="20"/>
      <c r="F35" s="20"/>
      <c r="G35" s="20"/>
      <c r="H35" s="20"/>
      <c r="I35" s="20"/>
      <c r="J35" s="20"/>
      <c r="K35" s="20"/>
    </row>
    <row r="36" spans="1:11" s="2" customFormat="1" ht="12">
      <c r="B36" s="13"/>
      <c r="C36" s="13"/>
      <c r="D36" s="19"/>
      <c r="E36" s="20"/>
      <c r="F36" s="20"/>
      <c r="G36" s="20"/>
      <c r="H36" s="20"/>
      <c r="I36" s="20"/>
      <c r="J36" s="20"/>
      <c r="K36" s="20"/>
    </row>
    <row r="37" spans="1:11" s="2" customFormat="1" ht="12">
      <c r="B37" s="13"/>
      <c r="C37" s="13"/>
      <c r="D37" s="19"/>
      <c r="E37" s="20"/>
      <c r="F37" s="20"/>
      <c r="G37" s="20"/>
      <c r="H37" s="20"/>
      <c r="I37" s="20"/>
      <c r="J37" s="20"/>
      <c r="K37" s="20"/>
    </row>
    <row r="38" spans="1:11" s="2" customFormat="1" ht="12">
      <c r="B38" s="13"/>
      <c r="C38" s="13"/>
      <c r="D38" s="21"/>
      <c r="E38" s="21"/>
      <c r="F38" s="21"/>
      <c r="G38" s="21"/>
      <c r="H38" s="21"/>
      <c r="I38" s="20"/>
      <c r="J38" s="20"/>
      <c r="K38" s="20"/>
    </row>
    <row r="39" spans="1:11" s="2" customFormat="1" ht="12">
      <c r="A39" s="1"/>
      <c r="B39" s="13"/>
      <c r="C39" s="13"/>
      <c r="D39" s="20"/>
      <c r="E39" s="20"/>
      <c r="F39" s="20"/>
      <c r="G39" s="20"/>
      <c r="H39" s="20"/>
      <c r="I39" s="20"/>
      <c r="J39" s="20"/>
      <c r="K39" s="20"/>
    </row>
    <row r="40" spans="1:11" s="2" customFormat="1" ht="12">
      <c r="B40" s="13"/>
      <c r="C40" s="13"/>
      <c r="D40" s="19"/>
      <c r="E40" s="20"/>
      <c r="F40" s="20"/>
      <c r="G40" s="20"/>
      <c r="H40" s="20"/>
      <c r="I40" s="20"/>
      <c r="J40" s="20"/>
      <c r="K40" s="20"/>
    </row>
    <row r="41" spans="1:11" s="2" customFormat="1" ht="12">
      <c r="B41" s="13"/>
      <c r="C41" s="13"/>
      <c r="D41" s="20"/>
      <c r="E41" s="20"/>
      <c r="F41" s="20"/>
      <c r="G41" s="20"/>
      <c r="H41" s="20"/>
      <c r="I41" s="20"/>
      <c r="J41" s="20"/>
      <c r="K41" s="20"/>
    </row>
    <row r="42" spans="1:11" s="2" customFormat="1" ht="12">
      <c r="B42" s="13"/>
      <c r="C42" s="13"/>
      <c r="D42" s="17"/>
      <c r="E42" s="17"/>
      <c r="F42" s="17"/>
      <c r="G42" s="17"/>
      <c r="H42" s="17"/>
      <c r="I42" s="17"/>
      <c r="J42" s="17"/>
      <c r="K42" s="17"/>
    </row>
    <row r="43" spans="1:11" s="2" customFormat="1" ht="12">
      <c r="A43" s="1"/>
      <c r="B43" s="1"/>
      <c r="C43" s="1"/>
      <c r="D43" s="8"/>
      <c r="E43" s="8"/>
      <c r="F43" s="8"/>
      <c r="G43" s="8"/>
      <c r="H43" s="8"/>
      <c r="I43" s="8"/>
      <c r="J43" s="8"/>
      <c r="K43" s="8"/>
    </row>
    <row r="44" spans="1:11" s="2" customFormat="1" ht="21" customHeight="1">
      <c r="A44" s="1"/>
      <c r="D44" s="26"/>
      <c r="E44" s="26"/>
      <c r="F44" s="26"/>
      <c r="G44" s="26"/>
      <c r="H44" s="26"/>
      <c r="I44" s="26"/>
      <c r="J44" s="26"/>
      <c r="K44" s="26"/>
    </row>
    <row r="45" spans="1:11" s="11" customFormat="1" ht="12">
      <c r="B45" s="25"/>
      <c r="C45" s="25"/>
      <c r="D45" s="24"/>
      <c r="E45" s="24"/>
      <c r="F45" s="24"/>
      <c r="G45" s="24"/>
      <c r="H45" s="24"/>
      <c r="I45" s="24"/>
      <c r="J45" s="24"/>
      <c r="K45" s="24"/>
    </row>
    <row r="46" spans="1:11" s="11" customFormat="1" ht="12">
      <c r="B46" s="23"/>
      <c r="C46" s="23"/>
      <c r="D46" s="29"/>
      <c r="E46" s="29"/>
      <c r="F46" s="29"/>
      <c r="G46" s="29"/>
      <c r="H46" s="29"/>
      <c r="I46" s="29"/>
      <c r="J46" s="29"/>
      <c r="K46" s="29"/>
    </row>
    <row r="47" spans="1:11" s="11" customFormat="1" ht="12">
      <c r="D47" s="12"/>
      <c r="E47" s="12"/>
      <c r="F47" s="12"/>
      <c r="G47" s="12"/>
      <c r="H47" s="12"/>
      <c r="I47" s="12"/>
      <c r="J47" s="12"/>
      <c r="K47" s="12"/>
    </row>
    <row r="48" spans="1:11" s="11" customFormat="1" ht="12">
      <c r="D48" s="12"/>
      <c r="E48" s="12"/>
      <c r="F48" s="12"/>
      <c r="G48" s="12"/>
      <c r="H48" s="12"/>
      <c r="I48" s="12"/>
      <c r="J48" s="12"/>
      <c r="K48" s="12"/>
    </row>
    <row r="49" spans="1:11" s="2" customFormat="1" ht="20.100000000000001" customHeight="1">
      <c r="A49" s="1"/>
      <c r="B49" s="1"/>
      <c r="C49" s="1"/>
      <c r="D49" s="8"/>
      <c r="E49" s="8"/>
      <c r="F49" s="8"/>
      <c r="G49" s="8"/>
      <c r="H49" s="8"/>
      <c r="I49" s="8"/>
      <c r="J49" s="8"/>
      <c r="K49" s="8"/>
    </row>
    <row r="50" spans="1:11" s="2" customFormat="1" ht="21" customHeight="1">
      <c r="A50" s="1"/>
      <c r="B50" s="1"/>
      <c r="C50" s="1"/>
      <c r="D50" s="8"/>
      <c r="E50" s="8"/>
      <c r="F50" s="8"/>
      <c r="G50" s="8"/>
      <c r="H50" s="8"/>
      <c r="I50" s="8"/>
      <c r="J50" s="8"/>
      <c r="K50" s="8"/>
    </row>
    <row r="51" spans="1:11" ht="21" customHeight="1">
      <c r="A51" s="1"/>
      <c r="D51" s="9"/>
      <c r="E51" s="9"/>
      <c r="F51" s="9"/>
      <c r="G51" s="9"/>
      <c r="H51" s="9"/>
      <c r="I51" s="9"/>
      <c r="J51" s="9"/>
      <c r="K51" s="9"/>
    </row>
    <row r="52" spans="1:11" ht="20.100000000000001" customHeight="1">
      <c r="D52" s="10"/>
      <c r="E52" s="10"/>
      <c r="F52" s="10"/>
      <c r="G52" s="10"/>
      <c r="H52" s="10"/>
      <c r="I52" s="10"/>
      <c r="J52" s="10"/>
      <c r="K52" s="10"/>
    </row>
    <row r="53" spans="1:11" ht="20.100000000000001" customHeight="1">
      <c r="F53" s="4"/>
      <c r="G53" s="4"/>
      <c r="H53" s="4"/>
      <c r="I53" s="4"/>
      <c r="J53" s="4"/>
      <c r="K53" s="4"/>
    </row>
    <row r="54" spans="1:11" ht="20.100000000000001" customHeight="1">
      <c r="F54" s="4"/>
      <c r="G54" s="4"/>
      <c r="H54" s="4"/>
      <c r="I54" s="4"/>
      <c r="J54" s="4"/>
      <c r="K54" s="4"/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39.570312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8.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2" ht="12.75" customHeight="1">
      <c r="A2" s="32" t="s">
        <v>10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2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39" t="s">
        <v>349</v>
      </c>
      <c r="B5" s="40"/>
      <c r="C5" s="40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55" customFormat="1" ht="21" customHeight="1">
      <c r="A6" s="105" t="s">
        <v>92</v>
      </c>
      <c r="B6" s="215"/>
      <c r="C6" s="215"/>
      <c r="D6" s="216"/>
      <c r="E6" s="216"/>
      <c r="F6" s="216"/>
      <c r="G6" s="217"/>
      <c r="H6" s="217"/>
      <c r="I6" s="217"/>
      <c r="J6" s="217"/>
      <c r="K6" s="217"/>
    </row>
    <row r="7" spans="1:12" s="2" customFormat="1" ht="12.75" customHeight="1">
      <c r="A7" s="120"/>
      <c r="B7" s="120" t="s">
        <v>81</v>
      </c>
      <c r="C7" s="120"/>
      <c r="D7" s="120"/>
      <c r="E7" s="152"/>
      <c r="F7" s="152"/>
      <c r="G7" s="152">
        <f>F48</f>
        <v>6550</v>
      </c>
      <c r="H7" s="152">
        <f ca="1">G48</f>
        <v>6928.2553924605299</v>
      </c>
      <c r="I7" s="152">
        <f ca="1">H48</f>
        <v>8537.4257935376663</v>
      </c>
      <c r="J7" s="152">
        <f ca="1">I48</f>
        <v>10234.231201867364</v>
      </c>
      <c r="K7" s="152">
        <f ca="1">J48</f>
        <v>12310.038263064234</v>
      </c>
    </row>
    <row r="8" spans="1:12" s="2" customFormat="1" ht="12.75" customHeight="1">
      <c r="A8" s="120"/>
      <c r="B8" s="120" t="s">
        <v>64</v>
      </c>
      <c r="C8" s="120"/>
      <c r="D8" s="109"/>
      <c r="E8" s="152"/>
      <c r="F8" s="152"/>
      <c r="G8" s="152">
        <f ca="1">'Cash Flow Statement'!G43</f>
        <v>378.25539246052995</v>
      </c>
      <c r="H8" s="152">
        <f ca="1">'Cash Flow Statement'!H43</f>
        <v>1609.1704010771355</v>
      </c>
      <c r="I8" s="152">
        <f ca="1">'Cash Flow Statement'!I43</f>
        <v>1696.8054083296975</v>
      </c>
      <c r="J8" s="152">
        <f ca="1">'Cash Flow Statement'!J43</f>
        <v>2075.8070611968706</v>
      </c>
      <c r="K8" s="152">
        <f ca="1">'Cash Flow Statement'!K43</f>
        <v>2974.9446744350498</v>
      </c>
    </row>
    <row r="9" spans="1:12" s="2" customFormat="1" ht="12.75" customHeight="1">
      <c r="A9" s="120"/>
      <c r="B9" s="120" t="s">
        <v>102</v>
      </c>
      <c r="C9" s="120"/>
      <c r="D9" s="109"/>
      <c r="E9" s="218"/>
      <c r="F9" s="218"/>
      <c r="G9" s="218">
        <v>-1000</v>
      </c>
      <c r="H9" s="218">
        <v>-1000</v>
      </c>
      <c r="I9" s="218">
        <v>-1000</v>
      </c>
      <c r="J9" s="218">
        <v>-1000</v>
      </c>
      <c r="K9" s="218">
        <v>-1000</v>
      </c>
    </row>
    <row r="10" spans="1:12" s="2" customFormat="1" ht="12.75" customHeight="1">
      <c r="A10" s="120"/>
      <c r="B10" s="117" t="s">
        <v>82</v>
      </c>
      <c r="C10" s="117"/>
      <c r="D10" s="157"/>
      <c r="E10" s="151"/>
      <c r="F10" s="151"/>
      <c r="G10" s="151">
        <f ca="1">SUM(G7:G9)</f>
        <v>5928.2553924605299</v>
      </c>
      <c r="H10" s="151">
        <f ca="1">SUM(H7:H9)</f>
        <v>7537.4257935376663</v>
      </c>
      <c r="I10" s="151">
        <f ca="1">SUM(I7:I9)</f>
        <v>9234.2312018673638</v>
      </c>
      <c r="J10" s="151">
        <f ca="1">SUM(J7:J9)</f>
        <v>11310.038263064234</v>
      </c>
      <c r="K10" s="151">
        <f ca="1">SUM(K7:K9)</f>
        <v>14284.982937499284</v>
      </c>
    </row>
    <row r="11" spans="1:12" s="2" customFormat="1" ht="21" customHeight="1" collapsed="1">
      <c r="A11" s="117" t="s">
        <v>416</v>
      </c>
      <c r="B11" s="120"/>
      <c r="C11" s="120"/>
      <c r="D11" s="219"/>
      <c r="E11" s="220"/>
      <c r="F11" s="220"/>
      <c r="G11" s="220"/>
      <c r="H11" s="220"/>
      <c r="I11" s="220"/>
      <c r="J11" s="220"/>
      <c r="K11" s="220"/>
    </row>
    <row r="12" spans="1:12" s="2" customFormat="1" ht="12.75" customHeight="1">
      <c r="A12" s="117"/>
      <c r="B12" s="120" t="s">
        <v>417</v>
      </c>
      <c r="C12" s="120"/>
      <c r="D12" s="109"/>
      <c r="E12" s="155"/>
      <c r="F12" s="155"/>
      <c r="G12" s="155">
        <f>F15</f>
        <v>4047</v>
      </c>
      <c r="H12" s="155">
        <f ca="1">G15</f>
        <v>4047</v>
      </c>
      <c r="I12" s="155">
        <f ca="1">H15</f>
        <v>4047</v>
      </c>
      <c r="J12" s="155">
        <f ca="1">I15</f>
        <v>4047</v>
      </c>
      <c r="K12" s="155">
        <f ca="1">J15</f>
        <v>4047</v>
      </c>
    </row>
    <row r="13" spans="1:12" s="2" customFormat="1" ht="12.75" customHeight="1">
      <c r="A13" s="117"/>
      <c r="B13" s="120" t="s">
        <v>95</v>
      </c>
      <c r="C13" s="120"/>
      <c r="D13" s="211"/>
      <c r="E13" s="154"/>
      <c r="F13" s="154"/>
      <c r="G13" s="221">
        <v>0</v>
      </c>
      <c r="H13" s="221">
        <v>0</v>
      </c>
      <c r="I13" s="221">
        <v>0</v>
      </c>
      <c r="J13" s="221">
        <v>0</v>
      </c>
      <c r="K13" s="221">
        <v>0</v>
      </c>
      <c r="L13" s="53"/>
    </row>
    <row r="14" spans="1:12" s="2" customFormat="1" ht="12.75" customHeight="1">
      <c r="A14" s="117"/>
      <c r="B14" s="120" t="s">
        <v>96</v>
      </c>
      <c r="C14" s="120"/>
      <c r="D14" s="222"/>
      <c r="E14" s="159"/>
      <c r="F14" s="761">
        <v>0</v>
      </c>
      <c r="G14" s="223">
        <f ca="1">-MIN(G10,G12)*$F$14</f>
        <v>0</v>
      </c>
      <c r="H14" s="223">
        <f ca="1">-MIN(H10,H12)*$F$14</f>
        <v>0</v>
      </c>
      <c r="I14" s="223">
        <f ca="1">-MIN(I10,I12)*$F$14</f>
        <v>0</v>
      </c>
      <c r="J14" s="223">
        <f ca="1">-MIN(J10,J12)*$F$14</f>
        <v>0</v>
      </c>
      <c r="K14" s="223">
        <f ca="1">-MIN(K10,K12)*$F$14</f>
        <v>0</v>
      </c>
    </row>
    <row r="15" spans="1:12" s="2" customFormat="1" ht="12.75" customHeight="1">
      <c r="A15" s="120"/>
      <c r="B15" s="117" t="s">
        <v>418</v>
      </c>
      <c r="C15" s="224"/>
      <c r="D15" s="157"/>
      <c r="E15" s="157"/>
      <c r="F15" s="157">
        <f>'Balance Sheet'!F20</f>
        <v>4047</v>
      </c>
      <c r="G15" s="151">
        <f ca="1">SUM(G12:G14)</f>
        <v>4047</v>
      </c>
      <c r="H15" s="151">
        <f ca="1">SUM(H12:H14)</f>
        <v>4047</v>
      </c>
      <c r="I15" s="151">
        <f ca="1">SUM(I12:I14)</f>
        <v>4047</v>
      </c>
      <c r="J15" s="151">
        <f ca="1">SUM(J12:J14)</f>
        <v>4047</v>
      </c>
      <c r="K15" s="151">
        <f ca="1">SUM(K12:K14)</f>
        <v>4047</v>
      </c>
    </row>
    <row r="16" spans="1:12" s="2" customFormat="1" ht="12.75" customHeight="1">
      <c r="A16" s="117"/>
      <c r="B16" s="120" t="s">
        <v>84</v>
      </c>
      <c r="C16" s="225"/>
      <c r="D16" s="109"/>
      <c r="E16" s="155"/>
      <c r="F16" s="155"/>
      <c r="G16" s="155">
        <f ca="1">AVERAGE(G12,G15)*G17</f>
        <v>4.0469999999999997</v>
      </c>
      <c r="H16" s="155">
        <f ca="1">AVERAGE(H12,H15)*H17</f>
        <v>4.0469999999999997</v>
      </c>
      <c r="I16" s="155">
        <f ca="1">AVERAGE(I12,I15)*I17</f>
        <v>4.0469999999999997</v>
      </c>
      <c r="J16" s="155">
        <f ca="1">AVERAGE(J12,J15)*J17</f>
        <v>4.0469999999999997</v>
      </c>
      <c r="K16" s="155">
        <f ca="1">AVERAGE(K12,K15)*K17</f>
        <v>4.0469999999999997</v>
      </c>
    </row>
    <row r="17" spans="1:11" s="2" customFormat="1" ht="12.75" customHeight="1">
      <c r="A17" s="117"/>
      <c r="B17" s="120"/>
      <c r="C17" s="226" t="s">
        <v>98</v>
      </c>
      <c r="D17" s="109"/>
      <c r="E17" s="227"/>
      <c r="F17" s="227"/>
      <c r="G17" s="228">
        <v>1E-3</v>
      </c>
      <c r="H17" s="228">
        <v>1E-3</v>
      </c>
      <c r="I17" s="228">
        <v>1E-3</v>
      </c>
      <c r="J17" s="228">
        <v>1E-3</v>
      </c>
      <c r="K17" s="228">
        <v>1E-3</v>
      </c>
    </row>
    <row r="18" spans="1:11" s="2" customFormat="1" ht="21" customHeight="1">
      <c r="A18" s="117" t="s">
        <v>173</v>
      </c>
      <c r="B18" s="120"/>
      <c r="C18" s="120"/>
      <c r="D18" s="219"/>
      <c r="E18" s="220"/>
      <c r="F18" s="220"/>
      <c r="G18" s="220"/>
      <c r="H18" s="220"/>
      <c r="I18" s="220"/>
      <c r="J18" s="220"/>
      <c r="K18" s="220"/>
    </row>
    <row r="19" spans="1:11" s="2" customFormat="1" ht="12.75" customHeight="1">
      <c r="A19" s="117"/>
      <c r="B19" s="120" t="s">
        <v>258</v>
      </c>
      <c r="C19" s="120"/>
      <c r="D19" s="109"/>
      <c r="E19" s="155"/>
      <c r="F19" s="155"/>
      <c r="G19" s="155">
        <f>F22</f>
        <v>1975</v>
      </c>
      <c r="H19" s="155">
        <f>G22</f>
        <v>1975</v>
      </c>
      <c r="I19" s="155">
        <f>H22</f>
        <v>1975</v>
      </c>
      <c r="J19" s="155">
        <f>I22</f>
        <v>1975</v>
      </c>
      <c r="K19" s="155">
        <f>J22</f>
        <v>1975</v>
      </c>
    </row>
    <row r="20" spans="1:11" s="2" customFormat="1" ht="12.75" customHeight="1">
      <c r="A20" s="117"/>
      <c r="B20" s="120" t="s">
        <v>95</v>
      </c>
      <c r="C20" s="120"/>
      <c r="D20" s="211"/>
      <c r="E20" s="154"/>
      <c r="F20" s="154"/>
      <c r="G20" s="221">
        <v>0</v>
      </c>
      <c r="H20" s="221">
        <v>0</v>
      </c>
      <c r="I20" s="221">
        <v>0</v>
      </c>
      <c r="J20" s="221">
        <v>0</v>
      </c>
      <c r="K20" s="221">
        <v>0</v>
      </c>
    </row>
    <row r="21" spans="1:11" s="2" customFormat="1" ht="12.75" customHeight="1">
      <c r="A21" s="117"/>
      <c r="B21" s="120" t="s">
        <v>96</v>
      </c>
      <c r="C21" s="120"/>
      <c r="D21" s="222"/>
      <c r="E21" s="159"/>
      <c r="F21" s="761"/>
      <c r="G21" s="223">
        <v>0</v>
      </c>
      <c r="H21" s="223">
        <v>0</v>
      </c>
      <c r="I21" s="223">
        <v>0</v>
      </c>
      <c r="J21" s="223">
        <v>0</v>
      </c>
      <c r="K21" s="223">
        <v>0</v>
      </c>
    </row>
    <row r="22" spans="1:11" s="2" customFormat="1" ht="12.75" customHeight="1">
      <c r="A22" s="120"/>
      <c r="B22" s="117" t="s">
        <v>259</v>
      </c>
      <c r="C22" s="224"/>
      <c r="D22" s="157"/>
      <c r="E22" s="157"/>
      <c r="F22" s="157">
        <f>'Balance Sheet'!F24</f>
        <v>1975</v>
      </c>
      <c r="G22" s="151">
        <f>SUM(G19:G21)</f>
        <v>1975</v>
      </c>
      <c r="H22" s="151">
        <f>SUM(H19:H21)</f>
        <v>1975</v>
      </c>
      <c r="I22" s="151">
        <f>SUM(I19:I21)</f>
        <v>1975</v>
      </c>
      <c r="J22" s="151">
        <f>SUM(J19:J21)</f>
        <v>1975</v>
      </c>
      <c r="K22" s="151">
        <f>SUM(K19:K21)</f>
        <v>1975</v>
      </c>
    </row>
    <row r="23" spans="1:11" s="2" customFormat="1" ht="12.75" customHeight="1">
      <c r="A23" s="117"/>
      <c r="B23" s="120" t="s">
        <v>165</v>
      </c>
      <c r="C23" s="225"/>
      <c r="D23" s="109"/>
      <c r="E23" s="155"/>
      <c r="F23" s="155"/>
      <c r="G23" s="221">
        <f>1475*4.8% + 500*5.2%</f>
        <v>96.8</v>
      </c>
      <c r="H23" s="155">
        <f>AVERAGE(H22,H19)*H24</f>
        <v>96.8</v>
      </c>
      <c r="I23" s="155">
        <f>AVERAGE(I22,I19)*I24</f>
        <v>96.8</v>
      </c>
      <c r="J23" s="155">
        <f>AVERAGE(J22,J19)*J24</f>
        <v>96.8</v>
      </c>
      <c r="K23" s="155">
        <f>AVERAGE(K22,K19)*K24</f>
        <v>96.8</v>
      </c>
    </row>
    <row r="24" spans="1:11" s="2" customFormat="1" ht="12.75" customHeight="1">
      <c r="A24" s="117"/>
      <c r="B24" s="120"/>
      <c r="C24" s="226" t="s">
        <v>99</v>
      </c>
      <c r="D24" s="109"/>
      <c r="E24" s="227"/>
      <c r="F24" s="227"/>
      <c r="G24" s="229">
        <f>G23/G22</f>
        <v>4.9012658227848102E-2</v>
      </c>
      <c r="H24" s="228">
        <f>G24</f>
        <v>4.9012658227848102E-2</v>
      </c>
      <c r="I24" s="228">
        <f>H24</f>
        <v>4.9012658227848102E-2</v>
      </c>
      <c r="J24" s="228">
        <f>I24</f>
        <v>4.9012658227848102E-2</v>
      </c>
      <c r="K24" s="228">
        <f>J24</f>
        <v>4.9012658227848102E-2</v>
      </c>
    </row>
    <row r="25" spans="1:11" s="2" customFormat="1" ht="21" customHeight="1">
      <c r="A25" s="117" t="s">
        <v>419</v>
      </c>
      <c r="B25" s="120"/>
      <c r="C25" s="120"/>
      <c r="D25" s="219"/>
      <c r="E25" s="220"/>
      <c r="F25" s="220"/>
      <c r="G25" s="220"/>
      <c r="H25" s="220"/>
      <c r="I25" s="220"/>
      <c r="J25" s="220"/>
      <c r="K25" s="220"/>
    </row>
    <row r="26" spans="1:11" s="2" customFormat="1" ht="12.75" customHeight="1">
      <c r="A26" s="117"/>
      <c r="B26" s="120" t="s">
        <v>420</v>
      </c>
      <c r="C26" s="120"/>
      <c r="D26" s="109"/>
      <c r="E26" s="155"/>
      <c r="F26" s="155"/>
      <c r="G26" s="155">
        <f>F29</f>
        <v>326</v>
      </c>
      <c r="H26" s="155">
        <f>G29</f>
        <v>326</v>
      </c>
      <c r="I26" s="155">
        <f>H29</f>
        <v>326</v>
      </c>
      <c r="J26" s="155">
        <f>I29</f>
        <v>326</v>
      </c>
      <c r="K26" s="155">
        <f>J29</f>
        <v>326</v>
      </c>
    </row>
    <row r="27" spans="1:11" s="2" customFormat="1" ht="12.75" customHeight="1">
      <c r="A27" s="117"/>
      <c r="B27" s="120" t="s">
        <v>95</v>
      </c>
      <c r="C27" s="120"/>
      <c r="D27" s="211"/>
      <c r="E27" s="154"/>
      <c r="F27" s="154"/>
      <c r="G27" s="154">
        <v>0</v>
      </c>
      <c r="H27" s="154">
        <v>0</v>
      </c>
      <c r="I27" s="154">
        <v>0</v>
      </c>
      <c r="J27" s="154">
        <v>0</v>
      </c>
      <c r="K27" s="154">
        <v>0</v>
      </c>
    </row>
    <row r="28" spans="1:11" s="2" customFormat="1" ht="12.75" customHeight="1">
      <c r="A28" s="117"/>
      <c r="B28" s="120" t="s">
        <v>96</v>
      </c>
      <c r="C28" s="120"/>
      <c r="D28" s="222"/>
      <c r="E28" s="159"/>
      <c r="F28" s="761"/>
      <c r="G28" s="163">
        <v>0</v>
      </c>
      <c r="H28" s="163">
        <v>0</v>
      </c>
      <c r="I28" s="163">
        <v>0</v>
      </c>
      <c r="J28" s="163">
        <v>0</v>
      </c>
      <c r="K28" s="163">
        <v>0</v>
      </c>
    </row>
    <row r="29" spans="1:11" s="2" customFormat="1" ht="12.75" customHeight="1">
      <c r="A29" s="120"/>
      <c r="B29" s="117" t="s">
        <v>421</v>
      </c>
      <c r="C29" s="224"/>
      <c r="D29" s="157"/>
      <c r="E29" s="157"/>
      <c r="F29" s="157">
        <f>'Balance Sheet'!F25</f>
        <v>326</v>
      </c>
      <c r="G29" s="151">
        <f>SUM(G26:G28)</f>
        <v>326</v>
      </c>
      <c r="H29" s="151">
        <f>SUM(H26:H28)</f>
        <v>326</v>
      </c>
      <c r="I29" s="151">
        <f>SUM(I26:I28)</f>
        <v>326</v>
      </c>
      <c r="J29" s="151">
        <f>SUM(J26:J28)</f>
        <v>326</v>
      </c>
      <c r="K29" s="151">
        <f>SUM(K26:K28)</f>
        <v>326</v>
      </c>
    </row>
    <row r="30" spans="1:11" s="2" customFormat="1" ht="12.75" customHeight="1">
      <c r="A30" s="117"/>
      <c r="B30" s="120" t="s">
        <v>165</v>
      </c>
      <c r="C30" s="225"/>
      <c r="D30" s="109"/>
      <c r="E30" s="155"/>
      <c r="F30" s="155"/>
      <c r="G30" s="155">
        <f>AVERAGE(G26,G29)*G31</f>
        <v>27.529101304794018</v>
      </c>
      <c r="H30" s="155">
        <f>AVERAGE(H26,H29)*H31</f>
        <v>27.529101304794018</v>
      </c>
      <c r="I30" s="155">
        <f>AVERAGE(I26,I29)*I31</f>
        <v>27.529101304794018</v>
      </c>
      <c r="J30" s="155">
        <f>AVERAGE(J26,J29)*J31</f>
        <v>27.529101304794018</v>
      </c>
      <c r="K30" s="155">
        <f>AVERAGE(K26,K29)*K31</f>
        <v>27.529101304794018</v>
      </c>
    </row>
    <row r="31" spans="1:11" s="2" customFormat="1" ht="12.75" customHeight="1">
      <c r="A31" s="117"/>
      <c r="B31" s="120"/>
      <c r="C31" s="226" t="s">
        <v>99</v>
      </c>
      <c r="D31" s="109"/>
      <c r="E31" s="227"/>
      <c r="F31" s="227"/>
      <c r="G31" s="228">
        <f>288/(AVERAGE(3486,3335))</f>
        <v>8.4445096026975516E-2</v>
      </c>
      <c r="H31" s="228">
        <f>288/(AVERAGE(3486,3335))</f>
        <v>8.4445096026975516E-2</v>
      </c>
      <c r="I31" s="228">
        <f>288/(AVERAGE(3486,3335))</f>
        <v>8.4445096026975516E-2</v>
      </c>
      <c r="J31" s="228">
        <f>288/(AVERAGE(3486,3335))</f>
        <v>8.4445096026975516E-2</v>
      </c>
      <c r="K31" s="228">
        <f>288/(AVERAGE(3486,3335))</f>
        <v>8.4445096026975516E-2</v>
      </c>
    </row>
    <row r="32" spans="1:11" s="2" customFormat="1" ht="21" customHeight="1" collapsed="1">
      <c r="A32" s="117" t="s">
        <v>83</v>
      </c>
      <c r="B32" s="120"/>
      <c r="C32" s="120"/>
      <c r="D32" s="219"/>
      <c r="E32" s="220"/>
      <c r="F32" s="220"/>
      <c r="G32" s="220"/>
      <c r="H32" s="220"/>
      <c r="I32" s="220"/>
      <c r="J32" s="220"/>
      <c r="K32" s="220"/>
    </row>
    <row r="33" spans="1:11" s="2" customFormat="1" ht="12.75" customHeight="1">
      <c r="A33" s="117"/>
      <c r="B33" s="120" t="s">
        <v>38</v>
      </c>
      <c r="C33" s="120"/>
      <c r="D33" s="109"/>
      <c r="E33" s="155"/>
      <c r="F33" s="155"/>
      <c r="G33" s="155">
        <f>F36</f>
        <v>44070</v>
      </c>
      <c r="H33" s="155">
        <f>G36</f>
        <v>44070</v>
      </c>
      <c r="I33" s="155">
        <f>H36</f>
        <v>44070</v>
      </c>
      <c r="J33" s="155">
        <f>I36</f>
        <v>44070</v>
      </c>
      <c r="K33" s="155">
        <f>J36</f>
        <v>44070</v>
      </c>
    </row>
    <row r="34" spans="1:11" s="2" customFormat="1" ht="12.75" customHeight="1">
      <c r="A34" s="117"/>
      <c r="B34" s="120" t="s">
        <v>95</v>
      </c>
      <c r="C34" s="120"/>
      <c r="D34" s="211"/>
      <c r="E34" s="154"/>
      <c r="F34" s="154"/>
      <c r="G34" s="154">
        <v>0</v>
      </c>
      <c r="H34" s="154">
        <v>0</v>
      </c>
      <c r="I34" s="154">
        <v>0</v>
      </c>
      <c r="J34" s="154">
        <v>0</v>
      </c>
      <c r="K34" s="154">
        <v>0</v>
      </c>
    </row>
    <row r="35" spans="1:11" s="2" customFormat="1" ht="12.75" customHeight="1">
      <c r="A35" s="117"/>
      <c r="B35" s="120" t="s">
        <v>96</v>
      </c>
      <c r="C35" s="120"/>
      <c r="D35" s="222"/>
      <c r="E35" s="159"/>
      <c r="F35" s="761"/>
      <c r="G35" s="163">
        <v>0</v>
      </c>
      <c r="H35" s="163">
        <v>0</v>
      </c>
      <c r="I35" s="163">
        <v>0</v>
      </c>
      <c r="J35" s="163">
        <v>0</v>
      </c>
      <c r="K35" s="163">
        <v>0</v>
      </c>
    </row>
    <row r="36" spans="1:11" s="2" customFormat="1" ht="12.75" customHeight="1">
      <c r="A36" s="120"/>
      <c r="B36" s="117" t="s">
        <v>85</v>
      </c>
      <c r="C36" s="224"/>
      <c r="D36" s="157"/>
      <c r="E36" s="157"/>
      <c r="F36" s="157">
        <f>'Balance Sheet'!F28</f>
        <v>44070</v>
      </c>
      <c r="G36" s="151">
        <f>SUM(G33:G35)</f>
        <v>44070</v>
      </c>
      <c r="H36" s="151">
        <f>SUM(H33:H35)</f>
        <v>44070</v>
      </c>
      <c r="I36" s="151">
        <f>SUM(I33:I35)</f>
        <v>44070</v>
      </c>
      <c r="J36" s="151">
        <f>SUM(J33:J35)</f>
        <v>44070</v>
      </c>
      <c r="K36" s="151">
        <f>SUM(K33:K35)</f>
        <v>44070</v>
      </c>
    </row>
    <row r="37" spans="1:11" s="2" customFormat="1" ht="12.75" customHeight="1">
      <c r="A37" s="117"/>
      <c r="B37" s="120" t="s">
        <v>165</v>
      </c>
      <c r="C37" s="225"/>
      <c r="D37" s="109"/>
      <c r="E37" s="155"/>
      <c r="F37" s="155"/>
      <c r="G37" s="155">
        <f>AVERAGE(G36,G33)*G38</f>
        <v>1982.9981736513889</v>
      </c>
      <c r="H37" s="155">
        <f>AVERAGE(H36,H33)*H38</f>
        <v>1982.9981736513889</v>
      </c>
      <c r="I37" s="155">
        <f>AVERAGE(I36,I33)*I38</f>
        <v>1982.9981736513889</v>
      </c>
      <c r="J37" s="155">
        <f>AVERAGE(J36,J33)*J38</f>
        <v>1982.9981736513889</v>
      </c>
      <c r="K37" s="155">
        <f>AVERAGE(K36,K33)*K38</f>
        <v>1982.9981736513889</v>
      </c>
    </row>
    <row r="38" spans="1:11" s="2" customFormat="1" ht="12.75" customHeight="1">
      <c r="A38" s="117"/>
      <c r="B38" s="120"/>
      <c r="C38" s="226" t="s">
        <v>99</v>
      </c>
      <c r="D38" s="109"/>
      <c r="E38" s="230"/>
      <c r="F38" s="230"/>
      <c r="G38" s="228">
        <f>(44092*0.046+1770*0.02)/(44092+1770)</f>
        <v>4.4996554882037416E-2</v>
      </c>
      <c r="H38" s="228">
        <f>G38</f>
        <v>4.4996554882037416E-2</v>
      </c>
      <c r="I38" s="228">
        <f>H38</f>
        <v>4.4996554882037416E-2</v>
      </c>
      <c r="J38" s="228">
        <f>I38</f>
        <v>4.4996554882037416E-2</v>
      </c>
      <c r="K38" s="228">
        <f>J38</f>
        <v>4.4996554882037416E-2</v>
      </c>
    </row>
    <row r="39" spans="1:11" s="2" customFormat="1" ht="21" customHeight="1">
      <c r="A39" s="117" t="s">
        <v>255</v>
      </c>
      <c r="B39" s="120"/>
      <c r="C39" s="120"/>
      <c r="D39" s="219"/>
      <c r="E39" s="220"/>
      <c r="F39" s="220"/>
      <c r="G39" s="220"/>
      <c r="H39" s="220"/>
      <c r="I39" s="220"/>
      <c r="J39" s="220"/>
      <c r="K39" s="220"/>
    </row>
    <row r="40" spans="1:11" s="2" customFormat="1" ht="12.75" customHeight="1">
      <c r="A40" s="117"/>
      <c r="B40" s="120" t="s">
        <v>256</v>
      </c>
      <c r="C40" s="120"/>
      <c r="D40" s="109"/>
      <c r="E40" s="155"/>
      <c r="F40" s="155"/>
      <c r="G40" s="155">
        <f>F43</f>
        <v>3009</v>
      </c>
      <c r="H40" s="155">
        <f>G43</f>
        <v>3009</v>
      </c>
      <c r="I40" s="155">
        <f>H43</f>
        <v>3009</v>
      </c>
      <c r="J40" s="155">
        <f>I43</f>
        <v>3009</v>
      </c>
      <c r="K40" s="155">
        <f>J43</f>
        <v>3009</v>
      </c>
    </row>
    <row r="41" spans="1:11" s="2" customFormat="1" ht="12.75" customHeight="1">
      <c r="A41" s="117"/>
      <c r="B41" s="120" t="s">
        <v>95</v>
      </c>
      <c r="C41" s="120"/>
      <c r="D41" s="211"/>
      <c r="E41" s="154"/>
      <c r="F41" s="154"/>
      <c r="G41" s="154">
        <v>0</v>
      </c>
      <c r="H41" s="154">
        <v>0</v>
      </c>
      <c r="I41" s="154">
        <v>0</v>
      </c>
      <c r="J41" s="154">
        <v>0</v>
      </c>
      <c r="K41" s="154">
        <v>0</v>
      </c>
    </row>
    <row r="42" spans="1:11" s="2" customFormat="1" ht="12.75" customHeight="1">
      <c r="A42" s="117"/>
      <c r="B42" s="120" t="s">
        <v>96</v>
      </c>
      <c r="C42" s="120"/>
      <c r="D42" s="222"/>
      <c r="E42" s="159"/>
      <c r="F42" s="159"/>
      <c r="G42" s="163">
        <v>0</v>
      </c>
      <c r="H42" s="163">
        <v>0</v>
      </c>
      <c r="I42" s="163">
        <v>0</v>
      </c>
      <c r="J42" s="163">
        <v>0</v>
      </c>
      <c r="K42" s="163">
        <v>0</v>
      </c>
    </row>
    <row r="43" spans="1:11" s="2" customFormat="1" ht="12.75" customHeight="1">
      <c r="A43" s="120"/>
      <c r="B43" s="117" t="s">
        <v>257</v>
      </c>
      <c r="C43" s="224"/>
      <c r="D43" s="157"/>
      <c r="E43" s="157"/>
      <c r="F43" s="157">
        <f>'Balance Sheet'!F29</f>
        <v>3009</v>
      </c>
      <c r="G43" s="151">
        <f>SUM(G40:G42)</f>
        <v>3009</v>
      </c>
      <c r="H43" s="151">
        <f>SUM(H40:H42)</f>
        <v>3009</v>
      </c>
      <c r="I43" s="151">
        <f>SUM(I40:I42)</f>
        <v>3009</v>
      </c>
      <c r="J43" s="151">
        <f>SUM(J40:J42)</f>
        <v>3009</v>
      </c>
      <c r="K43" s="151">
        <f>SUM(K40:K42)</f>
        <v>3009</v>
      </c>
    </row>
    <row r="44" spans="1:11" s="2" customFormat="1" ht="12.75" customHeight="1">
      <c r="A44" s="117"/>
      <c r="B44" s="120" t="s">
        <v>165</v>
      </c>
      <c r="C44" s="225"/>
      <c r="D44" s="109"/>
      <c r="E44" s="155"/>
      <c r="F44" s="155"/>
      <c r="G44" s="155">
        <f>AVERAGE(G43,G40)*G45</f>
        <v>254.09529394516932</v>
      </c>
      <c r="H44" s="155">
        <f>AVERAGE(H43,H40)*H45</f>
        <v>254.09529394516932</v>
      </c>
      <c r="I44" s="155">
        <f>AVERAGE(I43,I40)*I45</f>
        <v>254.09529394516932</v>
      </c>
      <c r="J44" s="155">
        <f>AVERAGE(J43,J40)*J45</f>
        <v>254.09529394516932</v>
      </c>
      <c r="K44" s="155">
        <f>AVERAGE(K43,K40)*K45</f>
        <v>254.09529394516932</v>
      </c>
    </row>
    <row r="45" spans="1:11" s="2" customFormat="1" ht="12.75" customHeight="1">
      <c r="A45" s="117"/>
      <c r="B45" s="120"/>
      <c r="C45" s="226" t="s">
        <v>99</v>
      </c>
      <c r="D45" s="109"/>
      <c r="E45" s="230"/>
      <c r="F45" s="230"/>
      <c r="G45" s="228">
        <f>G31</f>
        <v>8.4445096026975516E-2</v>
      </c>
      <c r="H45" s="228">
        <f>H31</f>
        <v>8.4445096026975516E-2</v>
      </c>
      <c r="I45" s="228">
        <f>I31</f>
        <v>8.4445096026975516E-2</v>
      </c>
      <c r="J45" s="228">
        <f>J31</f>
        <v>8.4445096026975516E-2</v>
      </c>
      <c r="K45" s="228">
        <f>K31</f>
        <v>8.4445096026975516E-2</v>
      </c>
    </row>
    <row r="46" spans="1:11" s="52" customFormat="1" ht="21" customHeight="1">
      <c r="A46" s="222"/>
      <c r="B46" s="105" t="s">
        <v>97</v>
      </c>
      <c r="C46" s="109"/>
      <c r="D46" s="232"/>
      <c r="E46" s="214"/>
      <c r="F46" s="214"/>
      <c r="G46" s="160">
        <f ca="1">G42+G41+G35+G34+G28+G27+G21+G20+G14+G13</f>
        <v>0</v>
      </c>
      <c r="H46" s="160">
        <f ca="1">H42+H41+H35+H34+H28+H27+H21+H20+H14+H13</f>
        <v>0</v>
      </c>
      <c r="I46" s="160">
        <f ca="1">I42+I41+I35+I34+I28+I27+I21+I20+I14+I13</f>
        <v>0</v>
      </c>
      <c r="J46" s="160">
        <f ca="1">J42+J41+J35+J34+J28+J27+J21+J20+J14+J13</f>
        <v>0</v>
      </c>
      <c r="K46" s="160">
        <f ca="1">K42+K41+K35+K34+K28+K27+K21+K20+K14+K13</f>
        <v>0</v>
      </c>
    </row>
    <row r="47" spans="1:11" ht="21" customHeight="1">
      <c r="A47" s="120"/>
      <c r="B47" s="117" t="s">
        <v>94</v>
      </c>
      <c r="C47" s="120"/>
      <c r="D47" s="232"/>
      <c r="E47" s="233"/>
      <c r="F47" s="233"/>
      <c r="G47" s="233">
        <f ca="1">G44+G37+G30+G23+G16</f>
        <v>2365.4695689013524</v>
      </c>
      <c r="H47" s="233">
        <f ca="1">H44+H37+H30+H23+H16</f>
        <v>2365.4695689013524</v>
      </c>
      <c r="I47" s="233">
        <f ca="1">I44+I37+I30+I23+I16</f>
        <v>2365.4695689013524</v>
      </c>
      <c r="J47" s="233">
        <f ca="1">J44+J37+J30+J23+J16</f>
        <v>2365.4695689013524</v>
      </c>
      <c r="K47" s="233">
        <f ca="1">K44+K37+K30+K23+K16</f>
        <v>2365.4695689013524</v>
      </c>
    </row>
    <row r="48" spans="1:11" ht="21" customHeight="1">
      <c r="A48" s="120"/>
      <c r="B48" s="117" t="s">
        <v>93</v>
      </c>
      <c r="C48" s="120"/>
      <c r="D48" s="234"/>
      <c r="E48" s="234"/>
      <c r="F48" s="234">
        <f>'Balance Sheet'!F8</f>
        <v>6550</v>
      </c>
      <c r="G48" s="235">
        <f ca="1">G7+G8+G46</f>
        <v>6928.2553924605299</v>
      </c>
      <c r="H48" s="235">
        <f ca="1">H7+H8+H46</f>
        <v>8537.4257935376663</v>
      </c>
      <c r="I48" s="235">
        <f ca="1">I7+I8+I46</f>
        <v>10234.231201867364</v>
      </c>
      <c r="J48" s="235">
        <f ca="1">J7+J8+J46</f>
        <v>12310.038263064234</v>
      </c>
      <c r="K48" s="235">
        <f ca="1">K7+K8+K46</f>
        <v>15284.982937499284</v>
      </c>
    </row>
    <row r="49" spans="1:11" ht="12.75" customHeight="1">
      <c r="A49" s="120"/>
      <c r="B49" s="120" t="s">
        <v>48</v>
      </c>
      <c r="C49" s="181"/>
      <c r="D49" s="106"/>
      <c r="E49" s="106"/>
      <c r="F49" s="106"/>
      <c r="G49" s="106">
        <f ca="1">AVERAGE(G7,G48)*G50</f>
        <v>168.47819240575666</v>
      </c>
      <c r="H49" s="106">
        <f ca="1">AVERAGE(H7,H48)*H50</f>
        <v>193.32101482497748</v>
      </c>
      <c r="I49" s="106">
        <f ca="1">AVERAGE(I7,I48)*I50</f>
        <v>234.64571244256285</v>
      </c>
      <c r="J49" s="106">
        <f ca="1">AVERAGE(J7,J48)*J50</f>
        <v>281.80336831164499</v>
      </c>
      <c r="K49" s="106">
        <f ca="1">AVERAGE(K7,K48)*K50</f>
        <v>344.93776500704399</v>
      </c>
    </row>
    <row r="50" spans="1:11" ht="12.75" customHeight="1">
      <c r="A50" s="120"/>
      <c r="B50" s="120"/>
      <c r="C50" s="236" t="s">
        <v>99</v>
      </c>
      <c r="D50" s="106"/>
      <c r="E50" s="237"/>
      <c r="F50" s="237"/>
      <c r="G50" s="238">
        <v>2.5000000000000001E-2</v>
      </c>
      <c r="H50" s="238">
        <v>2.5000000000000001E-2</v>
      </c>
      <c r="I50" s="238">
        <v>2.5000000000000001E-2</v>
      </c>
      <c r="J50" s="238">
        <v>2.5000000000000001E-2</v>
      </c>
      <c r="K50" s="238">
        <v>2.5000000000000001E-2</v>
      </c>
    </row>
    <row r="51" spans="1:11" ht="12.75" customHeight="1">
      <c r="A51" s="148"/>
      <c r="B51" s="184" t="s">
        <v>12</v>
      </c>
      <c r="C51" s="148"/>
      <c r="D51" s="212"/>
      <c r="E51" s="212"/>
      <c r="F51" s="212"/>
      <c r="G51" s="212" t="str">
        <f ca="1">IF(ROUND(G48-'Balance Sheet'!G8,1)=0,"Y","N")</f>
        <v>Y</v>
      </c>
      <c r="H51" s="212" t="str">
        <f ca="1">IF(ROUND(H48-'Balance Sheet'!H8,1)=0,"Y","N")</f>
        <v>Y</v>
      </c>
      <c r="I51" s="212" t="str">
        <f ca="1">IF(ROUND(I48-'Balance Sheet'!I8,1)=0,"Y","N")</f>
        <v>Y</v>
      </c>
      <c r="J51" s="212" t="str">
        <f ca="1">IF(ROUND(J48-'Balance Sheet'!J8,1)=0,"Y","N")</f>
        <v>Y</v>
      </c>
      <c r="K51" s="212" t="str">
        <f ca="1">IF(ROUND(K48-'Balance Sheet'!K8,1)=0,"Y","N")</f>
        <v>Y</v>
      </c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CCFF"/>
  </sheetPr>
  <dimension ref="A1"/>
  <sheetViews>
    <sheetView view="pageBreakPreview" zoomScale="60" workbookViewId="0"/>
  </sheetViews>
  <sheetFormatPr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66CCFF"/>
  </sheetPr>
  <dimension ref="A1:P38"/>
  <sheetViews>
    <sheetView workbookViewId="0"/>
  </sheetViews>
  <sheetFormatPr defaultColWidth="9.140625" defaultRowHeight="12"/>
  <cols>
    <col min="1" max="2" width="2.7109375" style="84" customWidth="1"/>
    <col min="3" max="3" width="27" style="84" customWidth="1"/>
    <col min="4" max="4" width="15" style="84" customWidth="1"/>
    <col min="5" max="5" width="13.85546875" style="84" bestFit="1" customWidth="1"/>
    <col min="6" max="6" width="15.85546875" style="84" bestFit="1" customWidth="1"/>
    <col min="7" max="13" width="9.7109375" style="84" customWidth="1"/>
    <col min="14" max="14" width="9.140625" style="84"/>
    <col min="15" max="15" width="12.85546875" style="84" bestFit="1" customWidth="1"/>
    <col min="16" max="16384" width="9.140625" style="84"/>
  </cols>
  <sheetData>
    <row r="1" spans="1:13" s="66" customFormat="1" ht="58.5" customHeight="1">
      <c r="A1" s="64"/>
      <c r="B1" s="64"/>
      <c r="C1" s="65"/>
      <c r="D1" s="65"/>
      <c r="E1" s="64"/>
      <c r="F1" s="64"/>
      <c r="G1" s="64"/>
      <c r="H1" s="64"/>
      <c r="I1" s="64"/>
      <c r="J1" s="64"/>
      <c r="K1" s="64"/>
      <c r="L1" s="64"/>
    </row>
    <row r="2" spans="1:13" s="66" customFormat="1" ht="12.75" customHeight="1">
      <c r="A2" s="67" t="s">
        <v>119</v>
      </c>
      <c r="B2" s="68"/>
      <c r="C2" s="67"/>
      <c r="D2" s="69"/>
      <c r="E2" s="69"/>
      <c r="F2" s="67"/>
      <c r="G2" s="67"/>
      <c r="H2" s="67"/>
      <c r="I2" s="67"/>
      <c r="J2" s="67"/>
      <c r="K2" s="67"/>
      <c r="L2"/>
      <c r="M2"/>
    </row>
    <row r="3" spans="1:13" s="66" customFormat="1" ht="12.75" customHeight="1">
      <c r="A3" s="5" t="str">
        <f>'Cash Flow Statement'!A3</f>
        <v>(in US$ millions)</v>
      </c>
      <c r="B3" s="71"/>
      <c r="C3" s="72"/>
      <c r="D3" s="73" t="s">
        <v>32</v>
      </c>
      <c r="E3" s="73"/>
      <c r="F3" s="74"/>
      <c r="G3" s="75" t="s">
        <v>33</v>
      </c>
      <c r="H3" s="76"/>
      <c r="I3" s="77"/>
      <c r="J3" s="76"/>
      <c r="K3" s="76"/>
      <c r="L3"/>
      <c r="M3"/>
    </row>
    <row r="4" spans="1:13" s="66" customFormat="1" ht="12.75" customHeight="1">
      <c r="A4" s="70"/>
      <c r="B4" s="71"/>
      <c r="C4" s="72"/>
      <c r="D4" s="78"/>
      <c r="E4" s="78"/>
      <c r="F4" s="79"/>
      <c r="G4" s="79"/>
      <c r="H4" s="79"/>
      <c r="I4" s="79"/>
      <c r="J4" s="79"/>
      <c r="K4" s="79"/>
      <c r="L4"/>
      <c r="M4"/>
    </row>
    <row r="5" spans="1:13" s="66" customFormat="1" ht="12.75" customHeight="1">
      <c r="A5" s="80" t="s">
        <v>349</v>
      </c>
      <c r="B5" s="81"/>
      <c r="C5" s="80"/>
      <c r="D5" s="82">
        <v>2010</v>
      </c>
      <c r="E5" s="82">
        <f t="shared" ref="E5:K5" si="0">D5+1</f>
        <v>2011</v>
      </c>
      <c r="F5" s="82">
        <f t="shared" si="0"/>
        <v>2012</v>
      </c>
      <c r="G5" s="83">
        <f t="shared" si="0"/>
        <v>2013</v>
      </c>
      <c r="H5" s="83">
        <f t="shared" si="0"/>
        <v>2014</v>
      </c>
      <c r="I5" s="83">
        <f t="shared" si="0"/>
        <v>2015</v>
      </c>
      <c r="J5" s="83">
        <f t="shared" si="0"/>
        <v>2016</v>
      </c>
      <c r="K5" s="83">
        <f t="shared" si="0"/>
        <v>2017</v>
      </c>
      <c r="L5"/>
      <c r="M5"/>
    </row>
    <row r="6" spans="1:13" ht="21" customHeight="1">
      <c r="A6" s="372" t="s">
        <v>120</v>
      </c>
      <c r="B6" s="373"/>
      <c r="C6" s="374"/>
      <c r="D6" s="375"/>
      <c r="E6" s="375"/>
      <c r="F6" s="375"/>
      <c r="G6" s="375"/>
      <c r="H6" s="375"/>
      <c r="I6" s="375"/>
      <c r="J6" s="375"/>
      <c r="K6" s="375"/>
      <c r="L6"/>
      <c r="M6"/>
    </row>
    <row r="7" spans="1:13" ht="12.75" customHeight="1">
      <c r="A7" s="372"/>
      <c r="B7" s="376" t="s">
        <v>1</v>
      </c>
      <c r="C7" s="374"/>
      <c r="D7" s="375"/>
      <c r="E7" s="375"/>
      <c r="F7" s="375"/>
      <c r="G7" s="375">
        <f>'Income Statement'!G24</f>
        <v>27888.395742857152</v>
      </c>
      <c r="H7" s="375">
        <f>'Income Statement'!H24</f>
        <v>29115.452272857161</v>
      </c>
      <c r="I7" s="375">
        <f>'Income Statement'!I24</f>
        <v>30026.790474057147</v>
      </c>
      <c r="J7" s="375">
        <f>'Income Statement'!J24</f>
        <v>30582.428201793122</v>
      </c>
      <c r="K7" s="375">
        <f>'Income Statement'!K24</f>
        <v>30750.816439803879</v>
      </c>
      <c r="L7"/>
      <c r="M7"/>
    </row>
    <row r="8" spans="1:13" ht="12.75" customHeight="1">
      <c r="A8" s="372"/>
      <c r="B8" s="373" t="s">
        <v>121</v>
      </c>
      <c r="C8" s="374"/>
      <c r="D8" s="375"/>
      <c r="E8" s="375"/>
      <c r="F8" s="375"/>
      <c r="G8" s="375">
        <f>'Cash Flow Statement'!G9</f>
        <v>8591.6632571428563</v>
      </c>
      <c r="H8" s="375">
        <f>'Cash Flow Statement'!H9</f>
        <v>9188.6096771428565</v>
      </c>
      <c r="I8" s="375">
        <f>'Cash Flow Statement'!I9</f>
        <v>9809.4339539428565</v>
      </c>
      <c r="J8" s="375">
        <f>'Cash Flow Statement'!J9</f>
        <v>10448.882959046856</v>
      </c>
      <c r="K8" s="375">
        <f>'Cash Flow Statement'!K9</f>
        <v>11101.120944252936</v>
      </c>
      <c r="L8"/>
      <c r="M8"/>
    </row>
    <row r="9" spans="1:13" ht="12.75" customHeight="1">
      <c r="A9" s="372"/>
      <c r="B9" s="373" t="s">
        <v>122</v>
      </c>
      <c r="C9" s="374"/>
      <c r="D9" s="375"/>
      <c r="E9" s="375"/>
      <c r="F9" s="375"/>
      <c r="G9" s="375">
        <f>'Cash Flow Statement'!G10</f>
        <v>715.93057442185705</v>
      </c>
      <c r="H9" s="375">
        <f>'Cash Flow Statement'!H10</f>
        <v>1003.504280285808</v>
      </c>
      <c r="I9" s="375">
        <f>'Cash Flow Statement'!I10</f>
        <v>790.98604906752598</v>
      </c>
      <c r="J9" s="375">
        <f>'Cash Flow Statement'!J10</f>
        <v>596.3241351168856</v>
      </c>
      <c r="K9" s="375">
        <f>'Cash Flow Statement'!K10</f>
        <v>411.42494172131251</v>
      </c>
      <c r="L9"/>
      <c r="M9"/>
    </row>
    <row r="10" spans="1:13" ht="12.75" customHeight="1">
      <c r="A10" s="372"/>
      <c r="B10" s="373" t="s">
        <v>0</v>
      </c>
      <c r="C10" s="374"/>
      <c r="D10" s="375"/>
      <c r="E10" s="375"/>
      <c r="F10" s="375"/>
      <c r="G10" s="375">
        <f>'Cash Flow Statement'!G11</f>
        <v>318</v>
      </c>
      <c r="H10" s="375">
        <f>'Cash Flow Statement'!H11</f>
        <v>318</v>
      </c>
      <c r="I10" s="375">
        <f>'Cash Flow Statement'!I11</f>
        <v>318</v>
      </c>
      <c r="J10" s="375">
        <f>'Cash Flow Statement'!J11</f>
        <v>318</v>
      </c>
      <c r="K10" s="375">
        <f>'Cash Flow Statement'!K11</f>
        <v>318</v>
      </c>
      <c r="L10"/>
      <c r="M10"/>
    </row>
    <row r="11" spans="1:13" ht="12.75" customHeight="1">
      <c r="A11" s="372"/>
      <c r="B11" s="373" t="s">
        <v>123</v>
      </c>
      <c r="C11" s="374"/>
      <c r="D11" s="375"/>
      <c r="E11" s="375"/>
      <c r="F11" s="375"/>
      <c r="G11" s="375">
        <f ca="1">'Cash Flow Statement'!G19</f>
        <v>891.30708356357786</v>
      </c>
      <c r="H11" s="375">
        <f ca="1">'Cash Flow Statement'!H19</f>
        <v>423.16990019534649</v>
      </c>
      <c r="I11" s="375">
        <f ca="1">'Cash Flow Statement'!I19</f>
        <v>352.75113965841877</v>
      </c>
      <c r="J11" s="375">
        <f ca="1">'Cash Flow Statement'!J19</f>
        <v>271.3010019568452</v>
      </c>
      <c r="K11" s="375">
        <f ca="1">'Cash Flow Statement'!K19</f>
        <v>181.29416068339083</v>
      </c>
      <c r="L11"/>
      <c r="M11"/>
    </row>
    <row r="12" spans="1:13" ht="12.75" customHeight="1">
      <c r="A12" s="372"/>
      <c r="B12" s="373" t="s">
        <v>124</v>
      </c>
      <c r="C12" s="374"/>
      <c r="D12" s="375"/>
      <c r="E12" s="375"/>
      <c r="F12" s="375"/>
      <c r="G12" s="375">
        <f>'Cash Flow Statement'!G22</f>
        <v>-14213.01</v>
      </c>
      <c r="H12" s="375">
        <f>'Cash Flow Statement'!H22</f>
        <v>-14923.6605</v>
      </c>
      <c r="I12" s="375">
        <f>'Cash Flow Statement'!I22</f>
        <v>-15520.606920000002</v>
      </c>
      <c r="J12" s="375">
        <f>'Cash Flow Statement'!J22</f>
        <v>-15986.225127600001</v>
      </c>
      <c r="K12" s="375">
        <f>'Cash Flow Statement'!K22</f>
        <v>-16305.949630152003</v>
      </c>
      <c r="L12"/>
      <c r="M12"/>
    </row>
    <row r="13" spans="1:13" ht="12.75" customHeight="1">
      <c r="A13" s="372"/>
      <c r="B13" s="373" t="s">
        <v>125</v>
      </c>
      <c r="C13" s="374"/>
      <c r="D13" s="377"/>
      <c r="E13" s="377"/>
      <c r="F13" s="377"/>
      <c r="G13" s="377">
        <f>-G7*'Income Statement'!G34</f>
        <v>-9203.1705951428612</v>
      </c>
      <c r="H13" s="377">
        <f>-H7*'Income Statement'!H34</f>
        <v>-9608.0992500428638</v>
      </c>
      <c r="I13" s="377">
        <f>-I7*'Income Statement'!I34</f>
        <v>-9908.8408564388592</v>
      </c>
      <c r="J13" s="377">
        <f>-J7*'Income Statement'!J34</f>
        <v>-10092.201306591731</v>
      </c>
      <c r="K13" s="377">
        <f>-K7*'Income Statement'!K34</f>
        <v>-10147.76942513528</v>
      </c>
      <c r="L13"/>
      <c r="M13"/>
    </row>
    <row r="14" spans="1:13" s="86" customFormat="1" ht="12.75" customHeight="1">
      <c r="A14" s="372" t="s">
        <v>126</v>
      </c>
      <c r="B14" s="372"/>
      <c r="C14" s="378"/>
      <c r="D14" s="379"/>
      <c r="E14" s="379"/>
      <c r="F14" s="379"/>
      <c r="G14" s="379">
        <f ca="1">SUM(G7:G13)</f>
        <v>14989.116062842584</v>
      </c>
      <c r="H14" s="379">
        <f ca="1">SUM(H7:H13)</f>
        <v>15516.976380438309</v>
      </c>
      <c r="I14" s="379">
        <f ca="1">SUM(I7:I13)</f>
        <v>15868.513840287083</v>
      </c>
      <c r="J14" s="379">
        <f ca="1">SUM(J7:J13)</f>
        <v>16138.509863721974</v>
      </c>
      <c r="K14" s="379">
        <f ca="1">SUM(K7:K13)</f>
        <v>16308.937431174236</v>
      </c>
      <c r="L14"/>
      <c r="M14"/>
    </row>
    <row r="15" spans="1:13" ht="21" customHeight="1">
      <c r="A15" s="372" t="s">
        <v>127</v>
      </c>
      <c r="B15" s="372"/>
      <c r="C15" s="374"/>
      <c r="D15" s="374"/>
      <c r="E15" s="374"/>
      <c r="F15" s="374"/>
      <c r="G15" s="375"/>
      <c r="H15" s="375"/>
      <c r="I15" s="375"/>
      <c r="J15" s="375"/>
      <c r="K15" s="375"/>
      <c r="L15"/>
      <c r="M15"/>
    </row>
    <row r="16" spans="1:13" ht="13.5" thickBot="1">
      <c r="A16" s="372"/>
      <c r="B16" s="373" t="s">
        <v>128</v>
      </c>
      <c r="C16" s="374"/>
      <c r="D16" s="374"/>
      <c r="E16" s="374"/>
      <c r="F16" s="400"/>
      <c r="G16" s="375">
        <v>1</v>
      </c>
      <c r="H16" s="375">
        <v>2</v>
      </c>
      <c r="I16" s="375">
        <v>3</v>
      </c>
      <c r="J16" s="375">
        <v>4</v>
      </c>
      <c r="K16" s="375">
        <v>5</v>
      </c>
      <c r="L16"/>
      <c r="M16"/>
    </row>
    <row r="17" spans="1:16" ht="13.5" thickBot="1">
      <c r="A17" s="372"/>
      <c r="B17" s="373" t="s">
        <v>129</v>
      </c>
      <c r="C17" s="374"/>
      <c r="D17" s="374"/>
      <c r="E17" s="374"/>
      <c r="F17" s="401">
        <f>L27</f>
        <v>5.1568364895665332E-2</v>
      </c>
      <c r="G17" s="375">
        <f ca="1">G14/(1+$F$17)^G16</f>
        <v>14254.057618336376</v>
      </c>
      <c r="H17" s="375">
        <f ca="1">H14/(1+$F$17)^H16</f>
        <v>14032.403820327987</v>
      </c>
      <c r="I17" s="375">
        <f ca="1">I14/(1+$F$17)^I16</f>
        <v>13646.576612081128</v>
      </c>
      <c r="J17" s="375">
        <f ca="1">J14/(1+$F$17)^J16</f>
        <v>13198.159796904723</v>
      </c>
      <c r="K17" s="375">
        <f ca="1">K14/(1+$F$17)^K16</f>
        <v>12683.47053747789</v>
      </c>
      <c r="L17"/>
      <c r="M17"/>
    </row>
    <row r="18" spans="1:16" ht="12.75">
      <c r="A18" s="372"/>
      <c r="B18" s="372" t="s">
        <v>130</v>
      </c>
      <c r="C18" s="374"/>
      <c r="D18" s="374"/>
      <c r="E18" s="374"/>
      <c r="F18" s="400"/>
      <c r="G18" s="379">
        <f ca="1">SUM(G17:K17)</f>
        <v>67814.668385128098</v>
      </c>
      <c r="H18" s="375"/>
      <c r="I18" s="375"/>
      <c r="J18" s="375"/>
      <c r="K18" s="375"/>
      <c r="L18"/>
      <c r="M18"/>
    </row>
    <row r="19" spans="1:16" ht="21" customHeight="1">
      <c r="A19" s="372"/>
      <c r="B19" s="372" t="s">
        <v>131</v>
      </c>
      <c r="C19" s="374"/>
      <c r="D19" s="374"/>
      <c r="E19" s="374"/>
      <c r="F19" s="400"/>
      <c r="G19" s="375"/>
      <c r="H19" s="375"/>
      <c r="I19" s="375"/>
      <c r="J19" s="85"/>
      <c r="K19" s="85"/>
      <c r="L19"/>
      <c r="M19"/>
    </row>
    <row r="20" spans="1:16">
      <c r="A20" s="372"/>
      <c r="B20" s="397" t="s">
        <v>132</v>
      </c>
      <c r="C20" s="410"/>
      <c r="D20" s="410"/>
      <c r="E20" s="410"/>
      <c r="F20" s="411"/>
      <c r="G20" s="375"/>
      <c r="H20" s="375"/>
      <c r="I20" s="375"/>
      <c r="J20" s="397" t="s">
        <v>296</v>
      </c>
      <c r="K20" s="380"/>
      <c r="L20" s="380"/>
      <c r="M20" s="380"/>
      <c r="N20" s="380"/>
      <c r="O20" s="381"/>
      <c r="P20" s="89"/>
    </row>
    <row r="21" spans="1:16" ht="12.75" thickBot="1">
      <c r="A21" s="372"/>
      <c r="B21" s="391"/>
      <c r="C21" s="404" t="s">
        <v>133</v>
      </c>
      <c r="D21" s="383"/>
      <c r="E21" s="383"/>
      <c r="F21" s="405">
        <f>K7+K8</f>
        <v>41851.937384056815</v>
      </c>
      <c r="G21" s="374"/>
      <c r="H21" s="375"/>
      <c r="I21" s="374"/>
      <c r="J21" s="382" t="s">
        <v>134</v>
      </c>
      <c r="K21" s="383"/>
      <c r="L21" s="384">
        <v>2.93E-2</v>
      </c>
      <c r="M21" s="385" t="s">
        <v>295</v>
      </c>
      <c r="N21" s="383"/>
      <c r="O21" s="386">
        <f>+'Balance Sheet'!F20+'Balance Sheet'!F24+'Balance Sheet'!F25+'Balance Sheet'!F28+'Balance Sheet'!F29</f>
        <v>53427</v>
      </c>
    </row>
    <row r="22" spans="1:16" ht="12.75" thickBot="1">
      <c r="A22" s="372"/>
      <c r="B22" s="391"/>
      <c r="C22" s="404" t="s">
        <v>135</v>
      </c>
      <c r="D22" s="383"/>
      <c r="E22" s="383"/>
      <c r="F22" s="406">
        <f>(O24+O21+'Balance Sheet'!F31+'Balance Sheet'!F38-'Balance Sheet'!F8)/'Income Statement'!F21</f>
        <v>8.6538864582760588</v>
      </c>
      <c r="G22" s="375"/>
      <c r="H22" s="375"/>
      <c r="I22" s="374"/>
      <c r="J22" s="382" t="s">
        <v>422</v>
      </c>
      <c r="K22" s="383"/>
      <c r="L22" s="384">
        <v>0.06</v>
      </c>
      <c r="M22" s="382" t="s">
        <v>136</v>
      </c>
      <c r="N22" s="383"/>
      <c r="O22" s="399">
        <v>73.819999999999993</v>
      </c>
    </row>
    <row r="23" spans="1:16">
      <c r="A23" s="372"/>
      <c r="B23" s="391"/>
      <c r="C23" s="404" t="s">
        <v>131</v>
      </c>
      <c r="D23" s="383"/>
      <c r="E23" s="383"/>
      <c r="F23" s="407">
        <f>F21*F22</f>
        <v>362181.91418050684</v>
      </c>
      <c r="G23" s="375"/>
      <c r="H23" s="375"/>
      <c r="I23" s="374"/>
      <c r="J23" s="382" t="s">
        <v>137</v>
      </c>
      <c r="K23" s="383"/>
      <c r="L23" s="388">
        <v>0.42</v>
      </c>
      <c r="M23" s="382" t="s">
        <v>138</v>
      </c>
      <c r="N23" s="383"/>
      <c r="O23" s="389">
        <f>3365741174/1000000</f>
        <v>3365.7411739999998</v>
      </c>
    </row>
    <row r="24" spans="1:16">
      <c r="A24" s="372"/>
      <c r="B24" s="395"/>
      <c r="C24" s="408" t="s">
        <v>139</v>
      </c>
      <c r="D24" s="394"/>
      <c r="E24" s="394"/>
      <c r="F24" s="409">
        <f>F23/(1+F17)^K16</f>
        <v>281669.09445216123</v>
      </c>
      <c r="G24" s="379"/>
      <c r="H24" s="375"/>
      <c r="I24" s="374"/>
      <c r="J24" s="385" t="s">
        <v>140</v>
      </c>
      <c r="K24" s="383"/>
      <c r="L24" s="390">
        <f>L21+L22*L23</f>
        <v>5.4499999999999993E-2</v>
      </c>
      <c r="M24" s="385" t="s">
        <v>141</v>
      </c>
      <c r="N24" s="383"/>
      <c r="O24" s="765">
        <f>O22*O23</f>
        <v>248459.01346467997</v>
      </c>
    </row>
    <row r="25" spans="1:16">
      <c r="A25" s="373"/>
      <c r="B25" s="397" t="s">
        <v>142</v>
      </c>
      <c r="C25" s="410"/>
      <c r="D25" s="410"/>
      <c r="E25" s="410"/>
      <c r="F25" s="411"/>
      <c r="G25" s="375"/>
      <c r="H25" s="375"/>
      <c r="I25" s="374"/>
      <c r="J25" s="385" t="s">
        <v>143</v>
      </c>
      <c r="K25" s="383"/>
      <c r="L25" s="392">
        <v>5.6250000000000001E-2</v>
      </c>
      <c r="M25" s="391"/>
      <c r="N25" s="383"/>
      <c r="O25" s="387"/>
    </row>
    <row r="26" spans="1:16" ht="12.75" thickBot="1">
      <c r="A26" s="373"/>
      <c r="B26" s="412"/>
      <c r="C26" s="413" t="s">
        <v>120</v>
      </c>
      <c r="D26" s="403"/>
      <c r="E26" s="403"/>
      <c r="F26" s="414">
        <f ca="1">K14</f>
        <v>16308.937431174236</v>
      </c>
      <c r="G26" s="374"/>
      <c r="H26" s="375"/>
      <c r="I26" s="374"/>
      <c r="J26" s="391"/>
      <c r="K26" s="374"/>
      <c r="L26" s="374"/>
      <c r="M26" s="391"/>
      <c r="N26" s="383"/>
      <c r="O26" s="387"/>
    </row>
    <row r="27" spans="1:16" ht="12.75" thickBot="1">
      <c r="A27" s="373"/>
      <c r="B27" s="391"/>
      <c r="C27" s="404" t="s">
        <v>144</v>
      </c>
      <c r="D27" s="383"/>
      <c r="E27" s="383"/>
      <c r="F27" s="415">
        <v>0.01</v>
      </c>
      <c r="G27" s="375"/>
      <c r="H27" s="375"/>
      <c r="I27" s="374"/>
      <c r="J27" s="393" t="s">
        <v>145</v>
      </c>
      <c r="K27" s="394"/>
      <c r="L27" s="398">
        <f>O24/(O21+O24)*L24+O21/(O21+O24)*L25*(1-'Income Statement'!F34)</f>
        <v>5.1568364895665332E-2</v>
      </c>
      <c r="M27" s="395"/>
      <c r="N27" s="394"/>
      <c r="O27" s="396"/>
    </row>
    <row r="28" spans="1:16" ht="12.75">
      <c r="A28" s="373"/>
      <c r="B28" s="391"/>
      <c r="C28" s="404" t="s">
        <v>131</v>
      </c>
      <c r="D28" s="383"/>
      <c r="E28" s="383"/>
      <c r="F28" s="416">
        <f ca="1">F26*(1+F27)/(F17-F27)</f>
        <v>396263.52508283645</v>
      </c>
      <c r="G28" s="402"/>
      <c r="H28" s="375"/>
      <c r="I28" s="374"/>
    </row>
    <row r="29" spans="1:16">
      <c r="A29" s="373"/>
      <c r="B29" s="395"/>
      <c r="C29" s="408" t="s">
        <v>139</v>
      </c>
      <c r="D29" s="394"/>
      <c r="E29" s="394"/>
      <c r="F29" s="417">
        <f ca="1">F28/(1+F17)^K16</f>
        <v>308174.38393369428</v>
      </c>
      <c r="G29" s="379"/>
      <c r="H29" s="375"/>
      <c r="I29" s="374"/>
    </row>
    <row r="30" spans="1:16" s="374" customFormat="1" ht="9.75" customHeight="1"/>
    <row r="31" spans="1:16">
      <c r="A31" s="374"/>
      <c r="B31" s="397" t="s">
        <v>297</v>
      </c>
      <c r="C31" s="410"/>
      <c r="D31" s="410"/>
      <c r="E31" s="429" t="s">
        <v>298</v>
      </c>
      <c r="F31" s="430" t="s">
        <v>142</v>
      </c>
      <c r="G31" s="375"/>
      <c r="H31" s="375"/>
      <c r="I31" s="374"/>
    </row>
    <row r="32" spans="1:16">
      <c r="A32" s="374"/>
      <c r="B32" s="418" t="s">
        <v>299</v>
      </c>
      <c r="C32" s="383"/>
      <c r="D32" s="383"/>
      <c r="E32" s="419">
        <f ca="1">G18</f>
        <v>67814.668385128098</v>
      </c>
      <c r="F32" s="405">
        <f ca="1">G18</f>
        <v>67814.668385128098</v>
      </c>
    </row>
    <row r="33" spans="1:16">
      <c r="A33" s="374"/>
      <c r="B33" s="418" t="s">
        <v>300</v>
      </c>
      <c r="C33" s="383"/>
      <c r="D33" s="383"/>
      <c r="E33" s="420">
        <f>F24</f>
        <v>281669.09445216123</v>
      </c>
      <c r="F33" s="405">
        <f ca="1">F29</f>
        <v>308174.38393369428</v>
      </c>
      <c r="N33" s="88"/>
      <c r="O33" s="88"/>
      <c r="P33" s="88"/>
    </row>
    <row r="34" spans="1:16">
      <c r="A34" s="374"/>
      <c r="B34" s="421" t="s">
        <v>301</v>
      </c>
      <c r="C34" s="383"/>
      <c r="D34" s="383"/>
      <c r="E34" s="423">
        <f ca="1">E32+E33</f>
        <v>349483.76283728931</v>
      </c>
      <c r="F34" s="424">
        <f ca="1">F32+F33</f>
        <v>375989.05231882236</v>
      </c>
    </row>
    <row r="35" spans="1:16">
      <c r="A35" s="374"/>
      <c r="B35" s="418" t="s">
        <v>423</v>
      </c>
      <c r="C35" s="383"/>
      <c r="D35" s="383"/>
      <c r="E35" s="419">
        <f>O21+'Balance Sheet'!F38+'Balance Sheet'!F31-'Balance Sheet'!F8</f>
        <v>51727</v>
      </c>
      <c r="F35" s="405">
        <f>E35</f>
        <v>51727</v>
      </c>
    </row>
    <row r="36" spans="1:16">
      <c r="A36" s="374"/>
      <c r="B36" s="421" t="s">
        <v>141</v>
      </c>
      <c r="C36" s="422"/>
      <c r="D36" s="422"/>
      <c r="E36" s="423">
        <f ca="1">E34-E35</f>
        <v>297756.76283728931</v>
      </c>
      <c r="F36" s="424">
        <f ca="1">F34-F35</f>
        <v>324262.05231882236</v>
      </c>
    </row>
    <row r="37" spans="1:16">
      <c r="A37" s="374"/>
      <c r="B37" s="418" t="s">
        <v>413</v>
      </c>
      <c r="C37" s="383"/>
      <c r="D37" s="383"/>
      <c r="E37" s="419">
        <f>O23</f>
        <v>3365.7411739999998</v>
      </c>
      <c r="F37" s="405">
        <f>E37</f>
        <v>3365.7411739999998</v>
      </c>
      <c r="N37" s="89"/>
      <c r="O37" s="89"/>
      <c r="P37" s="89"/>
    </row>
    <row r="38" spans="1:16">
      <c r="B38" s="425" t="s">
        <v>302</v>
      </c>
      <c r="C38" s="426"/>
      <c r="D38" s="426"/>
      <c r="E38" s="427">
        <f ca="1">E36/E37</f>
        <v>88.466922274781354</v>
      </c>
      <c r="F38" s="428">
        <f ca="1">F36/F37</f>
        <v>96.341945371115571</v>
      </c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66CCFF"/>
  </sheetPr>
  <dimension ref="A1:W27"/>
  <sheetViews>
    <sheetView workbookViewId="0"/>
  </sheetViews>
  <sheetFormatPr defaultColWidth="9.140625" defaultRowHeight="20.100000000000001" customHeight="1"/>
  <cols>
    <col min="1" max="1" width="2.42578125" style="66" customWidth="1"/>
    <col min="2" max="2" width="26.140625" style="66" customWidth="1"/>
    <col min="3" max="3" width="9.85546875" style="90" bestFit="1" customWidth="1"/>
    <col min="4" max="4" width="12.140625" style="90" customWidth="1"/>
    <col min="5" max="5" width="9.5703125" style="84" bestFit="1" customWidth="1"/>
    <col min="6" max="6" width="9.140625" style="66" bestFit="1" customWidth="1"/>
    <col min="7" max="7" width="8.140625" style="66" customWidth="1"/>
    <col min="8" max="8" width="8.5703125" style="84" bestFit="1" customWidth="1"/>
    <col min="9" max="9" width="8.28515625" style="84" bestFit="1" customWidth="1"/>
    <col min="10" max="10" width="7.140625" style="84" customWidth="1"/>
    <col min="11" max="11" width="8.140625" style="84" bestFit="1" customWidth="1"/>
    <col min="12" max="15" width="7.85546875" style="84" bestFit="1" customWidth="1"/>
    <col min="16" max="16" width="7.140625" style="84" customWidth="1"/>
    <col min="17" max="17" width="8.140625" style="84" bestFit="1" customWidth="1"/>
    <col min="18" max="16384" width="9.140625" style="84"/>
  </cols>
  <sheetData>
    <row r="1" spans="1:17" ht="58.5" customHeight="1">
      <c r="A1" s="64"/>
      <c r="B1" s="64"/>
      <c r="C1" s="65"/>
      <c r="D1" s="65"/>
      <c r="E1" s="309"/>
      <c r="F1" s="64"/>
      <c r="G1" s="64"/>
      <c r="H1" s="309"/>
      <c r="I1" s="309"/>
      <c r="J1" s="309"/>
      <c r="K1" s="309"/>
      <c r="L1" s="309"/>
      <c r="M1" s="309"/>
      <c r="N1" s="309"/>
      <c r="O1" s="309"/>
      <c r="P1" s="309"/>
    </row>
    <row r="2" spans="1:17" ht="13.5" customHeight="1">
      <c r="A2" s="364" t="s">
        <v>146</v>
      </c>
      <c r="B2" s="67"/>
      <c r="C2" s="69"/>
      <c r="D2" s="69"/>
      <c r="E2" s="293"/>
      <c r="F2" s="67"/>
      <c r="G2" s="67"/>
      <c r="H2" s="293"/>
      <c r="I2" s="293"/>
      <c r="J2" s="293"/>
      <c r="K2" s="293"/>
      <c r="L2" s="293"/>
      <c r="M2" s="293"/>
      <c r="N2" s="293"/>
      <c r="O2" s="293"/>
      <c r="P2" s="293"/>
      <c r="Q2" s="333"/>
    </row>
    <row r="3" spans="1:17" ht="12" customHeight="1">
      <c r="A3" s="5" t="str">
        <f>'Cash Flow Statement'!A3</f>
        <v>(in US$ millions)</v>
      </c>
      <c r="B3" s="366"/>
      <c r="C3" s="332"/>
      <c r="D3" s="332"/>
      <c r="E3" s="332"/>
      <c r="F3" s="332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31"/>
    </row>
    <row r="4" spans="1:17" ht="12" customHeight="1">
      <c r="A4" s="365"/>
      <c r="B4" s="366"/>
      <c r="C4" s="807" t="s">
        <v>147</v>
      </c>
      <c r="D4" s="810" t="s">
        <v>148</v>
      </c>
      <c r="E4" s="330" t="s">
        <v>149</v>
      </c>
      <c r="F4" s="329" t="s">
        <v>150</v>
      </c>
      <c r="G4" s="328"/>
      <c r="H4" s="327"/>
      <c r="I4" s="325" t="s">
        <v>166</v>
      </c>
      <c r="J4" s="324"/>
      <c r="K4" s="326"/>
      <c r="L4" s="325" t="s">
        <v>167</v>
      </c>
      <c r="M4" s="324"/>
      <c r="N4" s="326"/>
      <c r="O4" s="325" t="s">
        <v>168</v>
      </c>
      <c r="P4" s="324"/>
      <c r="Q4" s="323"/>
    </row>
    <row r="5" spans="1:17" s="87" customFormat="1" ht="12" customHeight="1">
      <c r="A5" s="369"/>
      <c r="B5" s="286"/>
      <c r="C5" s="808"/>
      <c r="D5" s="811"/>
      <c r="E5" s="322" t="s">
        <v>151</v>
      </c>
      <c r="F5" s="321" t="str">
        <f t="shared" ref="F5:Q5" si="0">C20</f>
        <v>12A</v>
      </c>
      <c r="G5" s="284" t="str">
        <f t="shared" si="0"/>
        <v>LTM</v>
      </c>
      <c r="H5" s="317" t="str">
        <f t="shared" si="0"/>
        <v>13E</v>
      </c>
      <c r="I5" s="318" t="str">
        <f t="shared" si="0"/>
        <v>12A</v>
      </c>
      <c r="J5" s="284" t="str">
        <f t="shared" si="0"/>
        <v>LTM</v>
      </c>
      <c r="K5" s="320" t="str">
        <f t="shared" si="0"/>
        <v>13E</v>
      </c>
      <c r="L5" s="318" t="str">
        <f t="shared" si="0"/>
        <v>12A</v>
      </c>
      <c r="M5" s="284" t="str">
        <f t="shared" si="0"/>
        <v>LTM</v>
      </c>
      <c r="N5" s="319" t="str">
        <f t="shared" si="0"/>
        <v>13E</v>
      </c>
      <c r="O5" s="318" t="str">
        <f t="shared" si="0"/>
        <v>12A</v>
      </c>
      <c r="P5" s="284" t="str">
        <f t="shared" si="0"/>
        <v>LTM</v>
      </c>
      <c r="Q5" s="317" t="str">
        <f t="shared" si="0"/>
        <v>13E</v>
      </c>
    </row>
    <row r="6" spans="1:17" ht="12" customHeight="1">
      <c r="A6" s="370"/>
      <c r="B6" s="283" t="s">
        <v>152</v>
      </c>
      <c r="C6" s="809"/>
      <c r="D6" s="812"/>
      <c r="E6" s="316" t="s">
        <v>153</v>
      </c>
      <c r="F6" s="315" t="s">
        <v>154</v>
      </c>
      <c r="G6" s="282" t="s">
        <v>154</v>
      </c>
      <c r="H6" s="314" t="s">
        <v>154</v>
      </c>
      <c r="I6" s="315" t="s">
        <v>154</v>
      </c>
      <c r="J6" s="282" t="s">
        <v>154</v>
      </c>
      <c r="K6" s="314" t="s">
        <v>154</v>
      </c>
      <c r="L6" s="315" t="s">
        <v>154</v>
      </c>
      <c r="M6" s="282" t="s">
        <v>154</v>
      </c>
      <c r="N6" s="314" t="s">
        <v>154</v>
      </c>
      <c r="O6" s="315" t="s">
        <v>154</v>
      </c>
      <c r="P6" s="282" t="s">
        <v>154</v>
      </c>
      <c r="Q6" s="314" t="s">
        <v>154</v>
      </c>
    </row>
    <row r="7" spans="1:17" s="309" customFormat="1" ht="20.100000000000001" customHeight="1">
      <c r="A7" s="356"/>
      <c r="B7" s="281" t="str">
        <f>B22</f>
        <v>Walmart</v>
      </c>
      <c r="C7" s="313">
        <f>'Income Statement'!D54</f>
        <v>73.819999999999993</v>
      </c>
      <c r="D7" s="312">
        <f>'Wal-Mart Comp'!D60</f>
        <v>248459.01346467997</v>
      </c>
      <c r="E7" s="312">
        <f>'Wal-Mart Comp'!D68</f>
        <v>300010.01346467994</v>
      </c>
      <c r="F7" s="311">
        <f t="shared" ref="F7:H12" si="1">$C7/O22</f>
        <v>16.266058607129263</v>
      </c>
      <c r="G7" s="311">
        <f t="shared" si="1"/>
        <v>15.392756504663719</v>
      </c>
      <c r="H7" s="311">
        <f t="shared" ca="1" si="1"/>
        <v>15.06699346789607</v>
      </c>
      <c r="I7" s="311">
        <f t="shared" ref="I7:N12" si="2">$E7/C22</f>
        <v>0.67123842368202247</v>
      </c>
      <c r="J7" s="311">
        <f t="shared" si="2"/>
        <v>0.65119199638965153</v>
      </c>
      <c r="K7" s="311">
        <f t="shared" si="2"/>
        <v>0.63324379592643631</v>
      </c>
      <c r="L7" s="311">
        <f t="shared" si="2"/>
        <v>11.296408369029292</v>
      </c>
      <c r="M7" s="311">
        <f t="shared" si="2"/>
        <v>10.963675393388391</v>
      </c>
      <c r="N7" s="311">
        <f t="shared" si="2"/>
        <v>10.757521380250754</v>
      </c>
      <c r="O7" s="311">
        <f t="shared" ref="O7:Q12" si="3">$E7/L22</f>
        <v>8.648812657538052</v>
      </c>
      <c r="P7" s="311">
        <f t="shared" si="3"/>
        <v>8.3752551147282297</v>
      </c>
      <c r="Q7" s="310">
        <f t="shared" si="3"/>
        <v>8.2239454016420286</v>
      </c>
    </row>
    <row r="8" spans="1:17" s="309" customFormat="1" ht="20.100000000000001" customHeight="1">
      <c r="A8" s="357"/>
      <c r="B8" s="334" t="str">
        <f>B23</f>
        <v>COSTCO</v>
      </c>
      <c r="C8" s="335">
        <f>'Costco Comp'!$D$61</f>
        <v>96.94</v>
      </c>
      <c r="D8" s="336">
        <f>'Costco Comp'!$D$71</f>
        <v>42096.361833739997</v>
      </c>
      <c r="E8" s="337">
        <f>'Costco Comp'!$D$79</f>
        <v>40107.361833739997</v>
      </c>
      <c r="F8" s="338">
        <f t="shared" si="1"/>
        <v>27.763331813319859</v>
      </c>
      <c r="G8" s="338">
        <f t="shared" si="1"/>
        <v>25.320453748202503</v>
      </c>
      <c r="H8" s="338">
        <f t="shared" ca="1" si="1"/>
        <v>23.056378052873029</v>
      </c>
      <c r="I8" s="338">
        <f t="shared" si="2"/>
        <v>0.4308119519337405</v>
      </c>
      <c r="J8" s="338">
        <f t="shared" si="2"/>
        <v>0.41242734456914809</v>
      </c>
      <c r="K8" s="338">
        <f t="shared" si="2"/>
        <v>0.37951689907295832</v>
      </c>
      <c r="L8" s="338">
        <f t="shared" si="2"/>
        <v>15.797407879596099</v>
      </c>
      <c r="M8" s="338">
        <f t="shared" si="2"/>
        <v>14.726529154650718</v>
      </c>
      <c r="N8" s="338">
        <f t="shared" si="2"/>
        <v>13.45642590250209</v>
      </c>
      <c r="O8" s="338">
        <f t="shared" si="3"/>
        <v>11.727788664362812</v>
      </c>
      <c r="P8" s="338">
        <f t="shared" si="3"/>
        <v>11.083202362611829</v>
      </c>
      <c r="Q8" s="339">
        <f t="shared" si="3"/>
        <v>10.157712425322854</v>
      </c>
    </row>
    <row r="9" spans="1:17" s="309" customFormat="1" ht="20.100000000000001" customHeight="1">
      <c r="A9" s="358"/>
      <c r="B9" s="351" t="s">
        <v>311</v>
      </c>
      <c r="C9" s="352">
        <f>'Target Comp'!D51</f>
        <v>62.79</v>
      </c>
      <c r="D9" s="353">
        <f>'Target Comp'!D61</f>
        <v>41486.488996680004</v>
      </c>
      <c r="E9" s="354">
        <f>'Target Comp'!D69</f>
        <v>58558.488996680004</v>
      </c>
      <c r="F9" s="350">
        <f t="shared" si="1"/>
        <v>14.66100409696142</v>
      </c>
      <c r="G9" s="350">
        <f t="shared" si="1"/>
        <v>14.172111338100102</v>
      </c>
      <c r="H9" s="350">
        <f t="shared" si="1"/>
        <v>13.608613522706005</v>
      </c>
      <c r="I9" s="350">
        <f t="shared" si="2"/>
        <v>0.83816630640062983</v>
      </c>
      <c r="J9" s="350">
        <f t="shared" si="2"/>
        <v>0.82088270994560952</v>
      </c>
      <c r="K9" s="350">
        <f t="shared" si="2"/>
        <v>0.79825362514345699</v>
      </c>
      <c r="L9" s="350">
        <f t="shared" si="2"/>
        <v>11.003098270702743</v>
      </c>
      <c r="M9" s="350">
        <f t="shared" si="2"/>
        <v>11.052942430479426</v>
      </c>
      <c r="N9" s="350">
        <f t="shared" si="2"/>
        <v>10.700395198436722</v>
      </c>
      <c r="O9" s="350">
        <f t="shared" si="3"/>
        <v>7.8570359582289013</v>
      </c>
      <c r="P9" s="350">
        <f t="shared" si="3"/>
        <v>7.841254552313873</v>
      </c>
      <c r="Q9" s="355">
        <f t="shared" si="3"/>
        <v>7.6009813687895003</v>
      </c>
    </row>
    <row r="10" spans="1:17" s="309" customFormat="1" ht="20.100000000000001" customHeight="1">
      <c r="A10" s="359"/>
      <c r="B10" s="343" t="s">
        <v>316</v>
      </c>
      <c r="C10" s="347">
        <f>'Dollar General'!D59</f>
        <v>47.16</v>
      </c>
      <c r="D10" s="348">
        <f>'Dollar General'!D69</f>
        <v>15854.037947639999</v>
      </c>
      <c r="E10" s="349">
        <f>'Dollar General'!D77</f>
        <v>18338.361947639998</v>
      </c>
      <c r="F10" s="350">
        <f t="shared" si="1"/>
        <v>20.228010478260746</v>
      </c>
      <c r="G10" s="350">
        <f t="shared" si="1"/>
        <v>17.397878557669426</v>
      </c>
      <c r="H10" s="350">
        <f t="shared" si="1"/>
        <v>15.390613006844802</v>
      </c>
      <c r="I10" s="350">
        <f t="shared" si="2"/>
        <v>1.238477011816153</v>
      </c>
      <c r="J10" s="350">
        <f t="shared" si="2"/>
        <v>1.1732679299152271</v>
      </c>
      <c r="K10" s="350">
        <f t="shared" si="2"/>
        <v>1.047560651710024</v>
      </c>
      <c r="L10" s="350">
        <f t="shared" si="2"/>
        <v>12.300987888173095</v>
      </c>
      <c r="M10" s="350">
        <f t="shared" si="2"/>
        <v>11.528521776732806</v>
      </c>
      <c r="N10" s="350">
        <f t="shared" si="2"/>
        <v>10.293323014940009</v>
      </c>
      <c r="O10" s="350">
        <f t="shared" si="3"/>
        <v>10.382876997574472</v>
      </c>
      <c r="P10" s="350">
        <f t="shared" si="3"/>
        <v>9.7726832555854184</v>
      </c>
      <c r="Q10" s="355">
        <f t="shared" si="3"/>
        <v>8.7256100496298394</v>
      </c>
    </row>
    <row r="11" spans="1:17" s="309" customFormat="1" ht="20.100000000000001" customHeight="1">
      <c r="A11" s="359"/>
      <c r="B11" s="343" t="s">
        <v>337</v>
      </c>
      <c r="C11" s="347">
        <f>'Dollar Tree'!D46</f>
        <v>37.74</v>
      </c>
      <c r="D11" s="348">
        <f>'Dollar Tree'!D56</f>
        <v>8697.0771393000014</v>
      </c>
      <c r="E11" s="349">
        <f>'Dollar Tree'!D64</f>
        <v>8581.5771393000014</v>
      </c>
      <c r="F11" s="350">
        <f t="shared" si="1"/>
        <v>9.3673725168953492</v>
      </c>
      <c r="G11" s="350">
        <f t="shared" si="1"/>
        <v>16.116144292898191</v>
      </c>
      <c r="H11" s="350">
        <f t="shared" si="1"/>
        <v>15.258173451549812</v>
      </c>
      <c r="I11" s="350">
        <f t="shared" si="2"/>
        <v>1.2942579201116056</v>
      </c>
      <c r="J11" s="350">
        <f t="shared" si="2"/>
        <v>1.2311455783455756</v>
      </c>
      <c r="K11" s="350">
        <f t="shared" si="2"/>
        <v>1.1765981091923687</v>
      </c>
      <c r="L11" s="350">
        <f t="shared" si="2"/>
        <v>10.972480679324892</v>
      </c>
      <c r="M11" s="350">
        <f t="shared" si="2"/>
        <v>10.224683830930525</v>
      </c>
      <c r="N11" s="350">
        <f t="shared" si="2"/>
        <v>9.77166622222623</v>
      </c>
      <c r="O11" s="350">
        <f t="shared" si="3"/>
        <v>9.0714346081395334</v>
      </c>
      <c r="P11" s="350">
        <f t="shared" si="3"/>
        <v>8.5033463528537361</v>
      </c>
      <c r="Q11" s="355">
        <f t="shared" si="3"/>
        <v>8.1265947882624623</v>
      </c>
    </row>
    <row r="12" spans="1:17" s="309" customFormat="1" ht="20.100000000000001" customHeight="1">
      <c r="A12" s="766"/>
      <c r="B12" s="767" t="s">
        <v>344</v>
      </c>
      <c r="C12" s="768">
        <f>'Family Dollar Store'!D44</f>
        <v>66.12</v>
      </c>
      <c r="D12" s="769">
        <f>'Family Dollar Store'!D54</f>
        <v>7645.7599503600004</v>
      </c>
      <c r="E12" s="770">
        <f>'Family Dollar Store'!D62</f>
        <v>8100.9469503600003</v>
      </c>
      <c r="F12" s="771">
        <f t="shared" si="1"/>
        <v>19.345509365097573</v>
      </c>
      <c r="G12" s="771">
        <f t="shared" si="1"/>
        <v>18.611237346478369</v>
      </c>
      <c r="H12" s="771">
        <f t="shared" si="1"/>
        <v>16.155130273667091</v>
      </c>
      <c r="I12" s="771">
        <f t="shared" si="2"/>
        <v>0.91748728517234135</v>
      </c>
      <c r="J12" s="771">
        <f t="shared" si="2"/>
        <v>0.87429025871487709</v>
      </c>
      <c r="K12" s="771">
        <f t="shared" si="2"/>
        <v>0.78925016411415494</v>
      </c>
      <c r="L12" s="771">
        <f t="shared" si="2"/>
        <v>12.177443622561452</v>
      </c>
      <c r="M12" s="771">
        <f t="shared" si="2"/>
        <v>11.844668676733546</v>
      </c>
      <c r="N12" s="771">
        <f t="shared" si="2"/>
        <v>10.608201130566599</v>
      </c>
      <c r="O12" s="771">
        <f t="shared" si="3"/>
        <v>9.4553502276722465</v>
      </c>
      <c r="P12" s="771">
        <f t="shared" si="3"/>
        <v>9.0785001796174924</v>
      </c>
      <c r="Q12" s="772">
        <f t="shared" si="3"/>
        <v>8.136599630042836</v>
      </c>
    </row>
    <row r="13" spans="1:17" s="298" customFormat="1" ht="12">
      <c r="A13" s="308"/>
      <c r="B13" s="307" t="s">
        <v>171</v>
      </c>
      <c r="C13" s="306"/>
      <c r="D13" s="306"/>
      <c r="E13" s="306"/>
      <c r="F13" s="305">
        <f t="shared" ref="F13:Q13" si="4">MEDIAN(F8:F12)</f>
        <v>19.345509365097573</v>
      </c>
      <c r="G13" s="305">
        <f t="shared" si="4"/>
        <v>17.397878557669426</v>
      </c>
      <c r="H13" s="305">
        <f t="shared" ca="1" si="4"/>
        <v>15.390613006844802</v>
      </c>
      <c r="I13" s="305">
        <f t="shared" si="4"/>
        <v>0.91748728517234135</v>
      </c>
      <c r="J13" s="305">
        <f t="shared" si="4"/>
        <v>0.87429025871487709</v>
      </c>
      <c r="K13" s="305">
        <f t="shared" si="4"/>
        <v>0.79825362514345699</v>
      </c>
      <c r="L13" s="305">
        <f t="shared" si="4"/>
        <v>12.177443622561452</v>
      </c>
      <c r="M13" s="305">
        <f t="shared" si="4"/>
        <v>11.528521776732806</v>
      </c>
      <c r="N13" s="305">
        <f t="shared" si="4"/>
        <v>10.608201130566599</v>
      </c>
      <c r="O13" s="305">
        <f t="shared" si="4"/>
        <v>9.4553502276722465</v>
      </c>
      <c r="P13" s="305">
        <f t="shared" si="4"/>
        <v>9.0785001796174924</v>
      </c>
      <c r="Q13" s="304">
        <f t="shared" si="4"/>
        <v>8.136599630042836</v>
      </c>
    </row>
    <row r="14" spans="1:17" s="298" customFormat="1" ht="12">
      <c r="A14" s="308"/>
      <c r="B14" s="307" t="s">
        <v>155</v>
      </c>
      <c r="C14" s="306"/>
      <c r="D14" s="306"/>
      <c r="E14" s="306"/>
      <c r="F14" s="305">
        <f t="shared" ref="F14:Q14" si="5">MAX(F8:F12)</f>
        <v>27.763331813319859</v>
      </c>
      <c r="G14" s="305">
        <f t="shared" si="5"/>
        <v>25.320453748202503</v>
      </c>
      <c r="H14" s="305">
        <f t="shared" ca="1" si="5"/>
        <v>23.056378052873029</v>
      </c>
      <c r="I14" s="305">
        <f t="shared" si="5"/>
        <v>1.2942579201116056</v>
      </c>
      <c r="J14" s="305">
        <f t="shared" si="5"/>
        <v>1.2311455783455756</v>
      </c>
      <c r="K14" s="305">
        <f t="shared" si="5"/>
        <v>1.1765981091923687</v>
      </c>
      <c r="L14" s="305">
        <f t="shared" si="5"/>
        <v>15.797407879596099</v>
      </c>
      <c r="M14" s="305">
        <f t="shared" si="5"/>
        <v>14.726529154650718</v>
      </c>
      <c r="N14" s="305">
        <f t="shared" si="5"/>
        <v>13.45642590250209</v>
      </c>
      <c r="O14" s="305">
        <f t="shared" si="5"/>
        <v>11.727788664362812</v>
      </c>
      <c r="P14" s="305">
        <f t="shared" si="5"/>
        <v>11.083202362611829</v>
      </c>
      <c r="Q14" s="304">
        <f t="shared" si="5"/>
        <v>10.157712425322854</v>
      </c>
    </row>
    <row r="15" spans="1:17" s="298" customFormat="1" ht="12">
      <c r="A15" s="303"/>
      <c r="B15" s="302" t="s">
        <v>156</v>
      </c>
      <c r="C15" s="301"/>
      <c r="D15" s="301"/>
      <c r="E15" s="301"/>
      <c r="F15" s="300">
        <f t="shared" ref="F15:Q15" si="6">MIN(F8:F12)</f>
        <v>9.3673725168953492</v>
      </c>
      <c r="G15" s="300">
        <f t="shared" si="6"/>
        <v>14.172111338100102</v>
      </c>
      <c r="H15" s="300">
        <f t="shared" ca="1" si="6"/>
        <v>13.608613522706005</v>
      </c>
      <c r="I15" s="300">
        <f t="shared" si="6"/>
        <v>0.4308119519337405</v>
      </c>
      <c r="J15" s="300">
        <f t="shared" si="6"/>
        <v>0.41242734456914809</v>
      </c>
      <c r="K15" s="300">
        <f t="shared" si="6"/>
        <v>0.37951689907295832</v>
      </c>
      <c r="L15" s="300">
        <f t="shared" si="6"/>
        <v>10.972480679324892</v>
      </c>
      <c r="M15" s="300">
        <f t="shared" si="6"/>
        <v>10.224683830930525</v>
      </c>
      <c r="N15" s="300">
        <f t="shared" si="6"/>
        <v>9.77166622222623</v>
      </c>
      <c r="O15" s="300">
        <f t="shared" si="6"/>
        <v>7.8570359582289013</v>
      </c>
      <c r="P15" s="300">
        <f t="shared" si="6"/>
        <v>7.841254552313873</v>
      </c>
      <c r="Q15" s="299">
        <f t="shared" si="6"/>
        <v>7.6009813687895003</v>
      </c>
    </row>
    <row r="16" spans="1:17" s="294" customFormat="1" ht="12">
      <c r="A16" s="297"/>
      <c r="B16" s="296"/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</row>
    <row r="17" spans="1:23" ht="13.5" customHeight="1">
      <c r="A17" s="364" t="s">
        <v>157</v>
      </c>
      <c r="B17" s="67"/>
      <c r="C17" s="67"/>
      <c r="D17" s="67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333"/>
    </row>
    <row r="18" spans="1:23" ht="12" customHeight="1">
      <c r="A18" s="365"/>
      <c r="B18" s="366"/>
      <c r="C18" s="292"/>
      <c r="D18" s="292"/>
      <c r="E18" s="291"/>
      <c r="F18" s="289"/>
      <c r="G18" s="289"/>
      <c r="H18" s="289"/>
      <c r="I18" s="289"/>
      <c r="J18" s="289"/>
      <c r="K18" s="289"/>
      <c r="L18" s="290"/>
      <c r="M18" s="290"/>
      <c r="N18" s="289"/>
      <c r="O18" s="289"/>
      <c r="P18" s="289"/>
      <c r="Q18" s="367"/>
    </row>
    <row r="19" spans="1:23" ht="12" customHeight="1">
      <c r="A19" s="365"/>
      <c r="B19" s="366"/>
      <c r="C19" s="288" t="s">
        <v>158</v>
      </c>
      <c r="D19" s="288"/>
      <c r="E19" s="288"/>
      <c r="F19" s="287" t="s">
        <v>1</v>
      </c>
      <c r="G19" s="287"/>
      <c r="H19" s="287"/>
      <c r="I19" s="287" t="s">
        <v>159</v>
      </c>
      <c r="J19" s="287"/>
      <c r="K19" s="287"/>
      <c r="L19" s="287" t="s">
        <v>2</v>
      </c>
      <c r="M19" s="287"/>
      <c r="N19" s="287"/>
      <c r="O19" s="287" t="s">
        <v>160</v>
      </c>
      <c r="P19" s="287"/>
      <c r="Q19" s="368"/>
    </row>
    <row r="20" spans="1:23" s="87" customFormat="1" ht="12" customHeight="1">
      <c r="A20" s="369"/>
      <c r="B20" s="286"/>
      <c r="C20" s="284" t="s">
        <v>348</v>
      </c>
      <c r="D20" s="284" t="s">
        <v>161</v>
      </c>
      <c r="E20" s="284" t="s">
        <v>347</v>
      </c>
      <c r="F20" s="284" t="str">
        <f t="shared" ref="F20:M20" si="7">C20</f>
        <v>12A</v>
      </c>
      <c r="G20" s="284" t="str">
        <f t="shared" si="7"/>
        <v>LTM</v>
      </c>
      <c r="H20" s="285" t="str">
        <f t="shared" si="7"/>
        <v>13E</v>
      </c>
      <c r="I20" s="284" t="str">
        <f t="shared" si="7"/>
        <v>12A</v>
      </c>
      <c r="J20" s="284" t="str">
        <f t="shared" si="7"/>
        <v>LTM</v>
      </c>
      <c r="K20" s="285" t="str">
        <f t="shared" si="7"/>
        <v>13E</v>
      </c>
      <c r="L20" s="284" t="str">
        <f t="shared" si="7"/>
        <v>12A</v>
      </c>
      <c r="M20" s="284" t="str">
        <f t="shared" si="7"/>
        <v>LTM</v>
      </c>
      <c r="N20" s="285" t="str">
        <f>E20</f>
        <v>13E</v>
      </c>
      <c r="O20" s="284" t="str">
        <f>L20</f>
        <v>12A</v>
      </c>
      <c r="P20" s="284" t="str">
        <f>M20</f>
        <v>LTM</v>
      </c>
      <c r="Q20" s="317" t="str">
        <f>E20</f>
        <v>13E</v>
      </c>
    </row>
    <row r="21" spans="1:23" ht="12" customHeight="1">
      <c r="A21" s="370"/>
      <c r="B21" s="283" t="s">
        <v>152</v>
      </c>
      <c r="C21" s="282" t="s">
        <v>153</v>
      </c>
      <c r="D21" s="282" t="s">
        <v>153</v>
      </c>
      <c r="E21" s="282" t="s">
        <v>153</v>
      </c>
      <c r="F21" s="282" t="s">
        <v>153</v>
      </c>
      <c r="G21" s="282" t="s">
        <v>153</v>
      </c>
      <c r="H21" s="282" t="s">
        <v>153</v>
      </c>
      <c r="I21" s="282" t="s">
        <v>153</v>
      </c>
      <c r="J21" s="282" t="s">
        <v>153</v>
      </c>
      <c r="K21" s="282" t="s">
        <v>153</v>
      </c>
      <c r="L21" s="282" t="s">
        <v>153</v>
      </c>
      <c r="M21" s="282" t="s">
        <v>153</v>
      </c>
      <c r="N21" s="282" t="s">
        <v>153</v>
      </c>
      <c r="O21" s="282" t="s">
        <v>170</v>
      </c>
      <c r="P21" s="282" t="s">
        <v>170</v>
      </c>
      <c r="Q21" s="314" t="s">
        <v>170</v>
      </c>
    </row>
    <row r="22" spans="1:23" ht="20.100000000000001" customHeight="1">
      <c r="A22" s="356"/>
      <c r="B22" s="281" t="s">
        <v>294</v>
      </c>
      <c r="C22" s="470">
        <f>'Wal-Mart Comp'!F11</f>
        <v>446950</v>
      </c>
      <c r="D22" s="470">
        <f>'Wal-Mart Comp'!I11</f>
        <v>460709</v>
      </c>
      <c r="E22" s="470">
        <f>'Wal-Mart Comp'!J11</f>
        <v>473767</v>
      </c>
      <c r="F22" s="469">
        <f>'Wal-Mart Comp'!F26</f>
        <v>26558</v>
      </c>
      <c r="G22" s="469">
        <f>'Wal-Mart Comp'!I26</f>
        <v>27364</v>
      </c>
      <c r="H22" s="469">
        <f>'Wal-Mart Comp'!J26</f>
        <v>27888.395742857152</v>
      </c>
      <c r="I22" s="469">
        <f>'Wal-Mart Comp'!F24</f>
        <v>8130</v>
      </c>
      <c r="J22" s="469">
        <f>'Wal-Mart Comp'!I24</f>
        <v>8457</v>
      </c>
      <c r="K22" s="469">
        <f>'Wal-Mart Comp'!J24</f>
        <v>8591.6632571428563</v>
      </c>
      <c r="L22" s="280">
        <f>'Wal-Mart Comp'!F22</f>
        <v>34688</v>
      </c>
      <c r="M22" s="280">
        <f>'Wal-Mart Comp'!I22</f>
        <v>35821</v>
      </c>
      <c r="N22" s="280">
        <f>'Wal-Mart Comp'!J22</f>
        <v>36480.059000000008</v>
      </c>
      <c r="O22" s="279">
        <f>'Wal-Mart Comp'!F54</f>
        <v>4.5382843983880257</v>
      </c>
      <c r="P22" s="279">
        <f>'Wal-Mart Comp'!I54</f>
        <v>4.7957622130665101</v>
      </c>
      <c r="Q22" s="360">
        <f ca="1">'Wal-Mart Comp'!J54</f>
        <v>4.8994512513257291</v>
      </c>
      <c r="R22"/>
      <c r="S22"/>
      <c r="T22"/>
      <c r="U22"/>
      <c r="V22"/>
      <c r="W22"/>
    </row>
    <row r="23" spans="1:23" ht="20.100000000000001" customHeight="1">
      <c r="A23" s="361"/>
      <c r="B23" s="340" t="s">
        <v>169</v>
      </c>
      <c r="C23" s="341">
        <f>'Costco Comp'!N11</f>
        <v>93097.142857142841</v>
      </c>
      <c r="D23" s="341">
        <f>'Costco Comp'!O11</f>
        <v>97247.09663865545</v>
      </c>
      <c r="E23" s="341">
        <f>'Costco Comp'!P11</f>
        <v>105680.042</v>
      </c>
      <c r="F23" s="341">
        <f>'Costco Comp'!N26</f>
        <v>2538.8571428571258</v>
      </c>
      <c r="G23" s="341">
        <f>'Costco Comp'!O26</f>
        <v>2723.4768907562902</v>
      </c>
      <c r="H23" s="341">
        <f>'Costco Comp'!P26</f>
        <v>2980.5360000000019</v>
      </c>
      <c r="I23" s="468">
        <f>'Costco Comp'!N24</f>
        <v>881</v>
      </c>
      <c r="J23" s="468">
        <f>'Costco Comp'!O24</f>
        <v>895.27521008403357</v>
      </c>
      <c r="K23" s="468">
        <f>'Costco Comp'!P24</f>
        <v>967.92800000000011</v>
      </c>
      <c r="L23" s="468">
        <f>'Costco Comp'!N22</f>
        <v>3419.8571428571258</v>
      </c>
      <c r="M23" s="468">
        <f>'Costco Comp'!O22</f>
        <v>3618.7521008403237</v>
      </c>
      <c r="N23" s="468">
        <f>'Costco Comp'!P22</f>
        <v>3948.4640000000018</v>
      </c>
      <c r="O23" s="342">
        <f>'Costco Comp'!N54</f>
        <v>3.4916558521081984</v>
      </c>
      <c r="P23" s="342">
        <f>'Costco Comp'!O54</f>
        <v>3.8285253875784813</v>
      </c>
      <c r="Q23" s="362">
        <f ca="1">'Costco Comp'!P54</f>
        <v>4.2044765130800936</v>
      </c>
    </row>
    <row r="24" spans="1:23" ht="20.100000000000001" customHeight="1">
      <c r="A24" s="359"/>
      <c r="B24" s="343" t="s">
        <v>311</v>
      </c>
      <c r="C24" s="344">
        <f>'Target Comp'!F11</f>
        <v>69865</v>
      </c>
      <c r="D24" s="344">
        <f>'Target Comp'!I11</f>
        <v>71336</v>
      </c>
      <c r="E24" s="344">
        <f>'Target Comp'!J11</f>
        <v>73358.25</v>
      </c>
      <c r="F24" s="344">
        <f>'Target Comp'!F30</f>
        <v>5322</v>
      </c>
      <c r="G24" s="344">
        <f>'Target Comp'!I30</f>
        <v>5298</v>
      </c>
      <c r="H24" s="344">
        <f>'Target Comp'!J30</f>
        <v>5472.5538553225706</v>
      </c>
      <c r="I24" s="344">
        <f>'Target Comp'!F28</f>
        <v>2131</v>
      </c>
      <c r="J24" s="344">
        <f>'Target Comp'!I28</f>
        <v>2170</v>
      </c>
      <c r="K24" s="344">
        <f>'Target Comp'!J28</f>
        <v>2231.5156793203992</v>
      </c>
      <c r="L24" s="345">
        <f>'Target Comp'!F26</f>
        <v>7453</v>
      </c>
      <c r="M24" s="345">
        <f>'Target Comp'!I26</f>
        <v>7468</v>
      </c>
      <c r="N24" s="345">
        <f>'Target Comp'!J26</f>
        <v>7704.0695346429693</v>
      </c>
      <c r="O24" s="346">
        <f>'Target Comp'!F44</f>
        <v>4.2827898815616319</v>
      </c>
      <c r="P24" s="346">
        <f>'Target Comp'!I44</f>
        <v>4.4305325086740082</v>
      </c>
      <c r="Q24" s="363">
        <f>'Target Comp'!J44</f>
        <v>4.6139895071040655</v>
      </c>
    </row>
    <row r="25" spans="1:23" ht="20.100000000000001" customHeight="1">
      <c r="A25" s="359"/>
      <c r="B25" s="343" t="s">
        <v>316</v>
      </c>
      <c r="C25" s="344">
        <f>'Dollar General'!F9</f>
        <v>14807.188</v>
      </c>
      <c r="D25" s="344">
        <f>'Dollar General'!K9</f>
        <v>15630.157000000003</v>
      </c>
      <c r="E25" s="344">
        <f>'Dollar General'!L9</f>
        <v>17505.775840000006</v>
      </c>
      <c r="F25" s="344">
        <f>'Dollar General'!F24</f>
        <v>1490.8039999999996</v>
      </c>
      <c r="G25" s="344">
        <f>'Dollar General'!K24</f>
        <v>1590.6950000000006</v>
      </c>
      <c r="H25" s="344">
        <f>'Dollar General'!L24</f>
        <v>1781.5784000000001</v>
      </c>
      <c r="I25" s="344">
        <f>'Dollar General'!F22</f>
        <v>275.40800000000002</v>
      </c>
      <c r="J25" s="344">
        <f>'Dollar General'!K22</f>
        <v>285.79700000000003</v>
      </c>
      <c r="K25" s="344">
        <f>'Dollar General'!L22</f>
        <v>320.09264000000007</v>
      </c>
      <c r="L25" s="345">
        <f>'Dollar General'!F20</f>
        <v>1766.2119999999995</v>
      </c>
      <c r="M25" s="345">
        <f>'Dollar General'!K20</f>
        <v>1876.4920000000006</v>
      </c>
      <c r="N25" s="345">
        <f>'Dollar General'!L20</f>
        <v>2101.6710400000002</v>
      </c>
      <c r="O25" s="346">
        <f>'Dollar General'!F52</f>
        <v>2.3314205838821045</v>
      </c>
      <c r="P25" s="346">
        <f>'Dollar General'!K52</f>
        <v>2.7106753184692551</v>
      </c>
      <c r="Q25" s="363">
        <f>'Dollar General'!L52</f>
        <v>3.0642054334694868</v>
      </c>
    </row>
    <row r="26" spans="1:23" ht="20.100000000000001" customHeight="1">
      <c r="A26" s="359"/>
      <c r="B26" s="343" t="s">
        <v>337</v>
      </c>
      <c r="C26" s="344">
        <f>'Dollar Tree'!G7</f>
        <v>6630.5</v>
      </c>
      <c r="D26" s="344">
        <f>'Dollar Tree'!J7</f>
        <v>6970.4000000000015</v>
      </c>
      <c r="E26" s="344">
        <f>'Dollar Tree'!K7</f>
        <v>7293.55</v>
      </c>
      <c r="F26" s="344">
        <f>'Dollar Tree'!G21</f>
        <v>782.10000000000025</v>
      </c>
      <c r="G26" s="344">
        <f>'Dollar Tree'!J21</f>
        <v>839.30000000000121</v>
      </c>
      <c r="H26" s="344">
        <f>'Dollar Tree'!K21</f>
        <v>878.2102196430634</v>
      </c>
      <c r="I26" s="344">
        <f>'Dollar Tree'!G18</f>
        <v>163.9</v>
      </c>
      <c r="J26" s="344">
        <f>'Dollar Tree'!J18</f>
        <v>169.89999999999998</v>
      </c>
      <c r="K26" s="344">
        <f>'Dollar Tree'!K18</f>
        <v>177.77661898886717</v>
      </c>
      <c r="L26" s="345">
        <f>'Dollar Tree'!G15</f>
        <v>946.00000000000023</v>
      </c>
      <c r="M26" s="345">
        <f>'Dollar Tree'!J15</f>
        <v>1009.2000000000012</v>
      </c>
      <c r="N26" s="345">
        <f>'Dollar Tree'!K15</f>
        <v>1055.9868386319306</v>
      </c>
      <c r="O26" s="346">
        <f>'Dollar Tree'!G37</f>
        <v>4.0288778877887799</v>
      </c>
      <c r="P26" s="346">
        <f>'Dollar Tree'!J37</f>
        <v>2.3417511852776518</v>
      </c>
      <c r="Q26" s="363">
        <f>'Dollar Tree'!K37</f>
        <v>2.4734284296765976</v>
      </c>
    </row>
    <row r="27" spans="1:23" ht="20.100000000000001" customHeight="1">
      <c r="A27" s="766"/>
      <c r="B27" s="767" t="s">
        <v>344</v>
      </c>
      <c r="C27" s="773">
        <f>'Family Dollar Store'!N9</f>
        <v>8829.4923333333318</v>
      </c>
      <c r="D27" s="773">
        <f>'Family Dollar Store'!O9</f>
        <v>9265.7408333333333</v>
      </c>
      <c r="E27" s="773">
        <f>'Family Dollar Store'!P9</f>
        <v>10264.1055</v>
      </c>
      <c r="F27" s="773">
        <f>'Family Dollar Store'!N24</f>
        <v>665.24199999999792</v>
      </c>
      <c r="G27" s="773">
        <f>'Family Dollar Store'!O24</f>
        <v>683.93191666666632</v>
      </c>
      <c r="H27" s="773">
        <f>'Family Dollar Store'!P24</f>
        <v>763.64944919999994</v>
      </c>
      <c r="I27" s="773">
        <f>'Family Dollar Store'!N22</f>
        <v>191.51600000000002</v>
      </c>
      <c r="J27" s="773">
        <f>'Family Dollar Store'!O22</f>
        <v>208.39025000000001</v>
      </c>
      <c r="K27" s="773">
        <f>'Family Dollar Store'!P22</f>
        <v>231.96878429999998</v>
      </c>
      <c r="L27" s="774">
        <f>'Family Dollar Store'!N20</f>
        <v>856.75799999999799</v>
      </c>
      <c r="M27" s="774">
        <f>'Family Dollar Store'!O20</f>
        <v>892.32216666666636</v>
      </c>
      <c r="N27" s="774">
        <f>'Family Dollar Store'!P20</f>
        <v>995.61823349999986</v>
      </c>
      <c r="O27" s="775">
        <f>'Family Dollar Store'!N37</f>
        <v>3.4178474576271007</v>
      </c>
      <c r="P27" s="775">
        <f>'Family Dollar Store'!O37</f>
        <v>3.5526923207237093</v>
      </c>
      <c r="Q27" s="776">
        <f>'Family Dollar Store'!P37</f>
        <v>4.092817506261512</v>
      </c>
    </row>
  </sheetData>
  <mergeCells count="2">
    <mergeCell ref="C4:C6"/>
    <mergeCell ref="D4:D6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Income Statement</vt:lpstr>
      <vt:lpstr>Cash Flow Statement</vt:lpstr>
      <vt:lpstr>Balance Sheet</vt:lpstr>
      <vt:lpstr>Depreciation</vt:lpstr>
      <vt:lpstr>Operating Working Capital</vt:lpstr>
      <vt:lpstr>Debt Schedule</vt:lpstr>
      <vt:lpstr>---&gt; Valuation</vt:lpstr>
      <vt:lpstr>DCF Analysis</vt:lpstr>
      <vt:lpstr>Comparable Companies</vt:lpstr>
      <vt:lpstr>Costco Comp</vt:lpstr>
      <vt:lpstr>Wal-Mart Comp</vt:lpstr>
      <vt:lpstr>Target Comp</vt:lpstr>
      <vt:lpstr>Dollar General</vt:lpstr>
      <vt:lpstr>Dollar Tree</vt:lpstr>
      <vt:lpstr>Family Dollar Store</vt:lpstr>
      <vt:lpstr>Precedent Transactions</vt:lpstr>
      <vt:lpstr>A&amp;P - Pathmark</vt:lpstr>
      <vt:lpstr>WFM - Wild Oats</vt:lpstr>
      <vt:lpstr>Football field</vt:lpstr>
      <vt:lpstr>M_to_MM</vt:lpstr>
      <vt:lpstr>'Balance Sheet'!Print_Area</vt:lpstr>
      <vt:lpstr>'Cash Flow Statement'!Print_Area</vt:lpstr>
      <vt:lpstr>'Comparable Companies'!Print_Area</vt:lpstr>
      <vt:lpstr>'Costco Comp'!Print_Area</vt:lpstr>
      <vt:lpstr>'Debt Schedule'!Print_Area</vt:lpstr>
      <vt:lpstr>Depreciation!Print_Area</vt:lpstr>
      <vt:lpstr>'Dollar Tree'!Print_Area</vt:lpstr>
      <vt:lpstr>'Football field'!Print_Area</vt:lpstr>
      <vt:lpstr>'Income Statement'!Print_Area</vt:lpstr>
      <vt:lpstr>'Operating Working Capital'!Print_Area</vt:lpstr>
      <vt:lpstr>'Precedent Transactions'!Print_Area</vt:lpstr>
      <vt:lpstr>'Target Comp'!Print_Area</vt:lpstr>
      <vt:lpstr>'Wal-Mart Comp'!Print_Area</vt:lpstr>
      <vt:lpstr>'Costco Comp'!Print_Titles</vt:lpstr>
      <vt:lpstr>'Dollar Tree'!Print_Titles</vt:lpstr>
      <vt:lpstr>'Income Statement'!Print_Titles</vt:lpstr>
      <vt:lpstr>'Target Comp'!Print_Titles</vt:lpstr>
      <vt:lpstr>'Wal-Mart Comp'!Print_Titles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Paul</cp:lastModifiedBy>
  <dcterms:created xsi:type="dcterms:W3CDTF">2006-06-04T11:56:43Z</dcterms:created>
  <dcterms:modified xsi:type="dcterms:W3CDTF">2013-06-18T15:49:25Z</dcterms:modified>
</cp:coreProperties>
</file>