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wcfo-my.sharepoint.com/personal/shawn_dinkelman_nowcfo_com/Documents/Journey Team/Data Loads/QBO Trial Balances/"/>
    </mc:Choice>
  </mc:AlternateContent>
  <xr:revisionPtr revIDLastSave="0" documentId="8_{5EE0CDA9-9574-4746-A570-5DA35AF43492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Trial Bal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7" i="1" l="1"/>
  <c r="AE97" i="1"/>
  <c r="AD97" i="1"/>
  <c r="AC97" i="1"/>
  <c r="AB97" i="1"/>
  <c r="Y97" i="1"/>
  <c r="X97" i="1"/>
  <c r="V97" i="1"/>
  <c r="S97" i="1"/>
  <c r="U97" i="1" s="1"/>
  <c r="P97" i="1"/>
  <c r="R97" i="1" s="1"/>
  <c r="T97" i="1" s="1"/>
  <c r="N97" i="1"/>
  <c r="L97" i="1"/>
  <c r="J97" i="1"/>
  <c r="G97" i="1"/>
  <c r="I97" i="1" s="1"/>
  <c r="E97" i="1"/>
  <c r="D97" i="1"/>
  <c r="F97" i="1" s="1"/>
  <c r="H97" i="1" s="1"/>
  <c r="AC96" i="1"/>
  <c r="AE96" i="1" s="1"/>
  <c r="AG96" i="1" s="1"/>
  <c r="AB96" i="1"/>
  <c r="AD96" i="1" s="1"/>
  <c r="AF96" i="1" s="1"/>
  <c r="Y96" i="1"/>
  <c r="X96" i="1"/>
  <c r="W96" i="1"/>
  <c r="V96" i="1"/>
  <c r="T96" i="1"/>
  <c r="K96" i="1"/>
  <c r="M96" i="1" s="1"/>
  <c r="O96" i="1" s="1"/>
  <c r="Q96" i="1" s="1"/>
  <c r="S96" i="1" s="1"/>
  <c r="H96" i="1"/>
  <c r="J96" i="1" s="1"/>
  <c r="L96" i="1" s="1"/>
  <c r="N96" i="1" s="1"/>
  <c r="P96" i="1" s="1"/>
  <c r="R96" i="1" s="1"/>
  <c r="G96" i="1"/>
  <c r="F96" i="1"/>
  <c r="E96" i="1"/>
  <c r="D96" i="1"/>
  <c r="B96" i="1"/>
  <c r="AF95" i="1"/>
  <c r="AD95" i="1"/>
  <c r="AC95" i="1"/>
  <c r="AB95" i="1"/>
  <c r="E95" i="1"/>
  <c r="G95" i="1" s="1"/>
  <c r="I95" i="1" s="1"/>
  <c r="K95" i="1" s="1"/>
  <c r="M95" i="1" s="1"/>
  <c r="O95" i="1" s="1"/>
  <c r="Q95" i="1" s="1"/>
  <c r="S95" i="1" s="1"/>
  <c r="U95" i="1" s="1"/>
  <c r="W95" i="1" s="1"/>
  <c r="Y95" i="1" s="1"/>
  <c r="D95" i="1"/>
  <c r="F95" i="1" s="1"/>
  <c r="H95" i="1" s="1"/>
  <c r="J95" i="1" s="1"/>
  <c r="L95" i="1" s="1"/>
  <c r="N95" i="1" s="1"/>
  <c r="P95" i="1" s="1"/>
  <c r="R95" i="1" s="1"/>
  <c r="T95" i="1" s="1"/>
  <c r="V95" i="1" s="1"/>
  <c r="X95" i="1" s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F93" i="1"/>
  <c r="AE93" i="1"/>
  <c r="AG93" i="1" s="1"/>
  <c r="AD93" i="1"/>
  <c r="AC93" i="1"/>
  <c r="AB93" i="1"/>
  <c r="Y93" i="1"/>
  <c r="X93" i="1"/>
  <c r="V93" i="1"/>
  <c r="G93" i="1"/>
  <c r="I93" i="1" s="1"/>
  <c r="K93" i="1" s="1"/>
  <c r="M93" i="1" s="1"/>
  <c r="O93" i="1" s="1"/>
  <c r="Q93" i="1" s="1"/>
  <c r="S93" i="1" s="1"/>
  <c r="U93" i="1" s="1"/>
  <c r="E93" i="1"/>
  <c r="D93" i="1"/>
  <c r="F93" i="1" s="1"/>
  <c r="H93" i="1" s="1"/>
  <c r="J93" i="1" s="1"/>
  <c r="L93" i="1" s="1"/>
  <c r="N93" i="1" s="1"/>
  <c r="P93" i="1" s="1"/>
  <c r="R93" i="1" s="1"/>
  <c r="T93" i="1" s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F91" i="1"/>
  <c r="AD91" i="1"/>
  <c r="AC91" i="1"/>
  <c r="AB91" i="1"/>
  <c r="W91" i="1"/>
  <c r="Y91" i="1" s="1"/>
  <c r="V91" i="1"/>
  <c r="X91" i="1" s="1"/>
  <c r="T91" i="1"/>
  <c r="S91" i="1"/>
  <c r="P91" i="1"/>
  <c r="R91" i="1" s="1"/>
  <c r="E91" i="1"/>
  <c r="G91" i="1" s="1"/>
  <c r="I91" i="1" s="1"/>
  <c r="K91" i="1" s="1"/>
  <c r="M91" i="1" s="1"/>
  <c r="O91" i="1" s="1"/>
  <c r="D91" i="1"/>
  <c r="F91" i="1" s="1"/>
  <c r="H91" i="1" s="1"/>
  <c r="J91" i="1" s="1"/>
  <c r="L91" i="1" s="1"/>
  <c r="N91" i="1" s="1"/>
  <c r="B91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G86" i="1"/>
  <c r="AD86" i="1"/>
  <c r="AF86" i="1" s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G81" i="1"/>
  <c r="AD81" i="1"/>
  <c r="AF81" i="1" s="1"/>
  <c r="AB81" i="1"/>
  <c r="Z81" i="1"/>
  <c r="X81" i="1"/>
  <c r="W81" i="1"/>
  <c r="U81" i="1"/>
  <c r="T81" i="1"/>
  <c r="V81" i="1" s="1"/>
  <c r="R81" i="1"/>
  <c r="P81" i="1"/>
  <c r="N81" i="1"/>
  <c r="L81" i="1"/>
  <c r="J81" i="1"/>
  <c r="H81" i="1"/>
  <c r="F81" i="1"/>
  <c r="D81" i="1"/>
  <c r="B81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G79" i="1"/>
  <c r="AC79" i="1"/>
  <c r="AE79" i="1" s="1"/>
  <c r="AB79" i="1"/>
  <c r="AD79" i="1" s="1"/>
  <c r="E79" i="1"/>
  <c r="G79" i="1" s="1"/>
  <c r="I79" i="1" s="1"/>
  <c r="K79" i="1" s="1"/>
  <c r="M79" i="1" s="1"/>
  <c r="O79" i="1" s="1"/>
  <c r="Q79" i="1" s="1"/>
  <c r="S79" i="1" s="1"/>
  <c r="U79" i="1" s="1"/>
  <c r="W79" i="1" s="1"/>
  <c r="Y79" i="1" s="1"/>
  <c r="D79" i="1"/>
  <c r="F79" i="1" s="1"/>
  <c r="H79" i="1" s="1"/>
  <c r="J79" i="1" s="1"/>
  <c r="L79" i="1" s="1"/>
  <c r="N79" i="1" s="1"/>
  <c r="P79" i="1" s="1"/>
  <c r="R79" i="1" s="1"/>
  <c r="T79" i="1" s="1"/>
  <c r="V79" i="1" s="1"/>
  <c r="X79" i="1" s="1"/>
  <c r="AF78" i="1"/>
  <c r="AD78" i="1"/>
  <c r="AC78" i="1"/>
  <c r="AE78" i="1" s="1"/>
  <c r="AG78" i="1" s="1"/>
  <c r="AB78" i="1"/>
  <c r="X78" i="1"/>
  <c r="W78" i="1"/>
  <c r="Y78" i="1" s="1"/>
  <c r="F78" i="1"/>
  <c r="H78" i="1" s="1"/>
  <c r="J78" i="1" s="1"/>
  <c r="L78" i="1" s="1"/>
  <c r="N78" i="1" s="1"/>
  <c r="P78" i="1" s="1"/>
  <c r="R78" i="1" s="1"/>
  <c r="T78" i="1" s="1"/>
  <c r="E78" i="1"/>
  <c r="G78" i="1" s="1"/>
  <c r="I78" i="1" s="1"/>
  <c r="K78" i="1" s="1"/>
  <c r="M78" i="1" s="1"/>
  <c r="O78" i="1" s="1"/>
  <c r="Q78" i="1" s="1"/>
  <c r="S78" i="1" s="1"/>
  <c r="U78" i="1" s="1"/>
  <c r="C78" i="1"/>
  <c r="AF77" i="1"/>
  <c r="AD77" i="1"/>
  <c r="AB77" i="1"/>
  <c r="Z77" i="1"/>
  <c r="X77" i="1"/>
  <c r="I77" i="1"/>
  <c r="K77" i="1" s="1"/>
  <c r="M77" i="1" s="1"/>
  <c r="O77" i="1" s="1"/>
  <c r="Q77" i="1" s="1"/>
  <c r="S77" i="1" s="1"/>
  <c r="U77" i="1" s="1"/>
  <c r="W77" i="1" s="1"/>
  <c r="H77" i="1"/>
  <c r="J77" i="1" s="1"/>
  <c r="L77" i="1" s="1"/>
  <c r="N77" i="1" s="1"/>
  <c r="P77" i="1" s="1"/>
  <c r="R77" i="1" s="1"/>
  <c r="T77" i="1" s="1"/>
  <c r="V77" i="1" s="1"/>
  <c r="G77" i="1"/>
  <c r="F77" i="1"/>
  <c r="E77" i="1"/>
  <c r="D77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C75" i="1"/>
  <c r="AE75" i="1" s="1"/>
  <c r="AG75" i="1" s="1"/>
  <c r="AB75" i="1"/>
  <c r="AD75" i="1" s="1"/>
  <c r="AF75" i="1" s="1"/>
  <c r="U75" i="1"/>
  <c r="W75" i="1" s="1"/>
  <c r="Y75" i="1" s="1"/>
  <c r="T75" i="1"/>
  <c r="V75" i="1" s="1"/>
  <c r="X75" i="1" s="1"/>
  <c r="S75" i="1"/>
  <c r="R75" i="1"/>
  <c r="P75" i="1"/>
  <c r="N75" i="1"/>
  <c r="L75" i="1"/>
  <c r="J75" i="1"/>
  <c r="I75" i="1"/>
  <c r="K75" i="1" s="1"/>
  <c r="F75" i="1"/>
  <c r="D75" i="1"/>
  <c r="AC74" i="1"/>
  <c r="AE74" i="1" s="1"/>
  <c r="AG74" i="1" s="1"/>
  <c r="AB74" i="1"/>
  <c r="AD74" i="1" s="1"/>
  <c r="AF74" i="1" s="1"/>
  <c r="J74" i="1"/>
  <c r="L74" i="1" s="1"/>
  <c r="N74" i="1" s="1"/>
  <c r="P74" i="1" s="1"/>
  <c r="R74" i="1" s="1"/>
  <c r="T74" i="1" s="1"/>
  <c r="V74" i="1" s="1"/>
  <c r="X74" i="1" s="1"/>
  <c r="H74" i="1"/>
  <c r="F74" i="1"/>
  <c r="E74" i="1"/>
  <c r="G74" i="1" s="1"/>
  <c r="I74" i="1" s="1"/>
  <c r="K74" i="1" s="1"/>
  <c r="M74" i="1" s="1"/>
  <c r="O74" i="1" s="1"/>
  <c r="Q74" i="1" s="1"/>
  <c r="S74" i="1" s="1"/>
  <c r="U74" i="1" s="1"/>
  <c r="W74" i="1" s="1"/>
  <c r="Y74" i="1" s="1"/>
  <c r="D74" i="1"/>
  <c r="B74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F72" i="1"/>
  <c r="AD72" i="1"/>
  <c r="AC72" i="1"/>
  <c r="Z72" i="1"/>
  <c r="AB72" i="1" s="1"/>
  <c r="X72" i="1"/>
  <c r="V72" i="1"/>
  <c r="T72" i="1"/>
  <c r="R72" i="1"/>
  <c r="P72" i="1"/>
  <c r="N72" i="1"/>
  <c r="L72" i="1"/>
  <c r="K72" i="1"/>
  <c r="J72" i="1"/>
  <c r="H72" i="1"/>
  <c r="F72" i="1"/>
  <c r="D72" i="1"/>
  <c r="B72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G70" i="1"/>
  <c r="AD70" i="1"/>
  <c r="AF70" i="1" s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G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F61" i="1"/>
  <c r="AE61" i="1"/>
  <c r="AG61" i="1" s="1"/>
  <c r="AC61" i="1"/>
  <c r="AB61" i="1"/>
  <c r="K61" i="1"/>
  <c r="M61" i="1" s="1"/>
  <c r="O61" i="1" s="1"/>
  <c r="Q61" i="1" s="1"/>
  <c r="S61" i="1" s="1"/>
  <c r="U61" i="1" s="1"/>
  <c r="W61" i="1" s="1"/>
  <c r="Y61" i="1" s="1"/>
  <c r="J61" i="1"/>
  <c r="L61" i="1" s="1"/>
  <c r="N61" i="1" s="1"/>
  <c r="P61" i="1" s="1"/>
  <c r="R61" i="1" s="1"/>
  <c r="T61" i="1" s="1"/>
  <c r="V61" i="1" s="1"/>
  <c r="X61" i="1" s="1"/>
  <c r="I61" i="1"/>
  <c r="H61" i="1"/>
  <c r="G61" i="1"/>
  <c r="E61" i="1"/>
  <c r="D61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C60" i="1"/>
  <c r="AE59" i="1"/>
  <c r="AG59" i="1" s="1"/>
  <c r="AD59" i="1"/>
  <c r="AF59" i="1" s="1"/>
  <c r="AB59" i="1"/>
  <c r="Z59" i="1"/>
  <c r="Y59" i="1"/>
  <c r="V59" i="1"/>
  <c r="X59" i="1" s="1"/>
  <c r="U59" i="1"/>
  <c r="T59" i="1"/>
  <c r="S59" i="1"/>
  <c r="R59" i="1"/>
  <c r="P59" i="1"/>
  <c r="N59" i="1"/>
  <c r="L59" i="1"/>
  <c r="J59" i="1"/>
  <c r="H59" i="1"/>
  <c r="F59" i="1"/>
  <c r="D59" i="1"/>
  <c r="AF58" i="1"/>
  <c r="AE58" i="1"/>
  <c r="AG58" i="1" s="1"/>
  <c r="AC58" i="1"/>
  <c r="AA58" i="1"/>
  <c r="O58" i="1"/>
  <c r="Q58" i="1" s="1"/>
  <c r="S58" i="1" s="1"/>
  <c r="U58" i="1" s="1"/>
  <c r="W58" i="1" s="1"/>
  <c r="Y58" i="1" s="1"/>
  <c r="N58" i="1"/>
  <c r="P58" i="1" s="1"/>
  <c r="R58" i="1" s="1"/>
  <c r="T58" i="1" s="1"/>
  <c r="V58" i="1" s="1"/>
  <c r="X58" i="1" s="1"/>
  <c r="M58" i="1"/>
  <c r="K58" i="1"/>
  <c r="H58" i="1"/>
  <c r="G58" i="1"/>
  <c r="I58" i="1" s="1"/>
  <c r="E58" i="1"/>
  <c r="D58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C57" i="1"/>
  <c r="AG56" i="1"/>
  <c r="AE56" i="1"/>
  <c r="AC56" i="1"/>
  <c r="Z56" i="1"/>
  <c r="Y56" i="1"/>
  <c r="W56" i="1"/>
  <c r="U56" i="1"/>
  <c r="S56" i="1"/>
  <c r="Q56" i="1"/>
  <c r="O56" i="1"/>
  <c r="M56" i="1"/>
  <c r="K56" i="1"/>
  <c r="I56" i="1"/>
  <c r="G56" i="1"/>
  <c r="E56" i="1"/>
  <c r="C56" i="1"/>
  <c r="AG55" i="1"/>
  <c r="AE55" i="1"/>
  <c r="AD55" i="1"/>
  <c r="AF55" i="1" s="1"/>
  <c r="AC55" i="1"/>
  <c r="AB55" i="1"/>
  <c r="R55" i="1"/>
  <c r="T55" i="1" s="1"/>
  <c r="V55" i="1" s="1"/>
  <c r="X55" i="1" s="1"/>
  <c r="Q55" i="1"/>
  <c r="S55" i="1" s="1"/>
  <c r="U55" i="1" s="1"/>
  <c r="W55" i="1" s="1"/>
  <c r="Y55" i="1" s="1"/>
  <c r="P55" i="1"/>
  <c r="O55" i="1"/>
  <c r="H55" i="1"/>
  <c r="J55" i="1" s="1"/>
  <c r="L55" i="1" s="1"/>
  <c r="G55" i="1"/>
  <c r="I55" i="1" s="1"/>
  <c r="K55" i="1" s="1"/>
  <c r="M55" i="1" s="1"/>
  <c r="E55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C54" i="1"/>
  <c r="AC53" i="1"/>
  <c r="AE53" i="1" s="1"/>
  <c r="AG53" i="1" s="1"/>
  <c r="AB53" i="1"/>
  <c r="AD53" i="1" s="1"/>
  <c r="AF53" i="1" s="1"/>
  <c r="Y53" i="1"/>
  <c r="I53" i="1"/>
  <c r="K53" i="1" s="1"/>
  <c r="M53" i="1" s="1"/>
  <c r="O53" i="1" s="1"/>
  <c r="Q53" i="1" s="1"/>
  <c r="S53" i="1" s="1"/>
  <c r="U53" i="1" s="1"/>
  <c r="W53" i="1" s="1"/>
  <c r="G53" i="1"/>
  <c r="E53" i="1"/>
  <c r="D53" i="1"/>
  <c r="F53" i="1" s="1"/>
  <c r="H53" i="1" s="1"/>
  <c r="J53" i="1" s="1"/>
  <c r="L53" i="1" s="1"/>
  <c r="N53" i="1" s="1"/>
  <c r="P53" i="1" s="1"/>
  <c r="R53" i="1" s="1"/>
  <c r="T53" i="1" s="1"/>
  <c r="V53" i="1" s="1"/>
  <c r="AG52" i="1"/>
  <c r="AC52" i="1"/>
  <c r="AE52" i="1" s="1"/>
  <c r="AB52" i="1"/>
  <c r="AD52" i="1" s="1"/>
  <c r="X52" i="1"/>
  <c r="W52" i="1"/>
  <c r="Y52" i="1" s="1"/>
  <c r="T52" i="1"/>
  <c r="S52" i="1"/>
  <c r="U52" i="1" s="1"/>
  <c r="J52" i="1"/>
  <c r="L52" i="1" s="1"/>
  <c r="N52" i="1" s="1"/>
  <c r="P52" i="1" s="1"/>
  <c r="R52" i="1" s="1"/>
  <c r="H52" i="1"/>
  <c r="G52" i="1"/>
  <c r="I52" i="1" s="1"/>
  <c r="K52" i="1" s="1"/>
  <c r="M52" i="1" s="1"/>
  <c r="O52" i="1" s="1"/>
  <c r="Q52" i="1" s="1"/>
  <c r="E52" i="1"/>
  <c r="D52" i="1"/>
  <c r="AG51" i="1"/>
  <c r="AF51" i="1"/>
  <c r="AE51" i="1"/>
  <c r="AD51" i="1"/>
  <c r="AC51" i="1"/>
  <c r="AA51" i="1"/>
  <c r="Y51" i="1"/>
  <c r="T51" i="1"/>
  <c r="V51" i="1" s="1"/>
  <c r="R51" i="1"/>
  <c r="Q51" i="1"/>
  <c r="S51" i="1" s="1"/>
  <c r="U51" i="1" s="1"/>
  <c r="W51" i="1" s="1"/>
  <c r="O51" i="1"/>
  <c r="M51" i="1"/>
  <c r="J51" i="1"/>
  <c r="H51" i="1"/>
  <c r="G51" i="1"/>
  <c r="E51" i="1"/>
  <c r="C51" i="1"/>
  <c r="AC50" i="1"/>
  <c r="AE50" i="1" s="1"/>
  <c r="AG50" i="1" s="1"/>
  <c r="AB50" i="1"/>
  <c r="AD50" i="1" s="1"/>
  <c r="AF50" i="1" s="1"/>
  <c r="AA50" i="1"/>
  <c r="E50" i="1"/>
  <c r="G50" i="1" s="1"/>
  <c r="I50" i="1" s="1"/>
  <c r="K50" i="1" s="1"/>
  <c r="M50" i="1" s="1"/>
  <c r="O50" i="1" s="1"/>
  <c r="Q50" i="1" s="1"/>
  <c r="S50" i="1" s="1"/>
  <c r="U50" i="1" s="1"/>
  <c r="W50" i="1" s="1"/>
  <c r="Y50" i="1" s="1"/>
  <c r="D50" i="1"/>
  <c r="F50" i="1" s="1"/>
  <c r="H50" i="1" s="1"/>
  <c r="J50" i="1" s="1"/>
  <c r="L50" i="1" s="1"/>
  <c r="N50" i="1" s="1"/>
  <c r="P50" i="1" s="1"/>
  <c r="R50" i="1" s="1"/>
  <c r="T50" i="1" s="1"/>
  <c r="V50" i="1" s="1"/>
  <c r="X50" i="1" s="1"/>
  <c r="C50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T48" i="1"/>
  <c r="V48" i="1" s="1"/>
  <c r="X48" i="1" s="1"/>
  <c r="Z48" i="1" s="1"/>
  <c r="AB48" i="1" s="1"/>
  <c r="AD48" i="1" s="1"/>
  <c r="AF48" i="1" s="1"/>
  <c r="S48" i="1"/>
  <c r="U48" i="1" s="1"/>
  <c r="W48" i="1" s="1"/>
  <c r="Y48" i="1" s="1"/>
  <c r="AA48" i="1" s="1"/>
  <c r="AC48" i="1" s="1"/>
  <c r="AE48" i="1" s="1"/>
  <c r="AG48" i="1" s="1"/>
  <c r="E48" i="1"/>
  <c r="G48" i="1" s="1"/>
  <c r="I48" i="1" s="1"/>
  <c r="K48" i="1" s="1"/>
  <c r="M48" i="1" s="1"/>
  <c r="O48" i="1" s="1"/>
  <c r="Q48" i="1" s="1"/>
  <c r="D48" i="1"/>
  <c r="F48" i="1" s="1"/>
  <c r="H48" i="1" s="1"/>
  <c r="J48" i="1" s="1"/>
  <c r="L48" i="1" s="1"/>
  <c r="N48" i="1" s="1"/>
  <c r="P48" i="1" s="1"/>
  <c r="R48" i="1" s="1"/>
  <c r="B48" i="1"/>
  <c r="D47" i="1"/>
  <c r="F47" i="1" s="1"/>
  <c r="H47" i="1" s="1"/>
  <c r="J47" i="1" s="1"/>
  <c r="L47" i="1" s="1"/>
  <c r="N47" i="1" s="1"/>
  <c r="P47" i="1" s="1"/>
  <c r="R47" i="1" s="1"/>
  <c r="T47" i="1" s="1"/>
  <c r="V47" i="1" s="1"/>
  <c r="X47" i="1" s="1"/>
  <c r="Z47" i="1" s="1"/>
  <c r="AB47" i="1" s="1"/>
  <c r="AD47" i="1" s="1"/>
  <c r="AF47" i="1" s="1"/>
  <c r="C47" i="1"/>
  <c r="E47" i="1" s="1"/>
  <c r="G47" i="1" s="1"/>
  <c r="I47" i="1" s="1"/>
  <c r="K47" i="1" s="1"/>
  <c r="M47" i="1" s="1"/>
  <c r="O47" i="1" s="1"/>
  <c r="Q47" i="1" s="1"/>
  <c r="S47" i="1" s="1"/>
  <c r="U47" i="1" s="1"/>
  <c r="W47" i="1" s="1"/>
  <c r="Y47" i="1" s="1"/>
  <c r="AA47" i="1" s="1"/>
  <c r="AC47" i="1" s="1"/>
  <c r="AE47" i="1" s="1"/>
  <c r="AG47" i="1" s="1"/>
  <c r="AG46" i="1"/>
  <c r="AE46" i="1"/>
  <c r="AC46" i="1"/>
  <c r="AA46" i="1"/>
  <c r="Y46" i="1"/>
  <c r="W46" i="1"/>
  <c r="S46" i="1"/>
  <c r="U46" i="1" s="1"/>
  <c r="R46" i="1"/>
  <c r="T46" i="1" s="1"/>
  <c r="Q46" i="1"/>
  <c r="O46" i="1"/>
  <c r="L46" i="1"/>
  <c r="K46" i="1"/>
  <c r="M46" i="1" s="1"/>
  <c r="I46" i="1"/>
  <c r="G46" i="1"/>
  <c r="E46" i="1"/>
  <c r="C46" i="1"/>
  <c r="AG45" i="1"/>
  <c r="AE45" i="1"/>
  <c r="AC45" i="1"/>
  <c r="AA45" i="1"/>
  <c r="Y45" i="1"/>
  <c r="O45" i="1"/>
  <c r="Q45" i="1" s="1"/>
  <c r="S45" i="1" s="1"/>
  <c r="U45" i="1" s="1"/>
  <c r="W45" i="1" s="1"/>
  <c r="J45" i="1"/>
  <c r="L45" i="1" s="1"/>
  <c r="N45" i="1" s="1"/>
  <c r="P45" i="1" s="1"/>
  <c r="R45" i="1" s="1"/>
  <c r="T45" i="1" s="1"/>
  <c r="V45" i="1" s="1"/>
  <c r="H45" i="1"/>
  <c r="G45" i="1"/>
  <c r="I45" i="1" s="1"/>
  <c r="K45" i="1" s="1"/>
  <c r="M45" i="1" s="1"/>
  <c r="E45" i="1"/>
  <c r="D45" i="1"/>
  <c r="C45" i="1"/>
  <c r="D44" i="1"/>
  <c r="F44" i="1" s="1"/>
  <c r="H44" i="1" s="1"/>
  <c r="J44" i="1" s="1"/>
  <c r="L44" i="1" s="1"/>
  <c r="N44" i="1" s="1"/>
  <c r="P44" i="1" s="1"/>
  <c r="R44" i="1" s="1"/>
  <c r="T44" i="1" s="1"/>
  <c r="V44" i="1" s="1"/>
  <c r="X44" i="1" s="1"/>
  <c r="Z44" i="1" s="1"/>
  <c r="AB44" i="1" s="1"/>
  <c r="AD44" i="1" s="1"/>
  <c r="AF44" i="1" s="1"/>
  <c r="C44" i="1"/>
  <c r="E44" i="1" s="1"/>
  <c r="G44" i="1" s="1"/>
  <c r="I44" i="1" s="1"/>
  <c r="K44" i="1" s="1"/>
  <c r="M44" i="1" s="1"/>
  <c r="O44" i="1" s="1"/>
  <c r="Q44" i="1" s="1"/>
  <c r="S44" i="1" s="1"/>
  <c r="U44" i="1" s="1"/>
  <c r="W44" i="1" s="1"/>
  <c r="Y44" i="1" s="1"/>
  <c r="AA44" i="1" s="1"/>
  <c r="AC44" i="1" s="1"/>
  <c r="AE44" i="1" s="1"/>
  <c r="AG44" i="1" s="1"/>
  <c r="D43" i="1"/>
  <c r="F43" i="1" s="1"/>
  <c r="H43" i="1" s="1"/>
  <c r="J43" i="1" s="1"/>
  <c r="L43" i="1" s="1"/>
  <c r="N43" i="1" s="1"/>
  <c r="P43" i="1" s="1"/>
  <c r="R43" i="1" s="1"/>
  <c r="T43" i="1" s="1"/>
  <c r="V43" i="1" s="1"/>
  <c r="X43" i="1" s="1"/>
  <c r="Z43" i="1" s="1"/>
  <c r="AB43" i="1" s="1"/>
  <c r="AD43" i="1" s="1"/>
  <c r="AF43" i="1" s="1"/>
  <c r="C43" i="1"/>
  <c r="E43" i="1" s="1"/>
  <c r="G43" i="1" s="1"/>
  <c r="I43" i="1" s="1"/>
  <c r="K43" i="1" s="1"/>
  <c r="M43" i="1" s="1"/>
  <c r="O43" i="1" s="1"/>
  <c r="Q43" i="1" s="1"/>
  <c r="S43" i="1" s="1"/>
  <c r="U43" i="1" s="1"/>
  <c r="W43" i="1" s="1"/>
  <c r="Y43" i="1" s="1"/>
  <c r="AA43" i="1" s="1"/>
  <c r="AC43" i="1" s="1"/>
  <c r="AE43" i="1" s="1"/>
  <c r="AG43" i="1" s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F41" i="1"/>
  <c r="AE41" i="1"/>
  <c r="AG41" i="1" s="1"/>
  <c r="AC41" i="1"/>
  <c r="I41" i="1"/>
  <c r="K41" i="1" s="1"/>
  <c r="M41" i="1" s="1"/>
  <c r="O41" i="1" s="1"/>
  <c r="Q41" i="1" s="1"/>
  <c r="S41" i="1" s="1"/>
  <c r="U41" i="1" s="1"/>
  <c r="W41" i="1" s="1"/>
  <c r="Y41" i="1" s="1"/>
  <c r="AA41" i="1" s="1"/>
  <c r="G41" i="1"/>
  <c r="E41" i="1"/>
  <c r="D41" i="1"/>
  <c r="F41" i="1" s="1"/>
  <c r="H41" i="1" s="1"/>
  <c r="J41" i="1" s="1"/>
  <c r="L41" i="1" s="1"/>
  <c r="N41" i="1" s="1"/>
  <c r="P41" i="1" s="1"/>
  <c r="R41" i="1" s="1"/>
  <c r="T41" i="1" s="1"/>
  <c r="V41" i="1" s="1"/>
  <c r="X41" i="1" s="1"/>
  <c r="Z41" i="1" s="1"/>
  <c r="O40" i="1"/>
  <c r="Q40" i="1" s="1"/>
  <c r="S40" i="1" s="1"/>
  <c r="U40" i="1" s="1"/>
  <c r="W40" i="1" s="1"/>
  <c r="Y40" i="1" s="1"/>
  <c r="AA40" i="1" s="1"/>
  <c r="AC40" i="1" s="1"/>
  <c r="AE40" i="1" s="1"/>
  <c r="AG40" i="1" s="1"/>
  <c r="N40" i="1"/>
  <c r="P40" i="1" s="1"/>
  <c r="R40" i="1" s="1"/>
  <c r="T40" i="1" s="1"/>
  <c r="V40" i="1" s="1"/>
  <c r="X40" i="1" s="1"/>
  <c r="Z40" i="1" s="1"/>
  <c r="AB40" i="1" s="1"/>
  <c r="AD40" i="1" s="1"/>
  <c r="AF40" i="1" s="1"/>
  <c r="M40" i="1"/>
  <c r="H40" i="1"/>
  <c r="J40" i="1" s="1"/>
  <c r="G40" i="1"/>
  <c r="I40" i="1" s="1"/>
  <c r="K40" i="1" s="1"/>
  <c r="E40" i="1"/>
  <c r="C40" i="1"/>
  <c r="AA39" i="1"/>
  <c r="AC39" i="1" s="1"/>
  <c r="AE39" i="1" s="1"/>
  <c r="AG39" i="1" s="1"/>
  <c r="Z39" i="1"/>
  <c r="AB39" i="1" s="1"/>
  <c r="AD39" i="1" s="1"/>
  <c r="AF39" i="1" s="1"/>
  <c r="Y39" i="1"/>
  <c r="W39" i="1"/>
  <c r="U39" i="1"/>
  <c r="S39" i="1"/>
  <c r="Q39" i="1"/>
  <c r="O39" i="1"/>
  <c r="M39" i="1"/>
  <c r="K39" i="1"/>
  <c r="J39" i="1"/>
  <c r="I39" i="1"/>
  <c r="G39" i="1"/>
  <c r="E39" i="1"/>
  <c r="C39" i="1"/>
  <c r="AF38" i="1"/>
  <c r="AE38" i="1"/>
  <c r="AG38" i="1" s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G37" i="1"/>
  <c r="AE37" i="1"/>
  <c r="AC37" i="1"/>
  <c r="AA37" i="1"/>
  <c r="Y37" i="1"/>
  <c r="W37" i="1"/>
  <c r="T37" i="1"/>
  <c r="S37" i="1"/>
  <c r="U37" i="1" s="1"/>
  <c r="R37" i="1"/>
  <c r="Q37" i="1"/>
  <c r="O37" i="1"/>
  <c r="L37" i="1"/>
  <c r="K37" i="1"/>
  <c r="M37" i="1" s="1"/>
  <c r="I37" i="1"/>
  <c r="G37" i="1"/>
  <c r="F37" i="1"/>
  <c r="E37" i="1"/>
  <c r="C37" i="1"/>
  <c r="E36" i="1"/>
  <c r="G36" i="1" s="1"/>
  <c r="I36" i="1" s="1"/>
  <c r="K36" i="1" s="1"/>
  <c r="M36" i="1" s="1"/>
  <c r="O36" i="1" s="1"/>
  <c r="Q36" i="1" s="1"/>
  <c r="S36" i="1" s="1"/>
  <c r="U36" i="1" s="1"/>
  <c r="W36" i="1" s="1"/>
  <c r="Y36" i="1" s="1"/>
  <c r="AA36" i="1" s="1"/>
  <c r="AC36" i="1" s="1"/>
  <c r="AE36" i="1" s="1"/>
  <c r="AG36" i="1" s="1"/>
  <c r="D36" i="1"/>
  <c r="F36" i="1" s="1"/>
  <c r="H36" i="1" s="1"/>
  <c r="J36" i="1" s="1"/>
  <c r="L36" i="1" s="1"/>
  <c r="N36" i="1" s="1"/>
  <c r="P36" i="1" s="1"/>
  <c r="R36" i="1" s="1"/>
  <c r="T36" i="1" s="1"/>
  <c r="V36" i="1" s="1"/>
  <c r="X36" i="1" s="1"/>
  <c r="Z36" i="1" s="1"/>
  <c r="AB36" i="1" s="1"/>
  <c r="AD36" i="1" s="1"/>
  <c r="AF36" i="1" s="1"/>
  <c r="B36" i="1"/>
  <c r="M35" i="1"/>
  <c r="O35" i="1" s="1"/>
  <c r="Q35" i="1" s="1"/>
  <c r="S35" i="1" s="1"/>
  <c r="U35" i="1" s="1"/>
  <c r="W35" i="1" s="1"/>
  <c r="Y35" i="1" s="1"/>
  <c r="AA35" i="1" s="1"/>
  <c r="AC35" i="1" s="1"/>
  <c r="AE35" i="1" s="1"/>
  <c r="AG35" i="1" s="1"/>
  <c r="L35" i="1"/>
  <c r="N35" i="1" s="1"/>
  <c r="P35" i="1" s="1"/>
  <c r="R35" i="1" s="1"/>
  <c r="T35" i="1" s="1"/>
  <c r="V35" i="1" s="1"/>
  <c r="X35" i="1" s="1"/>
  <c r="Z35" i="1" s="1"/>
  <c r="AB35" i="1" s="1"/>
  <c r="AD35" i="1" s="1"/>
  <c r="AF35" i="1" s="1"/>
  <c r="K35" i="1"/>
  <c r="E35" i="1"/>
  <c r="G35" i="1" s="1"/>
  <c r="I35" i="1" s="1"/>
  <c r="B35" i="1"/>
  <c r="D35" i="1" s="1"/>
  <c r="F35" i="1" s="1"/>
  <c r="H35" i="1" s="1"/>
  <c r="J35" i="1" s="1"/>
  <c r="AG34" i="1"/>
  <c r="AD34" i="1"/>
  <c r="I34" i="1"/>
  <c r="K34" i="1" s="1"/>
  <c r="M34" i="1" s="1"/>
  <c r="O34" i="1" s="1"/>
  <c r="Q34" i="1" s="1"/>
  <c r="S34" i="1" s="1"/>
  <c r="U34" i="1" s="1"/>
  <c r="W34" i="1" s="1"/>
  <c r="Y34" i="1" s="1"/>
  <c r="AA34" i="1" s="1"/>
  <c r="AC34" i="1" s="1"/>
  <c r="G34" i="1"/>
  <c r="E34" i="1"/>
  <c r="D34" i="1"/>
  <c r="F34" i="1" s="1"/>
  <c r="H34" i="1" s="1"/>
  <c r="J34" i="1" s="1"/>
  <c r="L34" i="1" s="1"/>
  <c r="N34" i="1" s="1"/>
  <c r="P34" i="1" s="1"/>
  <c r="R34" i="1" s="1"/>
  <c r="T34" i="1" s="1"/>
  <c r="V34" i="1" s="1"/>
  <c r="X34" i="1" s="1"/>
  <c r="Z34" i="1" s="1"/>
  <c r="AB34" i="1" s="1"/>
  <c r="W33" i="1"/>
  <c r="Y33" i="1" s="1"/>
  <c r="AA33" i="1" s="1"/>
  <c r="AC33" i="1" s="1"/>
  <c r="AE33" i="1" s="1"/>
  <c r="AG33" i="1" s="1"/>
  <c r="G33" i="1"/>
  <c r="I33" i="1" s="1"/>
  <c r="K33" i="1" s="1"/>
  <c r="M33" i="1" s="1"/>
  <c r="O33" i="1" s="1"/>
  <c r="Q33" i="1" s="1"/>
  <c r="S33" i="1" s="1"/>
  <c r="U33" i="1" s="1"/>
  <c r="E33" i="1"/>
  <c r="B33" i="1"/>
  <c r="D33" i="1" s="1"/>
  <c r="F33" i="1" s="1"/>
  <c r="H33" i="1" s="1"/>
  <c r="J33" i="1" s="1"/>
  <c r="L33" i="1" s="1"/>
  <c r="N33" i="1" s="1"/>
  <c r="P33" i="1" s="1"/>
  <c r="R33" i="1" s="1"/>
  <c r="T33" i="1" s="1"/>
  <c r="V33" i="1" s="1"/>
  <c r="X33" i="1" s="1"/>
  <c r="Z33" i="1" s="1"/>
  <c r="AB33" i="1" s="1"/>
  <c r="AD33" i="1" s="1"/>
  <c r="AF33" i="1" s="1"/>
  <c r="AG32" i="1"/>
  <c r="AE32" i="1"/>
  <c r="AC32" i="1"/>
  <c r="Z32" i="1"/>
  <c r="Y32" i="1"/>
  <c r="AA32" i="1" s="1"/>
  <c r="T32" i="1"/>
  <c r="V32" i="1" s="1"/>
  <c r="S32" i="1"/>
  <c r="U32" i="1" s="1"/>
  <c r="W32" i="1" s="1"/>
  <c r="Q32" i="1"/>
  <c r="O32" i="1"/>
  <c r="M32" i="1"/>
  <c r="K32" i="1"/>
  <c r="I32" i="1"/>
  <c r="G32" i="1"/>
  <c r="E32" i="1"/>
  <c r="C32" i="1"/>
  <c r="I31" i="1"/>
  <c r="K31" i="1" s="1"/>
  <c r="M31" i="1" s="1"/>
  <c r="O31" i="1" s="1"/>
  <c r="Q31" i="1" s="1"/>
  <c r="S31" i="1" s="1"/>
  <c r="U31" i="1" s="1"/>
  <c r="W31" i="1" s="1"/>
  <c r="Y31" i="1" s="1"/>
  <c r="AA31" i="1" s="1"/>
  <c r="AC31" i="1" s="1"/>
  <c r="AE31" i="1" s="1"/>
  <c r="AG31" i="1" s="1"/>
  <c r="G31" i="1"/>
  <c r="E31" i="1"/>
  <c r="B31" i="1"/>
  <c r="D31" i="1" s="1"/>
  <c r="F31" i="1" s="1"/>
  <c r="H31" i="1" s="1"/>
  <c r="J31" i="1" s="1"/>
  <c r="L31" i="1" s="1"/>
  <c r="N31" i="1" s="1"/>
  <c r="P31" i="1" s="1"/>
  <c r="R31" i="1" s="1"/>
  <c r="T31" i="1" s="1"/>
  <c r="V31" i="1" s="1"/>
  <c r="X31" i="1" s="1"/>
  <c r="Z31" i="1" s="1"/>
  <c r="AB31" i="1" s="1"/>
  <c r="AD31" i="1" s="1"/>
  <c r="AF31" i="1" s="1"/>
  <c r="Y30" i="1"/>
  <c r="AA30" i="1" s="1"/>
  <c r="AC30" i="1" s="1"/>
  <c r="AE30" i="1" s="1"/>
  <c r="AG30" i="1" s="1"/>
  <c r="W30" i="1"/>
  <c r="I30" i="1"/>
  <c r="K30" i="1" s="1"/>
  <c r="M30" i="1" s="1"/>
  <c r="O30" i="1" s="1"/>
  <c r="Q30" i="1" s="1"/>
  <c r="S30" i="1" s="1"/>
  <c r="U30" i="1" s="1"/>
  <c r="G30" i="1"/>
  <c r="E30" i="1"/>
  <c r="B30" i="1"/>
  <c r="D30" i="1" s="1"/>
  <c r="F30" i="1" s="1"/>
  <c r="H30" i="1" s="1"/>
  <c r="J30" i="1" s="1"/>
  <c r="L30" i="1" s="1"/>
  <c r="N30" i="1" s="1"/>
  <c r="P30" i="1" s="1"/>
  <c r="R30" i="1" s="1"/>
  <c r="T30" i="1" s="1"/>
  <c r="V30" i="1" s="1"/>
  <c r="X30" i="1" s="1"/>
  <c r="Z30" i="1" s="1"/>
  <c r="AB30" i="1" s="1"/>
  <c r="AD30" i="1" s="1"/>
  <c r="AF30" i="1" s="1"/>
  <c r="AF29" i="1"/>
  <c r="AD29" i="1"/>
  <c r="AB29" i="1"/>
  <c r="AA29" i="1"/>
  <c r="X29" i="1"/>
  <c r="Z29" i="1" s="1"/>
  <c r="V29" i="1"/>
  <c r="U29" i="1"/>
  <c r="Q29" i="1"/>
  <c r="S29" i="1" s="1"/>
  <c r="P29" i="1"/>
  <c r="R29" i="1" s="1"/>
  <c r="E29" i="1"/>
  <c r="G29" i="1" s="1"/>
  <c r="I29" i="1" s="1"/>
  <c r="K29" i="1" s="1"/>
  <c r="M29" i="1" s="1"/>
  <c r="O29" i="1" s="1"/>
  <c r="D29" i="1"/>
  <c r="F29" i="1" s="1"/>
  <c r="H29" i="1" s="1"/>
  <c r="J29" i="1" s="1"/>
  <c r="L29" i="1" s="1"/>
  <c r="N29" i="1" s="1"/>
  <c r="E28" i="1"/>
  <c r="G28" i="1" s="1"/>
  <c r="I28" i="1" s="1"/>
  <c r="K28" i="1" s="1"/>
  <c r="M28" i="1" s="1"/>
  <c r="O28" i="1" s="1"/>
  <c r="Q28" i="1" s="1"/>
  <c r="S28" i="1" s="1"/>
  <c r="U28" i="1" s="1"/>
  <c r="W28" i="1" s="1"/>
  <c r="Y28" i="1" s="1"/>
  <c r="AA28" i="1" s="1"/>
  <c r="AC28" i="1" s="1"/>
  <c r="AE28" i="1" s="1"/>
  <c r="AG28" i="1" s="1"/>
  <c r="B28" i="1"/>
  <c r="D28" i="1" s="1"/>
  <c r="F28" i="1" s="1"/>
  <c r="H28" i="1" s="1"/>
  <c r="J28" i="1" s="1"/>
  <c r="L28" i="1" s="1"/>
  <c r="N28" i="1" s="1"/>
  <c r="P28" i="1" s="1"/>
  <c r="R28" i="1" s="1"/>
  <c r="T28" i="1" s="1"/>
  <c r="V28" i="1" s="1"/>
  <c r="X28" i="1" s="1"/>
  <c r="Z28" i="1" s="1"/>
  <c r="AB28" i="1" s="1"/>
  <c r="AD28" i="1" s="1"/>
  <c r="AF28" i="1" s="1"/>
  <c r="N27" i="1"/>
  <c r="P27" i="1" s="1"/>
  <c r="R27" i="1" s="1"/>
  <c r="T27" i="1" s="1"/>
  <c r="V27" i="1" s="1"/>
  <c r="X27" i="1" s="1"/>
  <c r="Z27" i="1" s="1"/>
  <c r="AB27" i="1" s="1"/>
  <c r="AD27" i="1" s="1"/>
  <c r="AF27" i="1" s="1"/>
  <c r="M27" i="1"/>
  <c r="O27" i="1" s="1"/>
  <c r="Q27" i="1" s="1"/>
  <c r="S27" i="1" s="1"/>
  <c r="U27" i="1" s="1"/>
  <c r="W27" i="1" s="1"/>
  <c r="Y27" i="1" s="1"/>
  <c r="AA27" i="1" s="1"/>
  <c r="AC27" i="1" s="1"/>
  <c r="AE27" i="1" s="1"/>
  <c r="AG27" i="1" s="1"/>
  <c r="E27" i="1"/>
  <c r="G27" i="1" s="1"/>
  <c r="I27" i="1" s="1"/>
  <c r="K27" i="1" s="1"/>
  <c r="B27" i="1"/>
  <c r="D27" i="1" s="1"/>
  <c r="F27" i="1" s="1"/>
  <c r="H27" i="1" s="1"/>
  <c r="J27" i="1" s="1"/>
  <c r="L27" i="1" s="1"/>
  <c r="E26" i="1"/>
  <c r="G26" i="1" s="1"/>
  <c r="I26" i="1" s="1"/>
  <c r="K26" i="1" s="1"/>
  <c r="M26" i="1" s="1"/>
  <c r="O26" i="1" s="1"/>
  <c r="Q26" i="1" s="1"/>
  <c r="S26" i="1" s="1"/>
  <c r="U26" i="1" s="1"/>
  <c r="W26" i="1" s="1"/>
  <c r="Y26" i="1" s="1"/>
  <c r="AA26" i="1" s="1"/>
  <c r="AC26" i="1" s="1"/>
  <c r="AE26" i="1" s="1"/>
  <c r="AG26" i="1" s="1"/>
  <c r="D26" i="1"/>
  <c r="F26" i="1" s="1"/>
  <c r="H26" i="1" s="1"/>
  <c r="J26" i="1" s="1"/>
  <c r="L26" i="1" s="1"/>
  <c r="N26" i="1" s="1"/>
  <c r="P26" i="1" s="1"/>
  <c r="R26" i="1" s="1"/>
  <c r="T26" i="1" s="1"/>
  <c r="V26" i="1" s="1"/>
  <c r="X26" i="1" s="1"/>
  <c r="Z26" i="1" s="1"/>
  <c r="AB26" i="1" s="1"/>
  <c r="AD26" i="1" s="1"/>
  <c r="AF26" i="1" s="1"/>
  <c r="B26" i="1"/>
  <c r="O25" i="1"/>
  <c r="Q25" i="1" s="1"/>
  <c r="S25" i="1" s="1"/>
  <c r="U25" i="1" s="1"/>
  <c r="W25" i="1" s="1"/>
  <c r="Y25" i="1" s="1"/>
  <c r="AA25" i="1" s="1"/>
  <c r="AC25" i="1" s="1"/>
  <c r="AE25" i="1" s="1"/>
  <c r="AG25" i="1" s="1"/>
  <c r="L25" i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K25" i="1"/>
  <c r="E25" i="1"/>
  <c r="G25" i="1" s="1"/>
  <c r="I25" i="1" s="1"/>
  <c r="B25" i="1"/>
  <c r="D25" i="1" s="1"/>
  <c r="F25" i="1" s="1"/>
  <c r="H25" i="1" s="1"/>
  <c r="J25" i="1" s="1"/>
  <c r="E24" i="1"/>
  <c r="G24" i="1" s="1"/>
  <c r="I24" i="1" s="1"/>
  <c r="K24" i="1" s="1"/>
  <c r="M24" i="1" s="1"/>
  <c r="O24" i="1" s="1"/>
  <c r="Q24" i="1" s="1"/>
  <c r="S24" i="1" s="1"/>
  <c r="U24" i="1" s="1"/>
  <c r="W24" i="1" s="1"/>
  <c r="Y24" i="1" s="1"/>
  <c r="AA24" i="1" s="1"/>
  <c r="AC24" i="1" s="1"/>
  <c r="AE24" i="1" s="1"/>
  <c r="AG24" i="1" s="1"/>
  <c r="D24" i="1"/>
  <c r="F24" i="1" s="1"/>
  <c r="H24" i="1" s="1"/>
  <c r="J24" i="1" s="1"/>
  <c r="L24" i="1" s="1"/>
  <c r="N24" i="1" s="1"/>
  <c r="P24" i="1" s="1"/>
  <c r="R24" i="1" s="1"/>
  <c r="T24" i="1" s="1"/>
  <c r="V24" i="1" s="1"/>
  <c r="X24" i="1" s="1"/>
  <c r="Z24" i="1" s="1"/>
  <c r="AB24" i="1" s="1"/>
  <c r="AD24" i="1" s="1"/>
  <c r="AF24" i="1" s="1"/>
  <c r="B24" i="1"/>
  <c r="Y23" i="1"/>
  <c r="AA23" i="1" s="1"/>
  <c r="AC23" i="1" s="1"/>
  <c r="AE23" i="1" s="1"/>
  <c r="AG23" i="1" s="1"/>
  <c r="I23" i="1"/>
  <c r="K23" i="1" s="1"/>
  <c r="M23" i="1" s="1"/>
  <c r="O23" i="1" s="1"/>
  <c r="Q23" i="1" s="1"/>
  <c r="S23" i="1" s="1"/>
  <c r="U23" i="1" s="1"/>
  <c r="W23" i="1" s="1"/>
  <c r="G23" i="1"/>
  <c r="E23" i="1"/>
  <c r="B23" i="1"/>
  <c r="D23" i="1" s="1"/>
  <c r="F23" i="1" s="1"/>
  <c r="H23" i="1" s="1"/>
  <c r="J23" i="1" s="1"/>
  <c r="L23" i="1" s="1"/>
  <c r="N23" i="1" s="1"/>
  <c r="P23" i="1" s="1"/>
  <c r="R23" i="1" s="1"/>
  <c r="T23" i="1" s="1"/>
  <c r="V23" i="1" s="1"/>
  <c r="X23" i="1" s="1"/>
  <c r="Z23" i="1" s="1"/>
  <c r="AB23" i="1" s="1"/>
  <c r="AD23" i="1" s="1"/>
  <c r="AF23" i="1" s="1"/>
  <c r="H22" i="1"/>
  <c r="J22" i="1" s="1"/>
  <c r="L22" i="1" s="1"/>
  <c r="N22" i="1" s="1"/>
  <c r="P22" i="1" s="1"/>
  <c r="R22" i="1" s="1"/>
  <c r="T22" i="1" s="1"/>
  <c r="V22" i="1" s="1"/>
  <c r="X22" i="1" s="1"/>
  <c r="Z22" i="1" s="1"/>
  <c r="AB22" i="1" s="1"/>
  <c r="AD22" i="1" s="1"/>
  <c r="AF22" i="1" s="1"/>
  <c r="G22" i="1"/>
  <c r="I22" i="1" s="1"/>
  <c r="K22" i="1" s="1"/>
  <c r="M22" i="1" s="1"/>
  <c r="O22" i="1" s="1"/>
  <c r="Q22" i="1" s="1"/>
  <c r="S22" i="1" s="1"/>
  <c r="U22" i="1" s="1"/>
  <c r="W22" i="1" s="1"/>
  <c r="Y22" i="1" s="1"/>
  <c r="AA22" i="1" s="1"/>
  <c r="AC22" i="1" s="1"/>
  <c r="AE22" i="1" s="1"/>
  <c r="AG22" i="1" s="1"/>
  <c r="F22" i="1"/>
  <c r="E22" i="1"/>
  <c r="D22" i="1"/>
  <c r="B22" i="1"/>
  <c r="G21" i="1"/>
  <c r="I21" i="1" s="1"/>
  <c r="K21" i="1" s="1"/>
  <c r="M21" i="1" s="1"/>
  <c r="O21" i="1" s="1"/>
  <c r="Q21" i="1" s="1"/>
  <c r="S21" i="1" s="1"/>
  <c r="U21" i="1" s="1"/>
  <c r="W21" i="1" s="1"/>
  <c r="Y21" i="1" s="1"/>
  <c r="AA21" i="1" s="1"/>
  <c r="AC21" i="1" s="1"/>
  <c r="AE21" i="1" s="1"/>
  <c r="AG21" i="1" s="1"/>
  <c r="E21" i="1"/>
  <c r="B21" i="1"/>
  <c r="D21" i="1" s="1"/>
  <c r="F21" i="1" s="1"/>
  <c r="H21" i="1" s="1"/>
  <c r="J21" i="1" s="1"/>
  <c r="L21" i="1" s="1"/>
  <c r="N21" i="1" s="1"/>
  <c r="P21" i="1" s="1"/>
  <c r="R21" i="1" s="1"/>
  <c r="T21" i="1" s="1"/>
  <c r="V21" i="1" s="1"/>
  <c r="X21" i="1" s="1"/>
  <c r="Z21" i="1" s="1"/>
  <c r="AB21" i="1" s="1"/>
  <c r="AD21" i="1" s="1"/>
  <c r="AF21" i="1" s="1"/>
  <c r="AC20" i="1"/>
  <c r="AE20" i="1" s="1"/>
  <c r="AG20" i="1" s="1"/>
  <c r="Z20" i="1"/>
  <c r="AB20" i="1" s="1"/>
  <c r="AD20" i="1" s="1"/>
  <c r="AF20" i="1" s="1"/>
  <c r="Y20" i="1"/>
  <c r="V20" i="1"/>
  <c r="X20" i="1" s="1"/>
  <c r="U20" i="1"/>
  <c r="S20" i="1"/>
  <c r="E20" i="1"/>
  <c r="G20" i="1" s="1"/>
  <c r="I20" i="1" s="1"/>
  <c r="K20" i="1" s="1"/>
  <c r="M20" i="1" s="1"/>
  <c r="O20" i="1" s="1"/>
  <c r="Q20" i="1" s="1"/>
  <c r="B20" i="1"/>
  <c r="D20" i="1" s="1"/>
  <c r="F20" i="1" s="1"/>
  <c r="H20" i="1" s="1"/>
  <c r="J20" i="1" s="1"/>
  <c r="L20" i="1" s="1"/>
  <c r="N20" i="1" s="1"/>
  <c r="P20" i="1" s="1"/>
  <c r="R20" i="1" s="1"/>
  <c r="T20" i="1" s="1"/>
  <c r="S19" i="1"/>
  <c r="U19" i="1" s="1"/>
  <c r="W19" i="1" s="1"/>
  <c r="Y19" i="1" s="1"/>
  <c r="AA19" i="1" s="1"/>
  <c r="AC19" i="1" s="1"/>
  <c r="AE19" i="1" s="1"/>
  <c r="AG19" i="1" s="1"/>
  <c r="E19" i="1"/>
  <c r="G19" i="1" s="1"/>
  <c r="I19" i="1" s="1"/>
  <c r="K19" i="1" s="1"/>
  <c r="M19" i="1" s="1"/>
  <c r="O19" i="1" s="1"/>
  <c r="Q19" i="1" s="1"/>
  <c r="B19" i="1"/>
  <c r="D19" i="1" s="1"/>
  <c r="F19" i="1" s="1"/>
  <c r="H19" i="1" s="1"/>
  <c r="J19" i="1" s="1"/>
  <c r="L19" i="1" s="1"/>
  <c r="N19" i="1" s="1"/>
  <c r="P19" i="1" s="1"/>
  <c r="R19" i="1" s="1"/>
  <c r="T19" i="1" s="1"/>
  <c r="V19" i="1" s="1"/>
  <c r="X19" i="1" s="1"/>
  <c r="Z19" i="1" s="1"/>
  <c r="AB19" i="1" s="1"/>
  <c r="AD19" i="1" s="1"/>
  <c r="AF19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AC18" i="1" s="1"/>
  <c r="AE18" i="1" s="1"/>
  <c r="AG18" i="1" s="1"/>
  <c r="B18" i="1"/>
  <c r="D18" i="1" s="1"/>
  <c r="F18" i="1" s="1"/>
  <c r="H18" i="1" s="1"/>
  <c r="J18" i="1" s="1"/>
  <c r="L18" i="1" s="1"/>
  <c r="N18" i="1" s="1"/>
  <c r="P18" i="1" s="1"/>
  <c r="R18" i="1" s="1"/>
  <c r="T18" i="1" s="1"/>
  <c r="V18" i="1" s="1"/>
  <c r="X18" i="1" s="1"/>
  <c r="Z18" i="1" s="1"/>
  <c r="AB18" i="1" s="1"/>
  <c r="AD18" i="1" s="1"/>
  <c r="AF18" i="1" s="1"/>
  <c r="H17" i="1"/>
  <c r="J17" i="1" s="1"/>
  <c r="L17" i="1" s="1"/>
  <c r="N17" i="1" s="1"/>
  <c r="P17" i="1" s="1"/>
  <c r="R17" i="1" s="1"/>
  <c r="T17" i="1" s="1"/>
  <c r="V17" i="1" s="1"/>
  <c r="X17" i="1" s="1"/>
  <c r="Z17" i="1" s="1"/>
  <c r="AB17" i="1" s="1"/>
  <c r="AD17" i="1" s="1"/>
  <c r="AF17" i="1" s="1"/>
  <c r="E17" i="1"/>
  <c r="G17" i="1" s="1"/>
  <c r="I17" i="1" s="1"/>
  <c r="K17" i="1" s="1"/>
  <c r="M17" i="1" s="1"/>
  <c r="O17" i="1" s="1"/>
  <c r="Q17" i="1" s="1"/>
  <c r="S17" i="1" s="1"/>
  <c r="U17" i="1" s="1"/>
  <c r="W17" i="1" s="1"/>
  <c r="Y17" i="1" s="1"/>
  <c r="AA17" i="1" s="1"/>
  <c r="AC17" i="1" s="1"/>
  <c r="AE17" i="1" s="1"/>
  <c r="AG17" i="1" s="1"/>
  <c r="B17" i="1"/>
  <c r="D17" i="1" s="1"/>
  <c r="F17" i="1" s="1"/>
  <c r="P16" i="1"/>
  <c r="R16" i="1" s="1"/>
  <c r="T16" i="1" s="1"/>
  <c r="V16" i="1" s="1"/>
  <c r="X16" i="1" s="1"/>
  <c r="Z16" i="1" s="1"/>
  <c r="AB16" i="1" s="1"/>
  <c r="AD16" i="1" s="1"/>
  <c r="AF16" i="1" s="1"/>
  <c r="G16" i="1"/>
  <c r="I16" i="1" s="1"/>
  <c r="K16" i="1" s="1"/>
  <c r="M16" i="1" s="1"/>
  <c r="O16" i="1" s="1"/>
  <c r="Q16" i="1" s="1"/>
  <c r="S16" i="1" s="1"/>
  <c r="U16" i="1" s="1"/>
  <c r="W16" i="1" s="1"/>
  <c r="Y16" i="1" s="1"/>
  <c r="AA16" i="1" s="1"/>
  <c r="AC16" i="1" s="1"/>
  <c r="AE16" i="1" s="1"/>
  <c r="AG16" i="1" s="1"/>
  <c r="E16" i="1"/>
  <c r="B16" i="1"/>
  <c r="D16" i="1" s="1"/>
  <c r="F16" i="1" s="1"/>
  <c r="H16" i="1" s="1"/>
  <c r="J16" i="1" s="1"/>
  <c r="L16" i="1" s="1"/>
  <c r="N16" i="1" s="1"/>
  <c r="G15" i="1"/>
  <c r="I15" i="1" s="1"/>
  <c r="K15" i="1" s="1"/>
  <c r="M15" i="1" s="1"/>
  <c r="O15" i="1" s="1"/>
  <c r="Q15" i="1" s="1"/>
  <c r="S15" i="1" s="1"/>
  <c r="U15" i="1" s="1"/>
  <c r="W15" i="1" s="1"/>
  <c r="Y15" i="1" s="1"/>
  <c r="AA15" i="1" s="1"/>
  <c r="AC15" i="1" s="1"/>
  <c r="AE15" i="1" s="1"/>
  <c r="AG15" i="1" s="1"/>
  <c r="E15" i="1"/>
  <c r="B15" i="1"/>
  <c r="D15" i="1" s="1"/>
  <c r="F15" i="1" s="1"/>
  <c r="H15" i="1" s="1"/>
  <c r="J15" i="1" s="1"/>
  <c r="L15" i="1" s="1"/>
  <c r="N15" i="1" s="1"/>
  <c r="P15" i="1" s="1"/>
  <c r="R15" i="1" s="1"/>
  <c r="T15" i="1" s="1"/>
  <c r="V15" i="1" s="1"/>
  <c r="X15" i="1" s="1"/>
  <c r="Z15" i="1" s="1"/>
  <c r="AB15" i="1" s="1"/>
  <c r="AD15" i="1" s="1"/>
  <c r="AF15" i="1" s="1"/>
  <c r="AG14" i="1"/>
  <c r="AE14" i="1"/>
  <c r="AC14" i="1"/>
  <c r="AA14" i="1"/>
  <c r="Y14" i="1"/>
  <c r="W14" i="1"/>
  <c r="U14" i="1"/>
  <c r="S14" i="1"/>
  <c r="P14" i="1"/>
  <c r="N14" i="1"/>
  <c r="L14" i="1"/>
  <c r="K14" i="1"/>
  <c r="I14" i="1"/>
  <c r="G14" i="1"/>
  <c r="E14" i="1"/>
  <c r="C14" i="1"/>
  <c r="C98" i="1" s="1"/>
  <c r="E13" i="1"/>
  <c r="G13" i="1" s="1"/>
  <c r="I13" i="1" s="1"/>
  <c r="K13" i="1" s="1"/>
  <c r="M13" i="1" s="1"/>
  <c r="O13" i="1" s="1"/>
  <c r="Q13" i="1" s="1"/>
  <c r="S13" i="1" s="1"/>
  <c r="U13" i="1" s="1"/>
  <c r="W13" i="1" s="1"/>
  <c r="Y13" i="1" s="1"/>
  <c r="AA13" i="1" s="1"/>
  <c r="AC13" i="1" s="1"/>
  <c r="AE13" i="1" s="1"/>
  <c r="AG13" i="1" s="1"/>
  <c r="B13" i="1"/>
  <c r="D13" i="1" s="1"/>
  <c r="F13" i="1" s="1"/>
  <c r="H13" i="1" s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G12" i="1"/>
  <c r="AD12" i="1"/>
  <c r="AF12" i="1" s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U11" i="1"/>
  <c r="W11" i="1" s="1"/>
  <c r="Y11" i="1" s="1"/>
  <c r="AA11" i="1" s="1"/>
  <c r="AC11" i="1" s="1"/>
  <c r="AE11" i="1" s="1"/>
  <c r="AG11" i="1" s="1"/>
  <c r="P11" i="1"/>
  <c r="R11" i="1" s="1"/>
  <c r="T11" i="1" s="1"/>
  <c r="V11" i="1" s="1"/>
  <c r="X11" i="1" s="1"/>
  <c r="Z11" i="1" s="1"/>
  <c r="AB11" i="1" s="1"/>
  <c r="AD11" i="1" s="1"/>
  <c r="AF11" i="1" s="1"/>
  <c r="O11" i="1"/>
  <c r="Q11" i="1" s="1"/>
  <c r="S11" i="1" s="1"/>
  <c r="N11" i="1"/>
  <c r="M11" i="1"/>
  <c r="L11" i="1"/>
  <c r="J11" i="1"/>
  <c r="H11" i="1"/>
  <c r="F11" i="1"/>
  <c r="D11" i="1"/>
  <c r="B11" i="1"/>
  <c r="K10" i="1"/>
  <c r="M10" i="1" s="1"/>
  <c r="I10" i="1"/>
  <c r="G10" i="1"/>
  <c r="E10" i="1"/>
  <c r="B10" i="1"/>
  <c r="D10" i="1" s="1"/>
  <c r="F10" i="1" s="1"/>
  <c r="H10" i="1" s="1"/>
  <c r="J10" i="1" s="1"/>
  <c r="L10" i="1" s="1"/>
  <c r="N10" i="1" s="1"/>
  <c r="P10" i="1" s="1"/>
  <c r="R10" i="1" s="1"/>
  <c r="T10" i="1" s="1"/>
  <c r="V10" i="1" s="1"/>
  <c r="X10" i="1" s="1"/>
  <c r="Z10" i="1" s="1"/>
  <c r="AB10" i="1" s="1"/>
  <c r="AD10" i="1" s="1"/>
  <c r="AF10" i="1" s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A8" i="1"/>
  <c r="X8" i="1"/>
  <c r="Z8" i="1" s="1"/>
  <c r="AB8" i="1" s="1"/>
  <c r="AD8" i="1" s="1"/>
  <c r="AF8" i="1" s="1"/>
  <c r="V8" i="1"/>
  <c r="T8" i="1"/>
  <c r="R8" i="1"/>
  <c r="P8" i="1"/>
  <c r="N8" i="1"/>
  <c r="L8" i="1"/>
  <c r="J8" i="1"/>
  <c r="H8" i="1"/>
  <c r="F8" i="1"/>
  <c r="D8" i="1"/>
  <c r="B8" i="1"/>
  <c r="AF7" i="1"/>
  <c r="AD7" i="1"/>
  <c r="AB7" i="1"/>
  <c r="Z7" i="1"/>
  <c r="X7" i="1"/>
  <c r="V7" i="1"/>
  <c r="T7" i="1"/>
  <c r="R7" i="1"/>
  <c r="Q7" i="1"/>
  <c r="P7" i="1"/>
  <c r="N7" i="1"/>
  <c r="L7" i="1"/>
  <c r="I7" i="1"/>
  <c r="E7" i="1"/>
  <c r="G7" i="1" s="1"/>
  <c r="D7" i="1"/>
  <c r="F7" i="1" s="1"/>
  <c r="T98" i="1" l="1"/>
  <c r="K7" i="1"/>
  <c r="K98" i="1" s="1"/>
  <c r="I98" i="1"/>
  <c r="L98" i="1"/>
  <c r="P98" i="1"/>
  <c r="V98" i="1"/>
  <c r="Z98" i="1"/>
  <c r="M98" i="1"/>
  <c r="O10" i="1"/>
  <c r="AB98" i="1"/>
  <c r="N98" i="1"/>
  <c r="AD98" i="1"/>
  <c r="D98" i="1"/>
  <c r="B98" i="1"/>
  <c r="E98" i="1"/>
  <c r="X98" i="1"/>
  <c r="AF98" i="1"/>
  <c r="H7" i="1"/>
  <c r="F98" i="1"/>
  <c r="R98" i="1"/>
  <c r="G98" i="1"/>
  <c r="AC8" i="1"/>
  <c r="AE8" i="1" l="1"/>
  <c r="J7" i="1"/>
  <c r="J98" i="1" s="1"/>
  <c r="H98" i="1"/>
  <c r="O98" i="1"/>
  <c r="Q10" i="1"/>
  <c r="S10" i="1" l="1"/>
  <c r="Q98" i="1"/>
  <c r="AG8" i="1"/>
  <c r="U10" i="1" l="1"/>
  <c r="S98" i="1"/>
  <c r="W10" i="1" l="1"/>
  <c r="U98" i="1"/>
  <c r="W98" i="1" l="1"/>
  <c r="Y10" i="1"/>
  <c r="Y98" i="1" l="1"/>
  <c r="AA10" i="1"/>
  <c r="AC10" i="1" l="1"/>
  <c r="AA98" i="1"/>
  <c r="AE10" i="1" l="1"/>
  <c r="AC98" i="1"/>
  <c r="AG10" i="1" l="1"/>
  <c r="AG98" i="1" s="1"/>
  <c r="AE98" i="1"/>
</calcChain>
</file>

<file path=xl/sharedStrings.xml><?xml version="1.0" encoding="utf-8"?>
<sst xmlns="http://schemas.openxmlformats.org/spreadsheetml/2006/main" count="144" uniqueCount="114">
  <si>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</si>
  <si>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</si>
  <si>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</si>
  <si>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</si>
  <si>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</si>
  <si>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</si>
  <si>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</si>
  <si>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</si>
  <si>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</si>
  <si>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</si>
  <si>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</si>
  <si>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</si>
  <si>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</si>
  <si>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</si>
  <si>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</si>
  <si>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</si>
  <si>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Debit</t>
  </si>
  <si>
    <t>Credit</t>
  </si>
  <si>
    <t>100100 Key Bank</t>
  </si>
  <si>
    <t>100800 Zions Checking (Closed) (deleted)</t>
  </si>
  <si>
    <t>130100 Accounts Receivable</t>
  </si>
  <si>
    <t>110200 Undeposited Funds</t>
  </si>
  <si>
    <t>120100 Prepaid</t>
  </si>
  <si>
    <t>130300 Accrued Revenue</t>
  </si>
  <si>
    <t>130500 Intercompany</t>
  </si>
  <si>
    <t>130550 Intercompany:Admin Intercompany</t>
  </si>
  <si>
    <t>133300 Intercompany Loan Receivable</t>
  </si>
  <si>
    <t>130600 Intercompany Loan Receivable:ATL</t>
  </si>
  <si>
    <t>130800 Intercompany Loan Receivable:AUS II</t>
  </si>
  <si>
    <t>131100 Intercompany Loan Receivable:DEN I</t>
  </si>
  <si>
    <t>131300 Intercompany Loan Receivable:DEN IV</t>
  </si>
  <si>
    <t>131400 Intercompany Loan Receivable:DEN V</t>
  </si>
  <si>
    <t>131600 Intercompany Loan Receivable:FTW III</t>
  </si>
  <si>
    <t>131700 Intercompany Loan Receivable:HOU III</t>
  </si>
  <si>
    <t>132300 Intercompany Loan Receivable:NVL</t>
  </si>
  <si>
    <t>132400 Intercompany Loan Receivable:NVL II</t>
  </si>
  <si>
    <t>132500 Intercompany Loan Receivable:NVL III</t>
  </si>
  <si>
    <t>132600 Intercompany Loan Receivable:DAL V</t>
  </si>
  <si>
    <t>132700 Intercompany Loan Receivable:FTW IV</t>
  </si>
  <si>
    <t>133000 Intercompany Loan Receivable:SAT</t>
  </si>
  <si>
    <t>133400 Intercompany Loan Receivable:OKC</t>
  </si>
  <si>
    <t>133900 Intercompany Loan Receivable:FTW</t>
  </si>
  <si>
    <t>134300 Intercompany Loan Receivable:SAT II</t>
  </si>
  <si>
    <t>139900 Allowance for Bad Debt</t>
  </si>
  <si>
    <t>140600 Loan Receivable - Energie</t>
  </si>
  <si>
    <t>165000 Suspense</t>
  </si>
  <si>
    <t>141300 Note Receivable - Energie</t>
  </si>
  <si>
    <t>170200 Partner Loan Receivable Series B</t>
  </si>
  <si>
    <t>200000 Accounts Payable</t>
  </si>
  <si>
    <t>210000 Accrued Expenses</t>
  </si>
  <si>
    <t>210300 Accrued Paid Time Off</t>
  </si>
  <si>
    <t>210350 Accrued PTO Payout</t>
  </si>
  <si>
    <t>210400 Accrued Bonuses</t>
  </si>
  <si>
    <t>210500 Accrued Payroll</t>
  </si>
  <si>
    <t>210700 Insurance Payable</t>
  </si>
  <si>
    <t>220500 Intercompany Loan Payable:DEN I</t>
  </si>
  <si>
    <t>220800 Intercompany Loan Payable:Now CFO</t>
  </si>
  <si>
    <t>221600 Retainers</t>
  </si>
  <si>
    <t>230000 PPP Loan Payable</t>
  </si>
  <si>
    <t>300000 Contributions</t>
  </si>
  <si>
    <t>320000 Distributions</t>
  </si>
  <si>
    <t>340100 Retained Earnings</t>
  </si>
  <si>
    <t>400000 Accrued On-Going Revenue</t>
  </si>
  <si>
    <t>400200 Consulting Revenue</t>
  </si>
  <si>
    <t>400300 Commission Revenue</t>
  </si>
  <si>
    <t>400400 On-Going</t>
  </si>
  <si>
    <t>400500 Employee Buyouts</t>
  </si>
  <si>
    <t>400600 IC Revenue</t>
  </si>
  <si>
    <t>400700 IC Commission Revenue</t>
  </si>
  <si>
    <t>400800 Placement Income</t>
  </si>
  <si>
    <t>400900 Credits</t>
  </si>
  <si>
    <t>401200 QKLY Fee Revenue</t>
  </si>
  <si>
    <t>450900 ADP Revenue Share</t>
  </si>
  <si>
    <t>500100 Production Bonus</t>
  </si>
  <si>
    <t>500500 Emp Commission Exp</t>
  </si>
  <si>
    <t>500800 Client Services-</t>
  </si>
  <si>
    <t>501300 QKLY Fee Expense</t>
  </si>
  <si>
    <t>610200 Employee:401(k) Employer Match</t>
  </si>
  <si>
    <t>610300 Employee:Auto Allowance</t>
  </si>
  <si>
    <t>610400 Employee:Cellphones / IT / Bus Cards</t>
  </si>
  <si>
    <t>610500 Employee:Continuing Education</t>
  </si>
  <si>
    <t>610600 Employee:Employee Relations</t>
  </si>
  <si>
    <t>610700 Employee:Health Insurance-</t>
  </si>
  <si>
    <t>610800 Employee:HR / Payroll Expenses</t>
  </si>
  <si>
    <t>610900 Employee:Meals / Travel</t>
  </si>
  <si>
    <t>611100 Employee:New Employee Purchase</t>
  </si>
  <si>
    <t>611200 Employee:Paid Time Off</t>
  </si>
  <si>
    <t>611400 Employee:Workers Comp</t>
  </si>
  <si>
    <t>611500 Employee:Non-BDR Other</t>
  </si>
  <si>
    <t>450400 Other (Income) / Expense:Finance Charges</t>
  </si>
  <si>
    <t>450700 Other (Income) / Expense:Other Income</t>
  </si>
  <si>
    <t>650100 Other (Income) / Expense:Client Expenses</t>
  </si>
  <si>
    <t>650600 Other (Income) / Expense:Bad Debt Expense</t>
  </si>
  <si>
    <t>660100 Sales Expense:BDR Commission Exp</t>
  </si>
  <si>
    <t>660200 Sales Expense:BDR Compensation</t>
  </si>
  <si>
    <t>660400 Sales Expense:BDR Other Expense</t>
  </si>
  <si>
    <t>660500 Sales Expense:Call Center Appts</t>
  </si>
  <si>
    <t>661200 Sales Expense:Sponsorship / Networking</t>
  </si>
  <si>
    <t>661400 Sales Expense:AE Commissions Expense</t>
  </si>
  <si>
    <t>680100 Corporate Allocation:Fixed Allocation</t>
  </si>
  <si>
    <t>685100 Corporate Allocation:Variable Allocation</t>
  </si>
  <si>
    <t>700200 G&amp;A:Bank / CC Fees</t>
  </si>
  <si>
    <t>700700 G&amp;A:Mgmt Travel</t>
  </si>
  <si>
    <t>701000 G&amp;A:Rent</t>
  </si>
  <si>
    <t>701100 G&amp;A:Tax Preparation Fees</t>
  </si>
  <si>
    <t>701300 G&amp;A:Office Supplies</t>
  </si>
  <si>
    <t>701700 G&amp;A:Retreat</t>
  </si>
  <si>
    <t>701800 G&amp;A:Tax Expense</t>
  </si>
  <si>
    <t>702700 G&amp;A:Legal Fees</t>
  </si>
  <si>
    <t>TOTAL</t>
  </si>
  <si>
    <t>Wednesday, May 24, 2023 06:41:18 AM GMT-7 - Accrual Basis</t>
  </si>
  <si>
    <t>Now CFO Dallas III, LLC</t>
  </si>
  <si>
    <t>Trial Balance</t>
  </si>
  <si>
    <t>As of April 30,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</si>
</sst>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37735B6-F4AA-4DE5-8A22-05A9D73DAE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"/>
  <sheetViews>
    <sheetView tabSelected="1" workbookViewId="0">
      <selection sqref="A1:AG1"/>
    </sheetView>
  </sheetViews>
  <sheetFormatPr defaultRowHeight="15" x14ac:dyDescent="0.25"/>
  <cols>
    <col min="1" max="1" width="42.140625" customWidth="1"/>
    <col min="2" max="19" width="12" customWidth="1"/>
    <col min="20" max="25" width="12.85546875" customWidth="1"/>
    <col min="26" max="33" width="12" customWidth="1"/>
  </cols>
  <sheetData>
    <row r="1" spans="1:33" ht="18" x14ac:dyDescent="0.25">
      <c r="A1" s="11" t="s">
        <v>111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8" x14ac:dyDescent="0.25">
      <c r="A2" s="11" t="s">
        <v>112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25">
      <c r="A3" s="12" t="s">
        <v>113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5" spans="1:33" x14ac:dyDescent="0.25">
      <c r="A5" s="1"/>
      <c r="B5" s="7" t="s">
        <v>0</v>
      </c>
      <c r="C5" s="8"/>
      <c r="D5" s="7" t="s">
        <v>1</v>
      </c>
      <c r="E5" s="8"/>
      <c r="F5" s="7" t="s">
        <v>2</v>
      </c>
      <c r="G5" s="8"/>
      <c r="H5" s="7" t="s">
        <v>3</v>
      </c>
      <c r="I5" s="8"/>
      <c r="J5" s="7" t="s">
        <v>4</v>
      </c>
      <c r="K5" s="8"/>
      <c r="L5" s="7" t="s">
        <v>5</v>
      </c>
      <c r="M5" s="8"/>
      <c r="N5" s="7" t="s">
        <v>6</v>
      </c>
      <c r="O5" s="8"/>
      <c r="P5" s="7" t="s">
        <v>7</v>
      </c>
      <c r="Q5" s="8"/>
      <c r="R5" s="7" t="s">
        <v>8</v>
      </c>
      <c r="S5" s="8"/>
      <c r="T5" s="7" t="s">
        <v>9</v>
      </c>
      <c r="U5" s="8"/>
      <c r="V5" s="7" t="s">
        <v>10</v>
      </c>
      <c r="W5" s="8"/>
      <c r="X5" s="7" t="s">
        <v>11</v>
      </c>
      <c r="Y5" s="8"/>
      <c r="Z5" s="7" t="s">
        <v>12</v>
      </c>
      <c r="AA5" s="8"/>
      <c r="AB5" s="7" t="s">
        <v>13</v>
      </c>
      <c r="AC5" s="8"/>
      <c r="AD5" s="7" t="s">
        <v>14</v>
      </c>
      <c r="AE5" s="8"/>
      <c r="AF5" s="7" t="s">
        <v>15</v>
      </c>
      <c r="AG5" s="8"/>
    </row>
    <row r="6" spans="1:33" x14ac:dyDescent="0.25">
      <c r="A6" s="1"/>
      <c r="B6" s="2" t="s">
        <v>16</v>
      </c>
      <c r="C6" s="2" t="s">
        <v>17</v>
      </c>
      <c r="D6" s="2" t="s">
        <v>16</v>
      </c>
      <c r="E6" s="2" t="s">
        <v>17</v>
      </c>
      <c r="F6" s="2" t="s">
        <v>16</v>
      </c>
      <c r="G6" s="2" t="s">
        <v>17</v>
      </c>
      <c r="H6" s="2" t="s">
        <v>16</v>
      </c>
      <c r="I6" s="2" t="s">
        <v>17</v>
      </c>
      <c r="J6" s="2" t="s">
        <v>16</v>
      </c>
      <c r="K6" s="2" t="s">
        <v>17</v>
      </c>
      <c r="L6" s="2" t="s">
        <v>16</v>
      </c>
      <c r="M6" s="2" t="s">
        <v>17</v>
      </c>
      <c r="N6" s="2" t="s">
        <v>16</v>
      </c>
      <c r="O6" s="2" t="s">
        <v>17</v>
      </c>
      <c r="P6" s="2" t="s">
        <v>16</v>
      </c>
      <c r="Q6" s="2" t="s">
        <v>17</v>
      </c>
      <c r="R6" s="2" t="s">
        <v>16</v>
      </c>
      <c r="S6" s="2" t="s">
        <v>17</v>
      </c>
      <c r="T6" s="2" t="s">
        <v>16</v>
      </c>
      <c r="U6" s="2" t="s">
        <v>17</v>
      </c>
      <c r="V6" s="2" t="s">
        <v>16</v>
      </c>
      <c r="W6" s="2" t="s">
        <v>17</v>
      </c>
      <c r="X6" s="2" t="s">
        <v>16</v>
      </c>
      <c r="Y6" s="2" t="s">
        <v>17</v>
      </c>
      <c r="Z6" s="2" t="s">
        <v>16</v>
      </c>
      <c r="AA6" s="2" t="s">
        <v>17</v>
      </c>
      <c r="AB6" s="2" t="s">
        <v>16</v>
      </c>
      <c r="AC6" s="2" t="s">
        <v>17</v>
      </c>
      <c r="AD6" s="2" t="s">
        <v>16</v>
      </c>
      <c r="AE6" s="2" t="s">
        <v>17</v>
      </c>
      <c r="AF6" s="2" t="s">
        <v>16</v>
      </c>
      <c r="AG6" s="2" t="s">
        <v>17</v>
      </c>
    </row>
    <row r="7" spans="1:33" x14ac:dyDescent="0.25">
      <c r="A7" s="3" t="s">
        <v>18</v>
      </c>
      <c r="B7" s="4"/>
      <c r="C7" s="4"/>
      <c r="D7" s="5">
        <f t="shared" ref="D7:K7" si="0">B7</f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>281</f>
        <v>281</v>
      </c>
      <c r="M7" s="4"/>
      <c r="N7" s="5">
        <f>3500</f>
        <v>3500</v>
      </c>
      <c r="O7" s="4"/>
      <c r="P7" s="5">
        <f>N7</f>
        <v>3500</v>
      </c>
      <c r="Q7" s="5">
        <f>O7</f>
        <v>0</v>
      </c>
      <c r="R7" s="5">
        <f>161936.47</f>
        <v>161936.47</v>
      </c>
      <c r="S7" s="4"/>
      <c r="T7" s="5">
        <f>142978.39</f>
        <v>142978.39000000001</v>
      </c>
      <c r="U7" s="4"/>
      <c r="V7" s="5">
        <f>176680.77</f>
        <v>176680.77</v>
      </c>
      <c r="W7" s="4"/>
      <c r="X7" s="5">
        <f>56218.1</f>
        <v>56218.1</v>
      </c>
      <c r="Y7" s="4"/>
      <c r="Z7" s="5">
        <f>40646.11</f>
        <v>40646.11</v>
      </c>
      <c r="AA7" s="4"/>
      <c r="AB7" s="5">
        <f>70145.05</f>
        <v>70145.05</v>
      </c>
      <c r="AC7" s="4"/>
      <c r="AD7" s="5">
        <f>80975.53</f>
        <v>80975.53</v>
      </c>
      <c r="AE7" s="4"/>
      <c r="AF7" s="5">
        <f>129434.88</f>
        <v>129434.88</v>
      </c>
      <c r="AG7" s="4"/>
    </row>
    <row r="8" spans="1:33" x14ac:dyDescent="0.25">
      <c r="A8" s="3" t="s">
        <v>19</v>
      </c>
      <c r="B8" s="5">
        <f>27193.1</f>
        <v>27193.1</v>
      </c>
      <c r="C8" s="4"/>
      <c r="D8" s="5">
        <f>41638.73</f>
        <v>41638.730000000003</v>
      </c>
      <c r="E8" s="4"/>
      <c r="F8" s="5">
        <f>98688.29</f>
        <v>98688.29</v>
      </c>
      <c r="G8" s="4"/>
      <c r="H8" s="5">
        <f>47286.31</f>
        <v>47286.31</v>
      </c>
      <c r="I8" s="4"/>
      <c r="J8" s="5">
        <f>110678.57</f>
        <v>110678.57</v>
      </c>
      <c r="K8" s="4"/>
      <c r="L8" s="5">
        <f>93035.19</f>
        <v>93035.19</v>
      </c>
      <c r="M8" s="4"/>
      <c r="N8" s="5">
        <f>113745.86</f>
        <v>113745.86</v>
      </c>
      <c r="O8" s="4"/>
      <c r="P8" s="5">
        <f>112795.13</f>
        <v>112795.13</v>
      </c>
      <c r="Q8" s="4"/>
      <c r="R8" s="5">
        <f>1046.75</f>
        <v>1046.75</v>
      </c>
      <c r="S8" s="4"/>
      <c r="T8" s="5">
        <f>1496.6</f>
        <v>1496.6</v>
      </c>
      <c r="U8" s="4"/>
      <c r="V8" s="5">
        <f>2459.7</f>
        <v>2459.6999999999998</v>
      </c>
      <c r="W8" s="4"/>
      <c r="X8" s="5">
        <f>0</f>
        <v>0</v>
      </c>
      <c r="Y8" s="4"/>
      <c r="Z8" s="5">
        <f t="shared" ref="Z8:AG8" si="1">X8</f>
        <v>0</v>
      </c>
      <c r="AA8" s="5">
        <f t="shared" si="1"/>
        <v>0</v>
      </c>
      <c r="AB8" s="5">
        <f t="shared" si="1"/>
        <v>0</v>
      </c>
      <c r="AC8" s="5">
        <f t="shared" si="1"/>
        <v>0</v>
      </c>
      <c r="AD8" s="5">
        <f t="shared" si="1"/>
        <v>0</v>
      </c>
      <c r="AE8" s="5">
        <f t="shared" si="1"/>
        <v>0</v>
      </c>
      <c r="AF8" s="5">
        <f t="shared" si="1"/>
        <v>0</v>
      </c>
      <c r="AG8" s="5">
        <f t="shared" si="1"/>
        <v>0</v>
      </c>
    </row>
    <row r="9" spans="1:33" x14ac:dyDescent="0.25">
      <c r="A9" s="3" t="s">
        <v>20</v>
      </c>
      <c r="B9" s="5">
        <f>167372.57</f>
        <v>167372.57</v>
      </c>
      <c r="C9" s="4"/>
      <c r="D9" s="5">
        <f>190542.65</f>
        <v>190542.65</v>
      </c>
      <c r="E9" s="4"/>
      <c r="F9" s="5">
        <f>114309.99</f>
        <v>114309.99</v>
      </c>
      <c r="G9" s="4"/>
      <c r="H9" s="5">
        <f>327349.27</f>
        <v>327349.27</v>
      </c>
      <c r="I9" s="4"/>
      <c r="J9" s="5">
        <f>320054.98</f>
        <v>320054.98</v>
      </c>
      <c r="K9" s="4"/>
      <c r="L9" s="5">
        <f>113052.12</f>
        <v>113052.12</v>
      </c>
      <c r="M9" s="4"/>
      <c r="N9" s="5">
        <f>66822.09</f>
        <v>66822.09</v>
      </c>
      <c r="O9" s="4"/>
      <c r="P9" s="5">
        <f>94276.01</f>
        <v>94276.01</v>
      </c>
      <c r="Q9" s="4"/>
      <c r="R9" s="5">
        <f>343515.17</f>
        <v>343515.17</v>
      </c>
      <c r="S9" s="4"/>
      <c r="T9" s="5">
        <f>313705.76</f>
        <v>313705.76</v>
      </c>
      <c r="U9" s="4"/>
      <c r="V9" s="5">
        <f>158188.6</f>
        <v>158188.6</v>
      </c>
      <c r="W9" s="4"/>
      <c r="X9" s="5">
        <f>121001.18</f>
        <v>121001.18</v>
      </c>
      <c r="Y9" s="4"/>
      <c r="Z9" s="5">
        <f>176211.5</f>
        <v>176211.5</v>
      </c>
      <c r="AA9" s="4"/>
      <c r="AB9" s="5">
        <f>154560.32</f>
        <v>154560.32000000001</v>
      </c>
      <c r="AC9" s="4"/>
      <c r="AD9" s="5">
        <f>467134.62</f>
        <v>467134.62</v>
      </c>
      <c r="AE9" s="4"/>
      <c r="AF9" s="5">
        <f>386958.22</f>
        <v>386958.22</v>
      </c>
      <c r="AG9" s="4"/>
    </row>
    <row r="10" spans="1:33" x14ac:dyDescent="0.25">
      <c r="A10" s="3" t="s">
        <v>21</v>
      </c>
      <c r="B10" s="5">
        <f>0</f>
        <v>0</v>
      </c>
      <c r="C10" s="4"/>
      <c r="D10" s="5">
        <f t="shared" ref="D10:AG10" si="2">B10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f t="shared" si="2"/>
        <v>0</v>
      </c>
      <c r="O10" s="5">
        <f t="shared" si="2"/>
        <v>0</v>
      </c>
      <c r="P10" s="5">
        <f t="shared" si="2"/>
        <v>0</v>
      </c>
      <c r="Q10" s="5">
        <f t="shared" si="2"/>
        <v>0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  <c r="X10" s="5">
        <f t="shared" si="2"/>
        <v>0</v>
      </c>
      <c r="Y10" s="5">
        <f t="shared" si="2"/>
        <v>0</v>
      </c>
      <c r="Z10" s="5">
        <f t="shared" si="2"/>
        <v>0</v>
      </c>
      <c r="AA10" s="5">
        <f t="shared" si="2"/>
        <v>0</v>
      </c>
      <c r="AB10" s="5">
        <f t="shared" si="2"/>
        <v>0</v>
      </c>
      <c r="AC10" s="5">
        <f t="shared" si="2"/>
        <v>0</v>
      </c>
      <c r="AD10" s="5">
        <f t="shared" si="2"/>
        <v>0</v>
      </c>
      <c r="AE10" s="5">
        <f t="shared" si="2"/>
        <v>0</v>
      </c>
      <c r="AF10" s="5">
        <f t="shared" si="2"/>
        <v>0</v>
      </c>
      <c r="AG10" s="5">
        <f t="shared" si="2"/>
        <v>0</v>
      </c>
    </row>
    <row r="11" spans="1:33" x14ac:dyDescent="0.25">
      <c r="A11" s="3" t="s">
        <v>22</v>
      </c>
      <c r="B11" s="5">
        <f>22230.12</f>
        <v>22230.12</v>
      </c>
      <c r="C11" s="4"/>
      <c r="D11" s="5">
        <f>25467.76</f>
        <v>25467.759999999998</v>
      </c>
      <c r="E11" s="4"/>
      <c r="F11" s="5">
        <f>21639.8</f>
        <v>21639.8</v>
      </c>
      <c r="G11" s="4"/>
      <c r="H11" s="5">
        <f>28561.98</f>
        <v>28561.98</v>
      </c>
      <c r="I11" s="4"/>
      <c r="J11" s="5">
        <f>0</f>
        <v>0</v>
      </c>
      <c r="K11" s="4"/>
      <c r="L11" s="5">
        <f t="shared" ref="L11:AG11" si="3">J11</f>
        <v>0</v>
      </c>
      <c r="M11" s="5">
        <f t="shared" si="3"/>
        <v>0</v>
      </c>
      <c r="N11" s="5">
        <f t="shared" si="3"/>
        <v>0</v>
      </c>
      <c r="O11" s="5">
        <f t="shared" si="3"/>
        <v>0</v>
      </c>
      <c r="P11" s="5">
        <f t="shared" si="3"/>
        <v>0</v>
      </c>
      <c r="Q11" s="5">
        <f t="shared" si="3"/>
        <v>0</v>
      </c>
      <c r="R11" s="5">
        <f t="shared" si="3"/>
        <v>0</v>
      </c>
      <c r="S11" s="5">
        <f t="shared" si="3"/>
        <v>0</v>
      </c>
      <c r="T11" s="5">
        <f t="shared" si="3"/>
        <v>0</v>
      </c>
      <c r="U11" s="5">
        <f t="shared" si="3"/>
        <v>0</v>
      </c>
      <c r="V11" s="5">
        <f t="shared" si="3"/>
        <v>0</v>
      </c>
      <c r="W11" s="5">
        <f t="shared" si="3"/>
        <v>0</v>
      </c>
      <c r="X11" s="5">
        <f t="shared" si="3"/>
        <v>0</v>
      </c>
      <c r="Y11" s="5">
        <f t="shared" si="3"/>
        <v>0</v>
      </c>
      <c r="Z11" s="5">
        <f t="shared" si="3"/>
        <v>0</v>
      </c>
      <c r="AA11" s="5">
        <f t="shared" si="3"/>
        <v>0</v>
      </c>
      <c r="AB11" s="5">
        <f t="shared" si="3"/>
        <v>0</v>
      </c>
      <c r="AC11" s="5">
        <f t="shared" si="3"/>
        <v>0</v>
      </c>
      <c r="AD11" s="5">
        <f t="shared" si="3"/>
        <v>0</v>
      </c>
      <c r="AE11" s="5">
        <f t="shared" si="3"/>
        <v>0</v>
      </c>
      <c r="AF11" s="5">
        <f t="shared" si="3"/>
        <v>0</v>
      </c>
      <c r="AG11" s="5">
        <f t="shared" si="3"/>
        <v>0</v>
      </c>
    </row>
    <row r="12" spans="1:33" x14ac:dyDescent="0.25">
      <c r="A12" s="3" t="s">
        <v>23</v>
      </c>
      <c r="B12" s="5">
        <f>95398.04</f>
        <v>95398.04</v>
      </c>
      <c r="C12" s="4"/>
      <c r="D12" s="5">
        <f>116477.89</f>
        <v>116477.89</v>
      </c>
      <c r="E12" s="4"/>
      <c r="F12" s="5">
        <f>162566.97</f>
        <v>162566.97</v>
      </c>
      <c r="G12" s="4"/>
      <c r="H12" s="5">
        <f>0</f>
        <v>0</v>
      </c>
      <c r="I12" s="4"/>
      <c r="J12" s="5">
        <f>24025.75</f>
        <v>24025.75</v>
      </c>
      <c r="K12" s="4"/>
      <c r="L12" s="5">
        <f>91417.54</f>
        <v>91417.54</v>
      </c>
      <c r="M12" s="4"/>
      <c r="N12" s="5">
        <f>128183.24</f>
        <v>128183.24</v>
      </c>
      <c r="O12" s="4"/>
      <c r="P12" s="5">
        <f>228170.46</f>
        <v>228170.46</v>
      </c>
      <c r="Q12" s="4"/>
      <c r="R12" s="5">
        <f>0</f>
        <v>0</v>
      </c>
      <c r="S12" s="4"/>
      <c r="T12" s="5">
        <f>27891.87</f>
        <v>27891.87</v>
      </c>
      <c r="U12" s="4"/>
      <c r="V12" s="5">
        <f>66518.34</f>
        <v>66518.34</v>
      </c>
      <c r="W12" s="4"/>
      <c r="X12" s="5">
        <f>127767.37</f>
        <v>127767.37</v>
      </c>
      <c r="Y12" s="4"/>
      <c r="Z12" s="5">
        <f>261675</f>
        <v>261675</v>
      </c>
      <c r="AA12" s="4"/>
      <c r="AB12" s="5">
        <f>235800</f>
        <v>235800</v>
      </c>
      <c r="AC12" s="4"/>
      <c r="AD12" s="5">
        <f>0</f>
        <v>0</v>
      </c>
      <c r="AE12" s="4"/>
      <c r="AF12" s="5">
        <f>AD12</f>
        <v>0</v>
      </c>
      <c r="AG12" s="5">
        <f>AE12</f>
        <v>0</v>
      </c>
    </row>
    <row r="13" spans="1:33" x14ac:dyDescent="0.25">
      <c r="A13" s="3" t="s">
        <v>24</v>
      </c>
      <c r="B13" s="5">
        <f>0</f>
        <v>0</v>
      </c>
      <c r="C13" s="4"/>
      <c r="D13" s="5">
        <f t="shared" ref="D13:AE13" si="4">B13</f>
        <v>0</v>
      </c>
      <c r="E13" s="5">
        <f t="shared" si="4"/>
        <v>0</v>
      </c>
      <c r="F13" s="5">
        <f t="shared" si="4"/>
        <v>0</v>
      </c>
      <c r="G13" s="5">
        <f t="shared" si="4"/>
        <v>0</v>
      </c>
      <c r="H13" s="5">
        <f t="shared" si="4"/>
        <v>0</v>
      </c>
      <c r="I13" s="5">
        <f t="shared" si="4"/>
        <v>0</v>
      </c>
      <c r="J13" s="5">
        <f t="shared" si="4"/>
        <v>0</v>
      </c>
      <c r="K13" s="5">
        <f t="shared" si="4"/>
        <v>0</v>
      </c>
      <c r="L13" s="5">
        <f t="shared" si="4"/>
        <v>0</v>
      </c>
      <c r="M13" s="5">
        <f t="shared" si="4"/>
        <v>0</v>
      </c>
      <c r="N13" s="5">
        <f t="shared" si="4"/>
        <v>0</v>
      </c>
      <c r="O13" s="5">
        <f t="shared" si="4"/>
        <v>0</v>
      </c>
      <c r="P13" s="5">
        <f t="shared" si="4"/>
        <v>0</v>
      </c>
      <c r="Q13" s="5">
        <f t="shared" si="4"/>
        <v>0</v>
      </c>
      <c r="R13" s="5">
        <f t="shared" si="4"/>
        <v>0</v>
      </c>
      <c r="S13" s="5">
        <f t="shared" si="4"/>
        <v>0</v>
      </c>
      <c r="T13" s="5">
        <f t="shared" si="4"/>
        <v>0</v>
      </c>
      <c r="U13" s="5">
        <f t="shared" si="4"/>
        <v>0</v>
      </c>
      <c r="V13" s="5">
        <f t="shared" si="4"/>
        <v>0</v>
      </c>
      <c r="W13" s="5">
        <f t="shared" si="4"/>
        <v>0</v>
      </c>
      <c r="X13" s="5">
        <f t="shared" si="4"/>
        <v>0</v>
      </c>
      <c r="Y13" s="5">
        <f t="shared" si="4"/>
        <v>0</v>
      </c>
      <c r="Z13" s="5">
        <f t="shared" si="4"/>
        <v>0</v>
      </c>
      <c r="AA13" s="5">
        <f t="shared" si="4"/>
        <v>0</v>
      </c>
      <c r="AB13" s="5">
        <f t="shared" si="4"/>
        <v>0</v>
      </c>
      <c r="AC13" s="5">
        <f t="shared" si="4"/>
        <v>0</v>
      </c>
      <c r="AD13" s="5">
        <f t="shared" si="4"/>
        <v>0</v>
      </c>
      <c r="AE13" s="5">
        <f t="shared" si="4"/>
        <v>0</v>
      </c>
      <c r="AF13" s="5">
        <f>AD13</f>
        <v>0</v>
      </c>
      <c r="AG13" s="5">
        <f>AE13</f>
        <v>0</v>
      </c>
    </row>
    <row r="14" spans="1:33" x14ac:dyDescent="0.25">
      <c r="A14" s="3" t="s">
        <v>25</v>
      </c>
      <c r="B14" s="4"/>
      <c r="C14" s="5">
        <f>3422.52</f>
        <v>3422.52</v>
      </c>
      <c r="D14" s="4"/>
      <c r="E14" s="5">
        <f>2538.41</f>
        <v>2538.41</v>
      </c>
      <c r="F14" s="4"/>
      <c r="G14" s="5">
        <f>4623.04</f>
        <v>4623.04</v>
      </c>
      <c r="H14" s="4"/>
      <c r="I14" s="5">
        <f>160761.4</f>
        <v>160761.4</v>
      </c>
      <c r="J14" s="4"/>
      <c r="K14" s="5">
        <f>171918.24</f>
        <v>171918.24</v>
      </c>
      <c r="L14" s="5">
        <f>24573.22</f>
        <v>24573.22</v>
      </c>
      <c r="M14" s="4"/>
      <c r="N14" s="5">
        <f>31331.89</f>
        <v>31331.89</v>
      </c>
      <c r="O14" s="4"/>
      <c r="P14" s="5">
        <f>22942.98</f>
        <v>22942.98</v>
      </c>
      <c r="Q14" s="4"/>
      <c r="R14" s="4"/>
      <c r="S14" s="5">
        <f>136160.31</f>
        <v>136160.31</v>
      </c>
      <c r="T14" s="4"/>
      <c r="U14" s="5">
        <f>127529.51</f>
        <v>127529.51</v>
      </c>
      <c r="V14" s="4"/>
      <c r="W14" s="5">
        <f>129297.21</f>
        <v>129297.21</v>
      </c>
      <c r="X14" s="4"/>
      <c r="Y14" s="5">
        <f>4624.39</f>
        <v>4624.3900000000003</v>
      </c>
      <c r="Z14" s="4"/>
      <c r="AA14" s="5">
        <f>8868.89</f>
        <v>8868.89</v>
      </c>
      <c r="AB14" s="4"/>
      <c r="AC14" s="5">
        <f>8154.85</f>
        <v>8154.85</v>
      </c>
      <c r="AD14" s="4"/>
      <c r="AE14" s="5">
        <f>226721.64</f>
        <v>226721.64</v>
      </c>
      <c r="AF14" s="4"/>
      <c r="AG14" s="5">
        <f>201051.54</f>
        <v>201051.54</v>
      </c>
    </row>
    <row r="15" spans="1:33" x14ac:dyDescent="0.25">
      <c r="A15" s="3" t="s">
        <v>26</v>
      </c>
      <c r="B15" s="5">
        <f>0</f>
        <v>0</v>
      </c>
      <c r="C15" s="4"/>
      <c r="D15" s="5">
        <f t="shared" ref="D15:M19" si="5">B15</f>
        <v>0</v>
      </c>
      <c r="E15" s="5">
        <f t="shared" si="5"/>
        <v>0</v>
      </c>
      <c r="F15" s="5">
        <f t="shared" si="5"/>
        <v>0</v>
      </c>
      <c r="G15" s="5">
        <f t="shared" si="5"/>
        <v>0</v>
      </c>
      <c r="H15" s="5">
        <f t="shared" si="5"/>
        <v>0</v>
      </c>
      <c r="I15" s="5">
        <f t="shared" si="5"/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  <c r="N15" s="5">
        <f t="shared" ref="N15:W19" si="6">L15</f>
        <v>0</v>
      </c>
      <c r="O15" s="5">
        <f t="shared" si="6"/>
        <v>0</v>
      </c>
      <c r="P15" s="5">
        <f t="shared" si="6"/>
        <v>0</v>
      </c>
      <c r="Q15" s="5">
        <f t="shared" si="6"/>
        <v>0</v>
      </c>
      <c r="R15" s="5">
        <f t="shared" si="6"/>
        <v>0</v>
      </c>
      <c r="S15" s="5">
        <f t="shared" si="6"/>
        <v>0</v>
      </c>
      <c r="T15" s="5">
        <f t="shared" si="6"/>
        <v>0</v>
      </c>
      <c r="U15" s="5">
        <f t="shared" si="6"/>
        <v>0</v>
      </c>
      <c r="V15" s="5">
        <f t="shared" si="6"/>
        <v>0</v>
      </c>
      <c r="W15" s="5">
        <f t="shared" si="6"/>
        <v>0</v>
      </c>
      <c r="X15" s="5">
        <f t="shared" ref="X15:AG19" si="7">V15</f>
        <v>0</v>
      </c>
      <c r="Y15" s="5">
        <f t="shared" si="7"/>
        <v>0</v>
      </c>
      <c r="Z15" s="5">
        <f t="shared" si="7"/>
        <v>0</v>
      </c>
      <c r="AA15" s="5">
        <f t="shared" si="7"/>
        <v>0</v>
      </c>
      <c r="AB15" s="5">
        <f t="shared" si="7"/>
        <v>0</v>
      </c>
      <c r="AC15" s="5">
        <f t="shared" si="7"/>
        <v>0</v>
      </c>
      <c r="AD15" s="5">
        <f t="shared" si="7"/>
        <v>0</v>
      </c>
      <c r="AE15" s="5">
        <f t="shared" si="7"/>
        <v>0</v>
      </c>
      <c r="AF15" s="5">
        <f t="shared" si="7"/>
        <v>0</v>
      </c>
      <c r="AG15" s="5">
        <f t="shared" si="7"/>
        <v>0</v>
      </c>
    </row>
    <row r="16" spans="1:33" x14ac:dyDescent="0.25">
      <c r="A16" s="3" t="s">
        <v>27</v>
      </c>
      <c r="B16" s="5">
        <f>0</f>
        <v>0</v>
      </c>
      <c r="C16" s="4"/>
      <c r="D16" s="5">
        <f t="shared" si="5"/>
        <v>0</v>
      </c>
      <c r="E16" s="5">
        <f t="shared" si="5"/>
        <v>0</v>
      </c>
      <c r="F16" s="5">
        <f t="shared" si="5"/>
        <v>0</v>
      </c>
      <c r="G16" s="5">
        <f t="shared" si="5"/>
        <v>0</v>
      </c>
      <c r="H16" s="5">
        <f t="shared" si="5"/>
        <v>0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  <c r="N16" s="5">
        <f t="shared" si="6"/>
        <v>0</v>
      </c>
      <c r="O16" s="5">
        <f t="shared" si="6"/>
        <v>0</v>
      </c>
      <c r="P16" s="5">
        <f t="shared" si="6"/>
        <v>0</v>
      </c>
      <c r="Q16" s="5">
        <f t="shared" si="6"/>
        <v>0</v>
      </c>
      <c r="R16" s="5">
        <f t="shared" si="6"/>
        <v>0</v>
      </c>
      <c r="S16" s="5">
        <f t="shared" si="6"/>
        <v>0</v>
      </c>
      <c r="T16" s="5">
        <f t="shared" si="6"/>
        <v>0</v>
      </c>
      <c r="U16" s="5">
        <f t="shared" si="6"/>
        <v>0</v>
      </c>
      <c r="V16" s="5">
        <f t="shared" si="6"/>
        <v>0</v>
      </c>
      <c r="W16" s="5">
        <f t="shared" si="6"/>
        <v>0</v>
      </c>
      <c r="X16" s="5">
        <f t="shared" si="7"/>
        <v>0</v>
      </c>
      <c r="Y16" s="5">
        <f t="shared" si="7"/>
        <v>0</v>
      </c>
      <c r="Z16" s="5">
        <f t="shared" si="7"/>
        <v>0</v>
      </c>
      <c r="AA16" s="5">
        <f t="shared" si="7"/>
        <v>0</v>
      </c>
      <c r="AB16" s="5">
        <f t="shared" si="7"/>
        <v>0</v>
      </c>
      <c r="AC16" s="5">
        <f t="shared" si="7"/>
        <v>0</v>
      </c>
      <c r="AD16" s="5">
        <f t="shared" si="7"/>
        <v>0</v>
      </c>
      <c r="AE16" s="5">
        <f t="shared" si="7"/>
        <v>0</v>
      </c>
      <c r="AF16" s="5">
        <f t="shared" si="7"/>
        <v>0</v>
      </c>
      <c r="AG16" s="5">
        <f t="shared" si="7"/>
        <v>0</v>
      </c>
    </row>
    <row r="17" spans="1:33" x14ac:dyDescent="0.25">
      <c r="A17" s="3" t="s">
        <v>28</v>
      </c>
      <c r="B17" s="5">
        <f>0</f>
        <v>0</v>
      </c>
      <c r="C17" s="4"/>
      <c r="D17" s="5">
        <f t="shared" si="5"/>
        <v>0</v>
      </c>
      <c r="E17" s="5">
        <f t="shared" si="5"/>
        <v>0</v>
      </c>
      <c r="F17" s="5">
        <f t="shared" si="5"/>
        <v>0</v>
      </c>
      <c r="G17" s="5">
        <f t="shared" si="5"/>
        <v>0</v>
      </c>
      <c r="H17" s="5">
        <f t="shared" si="5"/>
        <v>0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  <c r="N17" s="5">
        <f t="shared" si="6"/>
        <v>0</v>
      </c>
      <c r="O17" s="5">
        <f t="shared" si="6"/>
        <v>0</v>
      </c>
      <c r="P17" s="5">
        <f t="shared" si="6"/>
        <v>0</v>
      </c>
      <c r="Q17" s="5">
        <f t="shared" si="6"/>
        <v>0</v>
      </c>
      <c r="R17" s="5">
        <f t="shared" si="6"/>
        <v>0</v>
      </c>
      <c r="S17" s="5">
        <f t="shared" si="6"/>
        <v>0</v>
      </c>
      <c r="T17" s="5">
        <f t="shared" si="6"/>
        <v>0</v>
      </c>
      <c r="U17" s="5">
        <f t="shared" si="6"/>
        <v>0</v>
      </c>
      <c r="V17" s="5">
        <f t="shared" si="6"/>
        <v>0</v>
      </c>
      <c r="W17" s="5">
        <f t="shared" si="6"/>
        <v>0</v>
      </c>
      <c r="X17" s="5">
        <f t="shared" si="7"/>
        <v>0</v>
      </c>
      <c r="Y17" s="5">
        <f t="shared" si="7"/>
        <v>0</v>
      </c>
      <c r="Z17" s="5">
        <f t="shared" si="7"/>
        <v>0</v>
      </c>
      <c r="AA17" s="5">
        <f t="shared" si="7"/>
        <v>0</v>
      </c>
      <c r="AB17" s="5">
        <f t="shared" si="7"/>
        <v>0</v>
      </c>
      <c r="AC17" s="5">
        <f t="shared" si="7"/>
        <v>0</v>
      </c>
      <c r="AD17" s="5">
        <f t="shared" si="7"/>
        <v>0</v>
      </c>
      <c r="AE17" s="5">
        <f t="shared" si="7"/>
        <v>0</v>
      </c>
      <c r="AF17" s="5">
        <f t="shared" si="7"/>
        <v>0</v>
      </c>
      <c r="AG17" s="5">
        <f t="shared" si="7"/>
        <v>0</v>
      </c>
    </row>
    <row r="18" spans="1:33" x14ac:dyDescent="0.25">
      <c r="A18" s="3" t="s">
        <v>29</v>
      </c>
      <c r="B18" s="5">
        <f>0</f>
        <v>0</v>
      </c>
      <c r="C18" s="4"/>
      <c r="D18" s="5">
        <f t="shared" si="5"/>
        <v>0</v>
      </c>
      <c r="E18" s="5">
        <f t="shared" si="5"/>
        <v>0</v>
      </c>
      <c r="F18" s="5">
        <f t="shared" si="5"/>
        <v>0</v>
      </c>
      <c r="G18" s="5">
        <f t="shared" si="5"/>
        <v>0</v>
      </c>
      <c r="H18" s="5">
        <f t="shared" si="5"/>
        <v>0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  <c r="N18" s="5">
        <f t="shared" si="6"/>
        <v>0</v>
      </c>
      <c r="O18" s="5">
        <f t="shared" si="6"/>
        <v>0</v>
      </c>
      <c r="P18" s="5">
        <f t="shared" si="6"/>
        <v>0</v>
      </c>
      <c r="Q18" s="5">
        <f t="shared" si="6"/>
        <v>0</v>
      </c>
      <c r="R18" s="5">
        <f t="shared" si="6"/>
        <v>0</v>
      </c>
      <c r="S18" s="5">
        <f t="shared" si="6"/>
        <v>0</v>
      </c>
      <c r="T18" s="5">
        <f t="shared" si="6"/>
        <v>0</v>
      </c>
      <c r="U18" s="5">
        <f t="shared" si="6"/>
        <v>0</v>
      </c>
      <c r="V18" s="5">
        <f t="shared" si="6"/>
        <v>0</v>
      </c>
      <c r="W18" s="5">
        <f t="shared" si="6"/>
        <v>0</v>
      </c>
      <c r="X18" s="5">
        <f t="shared" si="7"/>
        <v>0</v>
      </c>
      <c r="Y18" s="5">
        <f t="shared" si="7"/>
        <v>0</v>
      </c>
      <c r="Z18" s="5">
        <f t="shared" si="7"/>
        <v>0</v>
      </c>
      <c r="AA18" s="5">
        <f t="shared" si="7"/>
        <v>0</v>
      </c>
      <c r="AB18" s="5">
        <f t="shared" si="7"/>
        <v>0</v>
      </c>
      <c r="AC18" s="5">
        <f t="shared" si="7"/>
        <v>0</v>
      </c>
      <c r="AD18" s="5">
        <f t="shared" si="7"/>
        <v>0</v>
      </c>
      <c r="AE18" s="5">
        <f t="shared" si="7"/>
        <v>0</v>
      </c>
      <c r="AF18" s="5">
        <f t="shared" si="7"/>
        <v>0</v>
      </c>
      <c r="AG18" s="5">
        <f t="shared" si="7"/>
        <v>0</v>
      </c>
    </row>
    <row r="19" spans="1:33" x14ac:dyDescent="0.25">
      <c r="A19" s="3" t="s">
        <v>30</v>
      </c>
      <c r="B19" s="5">
        <f>0</f>
        <v>0</v>
      </c>
      <c r="C19" s="4"/>
      <c r="D19" s="5">
        <f t="shared" si="5"/>
        <v>0</v>
      </c>
      <c r="E19" s="5">
        <f t="shared" si="5"/>
        <v>0</v>
      </c>
      <c r="F19" s="5">
        <f t="shared" si="5"/>
        <v>0</v>
      </c>
      <c r="G19" s="5">
        <f t="shared" si="5"/>
        <v>0</v>
      </c>
      <c r="H19" s="5">
        <f t="shared" si="5"/>
        <v>0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  <c r="N19" s="5">
        <f t="shared" si="6"/>
        <v>0</v>
      </c>
      <c r="O19" s="5">
        <f t="shared" si="6"/>
        <v>0</v>
      </c>
      <c r="P19" s="5">
        <f t="shared" si="6"/>
        <v>0</v>
      </c>
      <c r="Q19" s="5">
        <f t="shared" si="6"/>
        <v>0</v>
      </c>
      <c r="R19" s="5">
        <f t="shared" si="6"/>
        <v>0</v>
      </c>
      <c r="S19" s="5">
        <f t="shared" si="6"/>
        <v>0</v>
      </c>
      <c r="T19" s="5">
        <f t="shared" si="6"/>
        <v>0</v>
      </c>
      <c r="U19" s="5">
        <f t="shared" si="6"/>
        <v>0</v>
      </c>
      <c r="V19" s="5">
        <f t="shared" si="6"/>
        <v>0</v>
      </c>
      <c r="W19" s="5">
        <f t="shared" si="6"/>
        <v>0</v>
      </c>
      <c r="X19" s="5">
        <f t="shared" si="7"/>
        <v>0</v>
      </c>
      <c r="Y19" s="5">
        <f t="shared" si="7"/>
        <v>0</v>
      </c>
      <c r="Z19" s="5">
        <f t="shared" si="7"/>
        <v>0</v>
      </c>
      <c r="AA19" s="5">
        <f t="shared" si="7"/>
        <v>0</v>
      </c>
      <c r="AB19" s="5">
        <f t="shared" si="7"/>
        <v>0</v>
      </c>
      <c r="AC19" s="5">
        <f t="shared" si="7"/>
        <v>0</v>
      </c>
      <c r="AD19" s="5">
        <f t="shared" si="7"/>
        <v>0</v>
      </c>
      <c r="AE19" s="5">
        <f t="shared" si="7"/>
        <v>0</v>
      </c>
      <c r="AF19" s="5">
        <f t="shared" si="7"/>
        <v>0</v>
      </c>
      <c r="AG19" s="5">
        <f t="shared" si="7"/>
        <v>0</v>
      </c>
    </row>
    <row r="20" spans="1:33" x14ac:dyDescent="0.25">
      <c r="A20" s="3" t="s">
        <v>31</v>
      </c>
      <c r="B20" s="5">
        <f>0</f>
        <v>0</v>
      </c>
      <c r="C20" s="4"/>
      <c r="D20" s="5">
        <f t="shared" ref="D20:M24" si="8">B20</f>
        <v>0</v>
      </c>
      <c r="E20" s="5">
        <f t="shared" si="8"/>
        <v>0</v>
      </c>
      <c r="F20" s="5">
        <f t="shared" si="8"/>
        <v>0</v>
      </c>
      <c r="G20" s="5">
        <f t="shared" si="8"/>
        <v>0</v>
      </c>
      <c r="H20" s="5">
        <f t="shared" si="8"/>
        <v>0</v>
      </c>
      <c r="I20" s="5">
        <f t="shared" si="8"/>
        <v>0</v>
      </c>
      <c r="J20" s="5">
        <f t="shared" si="8"/>
        <v>0</v>
      </c>
      <c r="K20" s="5">
        <f t="shared" si="8"/>
        <v>0</v>
      </c>
      <c r="L20" s="5">
        <f t="shared" si="8"/>
        <v>0</v>
      </c>
      <c r="M20" s="5">
        <f t="shared" si="8"/>
        <v>0</v>
      </c>
      <c r="N20" s="5">
        <f t="shared" ref="N20:W24" si="9">L20</f>
        <v>0</v>
      </c>
      <c r="O20" s="5">
        <f t="shared" si="9"/>
        <v>0</v>
      </c>
      <c r="P20" s="5">
        <f t="shared" si="9"/>
        <v>0</v>
      </c>
      <c r="Q20" s="5">
        <f t="shared" si="9"/>
        <v>0</v>
      </c>
      <c r="R20" s="5">
        <f t="shared" si="9"/>
        <v>0</v>
      </c>
      <c r="S20" s="5">
        <f t="shared" si="9"/>
        <v>0</v>
      </c>
      <c r="T20" s="5">
        <f t="shared" si="9"/>
        <v>0</v>
      </c>
      <c r="U20" s="5">
        <f t="shared" si="9"/>
        <v>0</v>
      </c>
      <c r="V20" s="5">
        <f>0</f>
        <v>0</v>
      </c>
      <c r="W20" s="4"/>
      <c r="X20" s="5">
        <f t="shared" ref="X20:X28" si="10">V20</f>
        <v>0</v>
      </c>
      <c r="Y20" s="5">
        <f t="shared" ref="Y20:Y28" si="11">W20</f>
        <v>0</v>
      </c>
      <c r="Z20" s="5">
        <f>0</f>
        <v>0</v>
      </c>
      <c r="AA20" s="4"/>
      <c r="AB20" s="5">
        <f t="shared" ref="AB20:AB28" si="12">Z20</f>
        <v>0</v>
      </c>
      <c r="AC20" s="5">
        <f t="shared" ref="AC20:AC28" si="13">AA20</f>
        <v>0</v>
      </c>
      <c r="AD20" s="5">
        <f t="shared" ref="AD20:AD28" si="14">AB20</f>
        <v>0</v>
      </c>
      <c r="AE20" s="5">
        <f t="shared" ref="AE20:AE28" si="15">AC20</f>
        <v>0</v>
      </c>
      <c r="AF20" s="5">
        <f t="shared" ref="AF20:AF28" si="16">AD20</f>
        <v>0</v>
      </c>
      <c r="AG20" s="5">
        <f t="shared" ref="AG20:AG28" si="17">AE20</f>
        <v>0</v>
      </c>
    </row>
    <row r="21" spans="1:33" x14ac:dyDescent="0.25">
      <c r="A21" s="3" t="s">
        <v>32</v>
      </c>
      <c r="B21" s="5">
        <f>0</f>
        <v>0</v>
      </c>
      <c r="C21" s="4"/>
      <c r="D21" s="5">
        <f t="shared" si="8"/>
        <v>0</v>
      </c>
      <c r="E21" s="5">
        <f t="shared" si="8"/>
        <v>0</v>
      </c>
      <c r="F21" s="5">
        <f t="shared" si="8"/>
        <v>0</v>
      </c>
      <c r="G21" s="5">
        <f t="shared" si="8"/>
        <v>0</v>
      </c>
      <c r="H21" s="5">
        <f t="shared" si="8"/>
        <v>0</v>
      </c>
      <c r="I21" s="5">
        <f t="shared" si="8"/>
        <v>0</v>
      </c>
      <c r="J21" s="5">
        <f t="shared" si="8"/>
        <v>0</v>
      </c>
      <c r="K21" s="5">
        <f t="shared" si="8"/>
        <v>0</v>
      </c>
      <c r="L21" s="5">
        <f t="shared" si="8"/>
        <v>0</v>
      </c>
      <c r="M21" s="5">
        <f t="shared" si="8"/>
        <v>0</v>
      </c>
      <c r="N21" s="5">
        <f t="shared" si="9"/>
        <v>0</v>
      </c>
      <c r="O21" s="5">
        <f t="shared" si="9"/>
        <v>0</v>
      </c>
      <c r="P21" s="5">
        <f t="shared" si="9"/>
        <v>0</v>
      </c>
      <c r="Q21" s="5">
        <f t="shared" si="9"/>
        <v>0</v>
      </c>
      <c r="R21" s="5">
        <f t="shared" si="9"/>
        <v>0</v>
      </c>
      <c r="S21" s="5">
        <f t="shared" si="9"/>
        <v>0</v>
      </c>
      <c r="T21" s="5">
        <f t="shared" si="9"/>
        <v>0</v>
      </c>
      <c r="U21" s="5">
        <f t="shared" si="9"/>
        <v>0</v>
      </c>
      <c r="V21" s="5">
        <f t="shared" ref="V21:W28" si="18">T21</f>
        <v>0</v>
      </c>
      <c r="W21" s="5">
        <f t="shared" si="18"/>
        <v>0</v>
      </c>
      <c r="X21" s="5">
        <f t="shared" si="10"/>
        <v>0</v>
      </c>
      <c r="Y21" s="5">
        <f t="shared" si="11"/>
        <v>0</v>
      </c>
      <c r="Z21" s="5">
        <f t="shared" ref="Z21:Z36" si="19">X21</f>
        <v>0</v>
      </c>
      <c r="AA21" s="5">
        <f t="shared" ref="AA21:AA36" si="20">Y21</f>
        <v>0</v>
      </c>
      <c r="AB21" s="5">
        <f t="shared" si="12"/>
        <v>0</v>
      </c>
      <c r="AC21" s="5">
        <f t="shared" si="13"/>
        <v>0</v>
      </c>
      <c r="AD21" s="5">
        <f t="shared" si="14"/>
        <v>0</v>
      </c>
      <c r="AE21" s="5">
        <f t="shared" si="15"/>
        <v>0</v>
      </c>
      <c r="AF21" s="5">
        <f t="shared" si="16"/>
        <v>0</v>
      </c>
      <c r="AG21" s="5">
        <f t="shared" si="17"/>
        <v>0</v>
      </c>
    </row>
    <row r="22" spans="1:33" x14ac:dyDescent="0.25">
      <c r="A22" s="3" t="s">
        <v>33</v>
      </c>
      <c r="B22" s="5">
        <f>0</f>
        <v>0</v>
      </c>
      <c r="C22" s="4"/>
      <c r="D22" s="5">
        <f t="shared" si="8"/>
        <v>0</v>
      </c>
      <c r="E22" s="5">
        <f t="shared" si="8"/>
        <v>0</v>
      </c>
      <c r="F22" s="5">
        <f t="shared" si="8"/>
        <v>0</v>
      </c>
      <c r="G22" s="5">
        <f t="shared" si="8"/>
        <v>0</v>
      </c>
      <c r="H22" s="5">
        <f t="shared" si="8"/>
        <v>0</v>
      </c>
      <c r="I22" s="5">
        <f t="shared" si="8"/>
        <v>0</v>
      </c>
      <c r="J22" s="5">
        <f t="shared" si="8"/>
        <v>0</v>
      </c>
      <c r="K22" s="5">
        <f t="shared" si="8"/>
        <v>0</v>
      </c>
      <c r="L22" s="5">
        <f t="shared" si="8"/>
        <v>0</v>
      </c>
      <c r="M22" s="5">
        <f t="shared" si="8"/>
        <v>0</v>
      </c>
      <c r="N22" s="5">
        <f t="shared" si="9"/>
        <v>0</v>
      </c>
      <c r="O22" s="5">
        <f t="shared" si="9"/>
        <v>0</v>
      </c>
      <c r="P22" s="5">
        <f t="shared" si="9"/>
        <v>0</v>
      </c>
      <c r="Q22" s="5">
        <f t="shared" si="9"/>
        <v>0</v>
      </c>
      <c r="R22" s="5">
        <f t="shared" si="9"/>
        <v>0</v>
      </c>
      <c r="S22" s="5">
        <f t="shared" si="9"/>
        <v>0</v>
      </c>
      <c r="T22" s="5">
        <f t="shared" si="9"/>
        <v>0</v>
      </c>
      <c r="U22" s="5">
        <f t="shared" si="9"/>
        <v>0</v>
      </c>
      <c r="V22" s="5">
        <f t="shared" si="18"/>
        <v>0</v>
      </c>
      <c r="W22" s="5">
        <f t="shared" si="18"/>
        <v>0</v>
      </c>
      <c r="X22" s="5">
        <f t="shared" si="10"/>
        <v>0</v>
      </c>
      <c r="Y22" s="5">
        <f t="shared" si="11"/>
        <v>0</v>
      </c>
      <c r="Z22" s="5">
        <f t="shared" si="19"/>
        <v>0</v>
      </c>
      <c r="AA22" s="5">
        <f t="shared" si="20"/>
        <v>0</v>
      </c>
      <c r="AB22" s="5">
        <f t="shared" si="12"/>
        <v>0</v>
      </c>
      <c r="AC22" s="5">
        <f t="shared" si="13"/>
        <v>0</v>
      </c>
      <c r="AD22" s="5">
        <f t="shared" si="14"/>
        <v>0</v>
      </c>
      <c r="AE22" s="5">
        <f t="shared" si="15"/>
        <v>0</v>
      </c>
      <c r="AF22" s="5">
        <f t="shared" si="16"/>
        <v>0</v>
      </c>
      <c r="AG22" s="5">
        <f t="shared" si="17"/>
        <v>0</v>
      </c>
    </row>
    <row r="23" spans="1:33" x14ac:dyDescent="0.25">
      <c r="A23" s="3" t="s">
        <v>34</v>
      </c>
      <c r="B23" s="5">
        <f>0</f>
        <v>0</v>
      </c>
      <c r="C23" s="4"/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5">
        <f t="shared" si="8"/>
        <v>0</v>
      </c>
      <c r="J23" s="5">
        <f t="shared" si="8"/>
        <v>0</v>
      </c>
      <c r="K23" s="5">
        <f t="shared" si="8"/>
        <v>0</v>
      </c>
      <c r="L23" s="5">
        <f t="shared" si="8"/>
        <v>0</v>
      </c>
      <c r="M23" s="5">
        <f t="shared" si="8"/>
        <v>0</v>
      </c>
      <c r="N23" s="5">
        <f t="shared" si="9"/>
        <v>0</v>
      </c>
      <c r="O23" s="5">
        <f t="shared" si="9"/>
        <v>0</v>
      </c>
      <c r="P23" s="5">
        <f t="shared" si="9"/>
        <v>0</v>
      </c>
      <c r="Q23" s="5">
        <f t="shared" si="9"/>
        <v>0</v>
      </c>
      <c r="R23" s="5">
        <f t="shared" si="9"/>
        <v>0</v>
      </c>
      <c r="S23" s="5">
        <f t="shared" si="9"/>
        <v>0</v>
      </c>
      <c r="T23" s="5">
        <f t="shared" si="9"/>
        <v>0</v>
      </c>
      <c r="U23" s="5">
        <f t="shared" si="9"/>
        <v>0</v>
      </c>
      <c r="V23" s="5">
        <f t="shared" si="18"/>
        <v>0</v>
      </c>
      <c r="W23" s="5">
        <f t="shared" si="18"/>
        <v>0</v>
      </c>
      <c r="X23" s="5">
        <f t="shared" si="10"/>
        <v>0</v>
      </c>
      <c r="Y23" s="5">
        <f t="shared" si="11"/>
        <v>0</v>
      </c>
      <c r="Z23" s="5">
        <f t="shared" si="19"/>
        <v>0</v>
      </c>
      <c r="AA23" s="5">
        <f t="shared" si="20"/>
        <v>0</v>
      </c>
      <c r="AB23" s="5">
        <f t="shared" si="12"/>
        <v>0</v>
      </c>
      <c r="AC23" s="5">
        <f t="shared" si="13"/>
        <v>0</v>
      </c>
      <c r="AD23" s="5">
        <f t="shared" si="14"/>
        <v>0</v>
      </c>
      <c r="AE23" s="5">
        <f t="shared" si="15"/>
        <v>0</v>
      </c>
      <c r="AF23" s="5">
        <f t="shared" si="16"/>
        <v>0</v>
      </c>
      <c r="AG23" s="5">
        <f t="shared" si="17"/>
        <v>0</v>
      </c>
    </row>
    <row r="24" spans="1:33" x14ac:dyDescent="0.25">
      <c r="A24" s="3" t="s">
        <v>35</v>
      </c>
      <c r="B24" s="5">
        <f>0</f>
        <v>0</v>
      </c>
      <c r="C24" s="4"/>
      <c r="D24" s="5">
        <f t="shared" si="8"/>
        <v>0</v>
      </c>
      <c r="E24" s="5">
        <f t="shared" si="8"/>
        <v>0</v>
      </c>
      <c r="F24" s="5">
        <f t="shared" si="8"/>
        <v>0</v>
      </c>
      <c r="G24" s="5">
        <f t="shared" si="8"/>
        <v>0</v>
      </c>
      <c r="H24" s="5">
        <f t="shared" si="8"/>
        <v>0</v>
      </c>
      <c r="I24" s="5">
        <f t="shared" si="8"/>
        <v>0</v>
      </c>
      <c r="J24" s="5">
        <f t="shared" si="8"/>
        <v>0</v>
      </c>
      <c r="K24" s="5">
        <f t="shared" si="8"/>
        <v>0</v>
      </c>
      <c r="L24" s="5">
        <f t="shared" si="8"/>
        <v>0</v>
      </c>
      <c r="M24" s="5">
        <f t="shared" si="8"/>
        <v>0</v>
      </c>
      <c r="N24" s="5">
        <f t="shared" si="9"/>
        <v>0</v>
      </c>
      <c r="O24" s="5">
        <f t="shared" si="9"/>
        <v>0</v>
      </c>
      <c r="P24" s="5">
        <f t="shared" si="9"/>
        <v>0</v>
      </c>
      <c r="Q24" s="5">
        <f t="shared" si="9"/>
        <v>0</v>
      </c>
      <c r="R24" s="5">
        <f t="shared" si="9"/>
        <v>0</v>
      </c>
      <c r="S24" s="5">
        <f t="shared" si="9"/>
        <v>0</v>
      </c>
      <c r="T24" s="5">
        <f t="shared" si="9"/>
        <v>0</v>
      </c>
      <c r="U24" s="5">
        <f t="shared" si="9"/>
        <v>0</v>
      </c>
      <c r="V24" s="5">
        <f t="shared" si="18"/>
        <v>0</v>
      </c>
      <c r="W24" s="5">
        <f t="shared" si="18"/>
        <v>0</v>
      </c>
      <c r="X24" s="5">
        <f t="shared" si="10"/>
        <v>0</v>
      </c>
      <c r="Y24" s="5">
        <f t="shared" si="11"/>
        <v>0</v>
      </c>
      <c r="Z24" s="5">
        <f t="shared" si="19"/>
        <v>0</v>
      </c>
      <c r="AA24" s="5">
        <f t="shared" si="20"/>
        <v>0</v>
      </c>
      <c r="AB24" s="5">
        <f t="shared" si="12"/>
        <v>0</v>
      </c>
      <c r="AC24" s="5">
        <f t="shared" si="13"/>
        <v>0</v>
      </c>
      <c r="AD24" s="5">
        <f t="shared" si="14"/>
        <v>0</v>
      </c>
      <c r="AE24" s="5">
        <f t="shared" si="15"/>
        <v>0</v>
      </c>
      <c r="AF24" s="5">
        <f t="shared" si="16"/>
        <v>0</v>
      </c>
      <c r="AG24" s="5">
        <f t="shared" si="17"/>
        <v>0</v>
      </c>
    </row>
    <row r="25" spans="1:33" x14ac:dyDescent="0.25">
      <c r="A25" s="3" t="s">
        <v>36</v>
      </c>
      <c r="B25" s="5">
        <f>0</f>
        <v>0</v>
      </c>
      <c r="C25" s="4"/>
      <c r="D25" s="5">
        <f t="shared" ref="D25:K31" si="21">B25</f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>0</f>
        <v>0</v>
      </c>
      <c r="M25" s="4"/>
      <c r="N25" s="5">
        <f t="shared" ref="N25:U28" si="22">L25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5">
        <f t="shared" si="22"/>
        <v>0</v>
      </c>
      <c r="S25" s="5">
        <f t="shared" si="22"/>
        <v>0</v>
      </c>
      <c r="T25" s="5">
        <f t="shared" si="22"/>
        <v>0</v>
      </c>
      <c r="U25" s="5">
        <f t="shared" si="22"/>
        <v>0</v>
      </c>
      <c r="V25" s="5">
        <f t="shared" si="18"/>
        <v>0</v>
      </c>
      <c r="W25" s="5">
        <f t="shared" si="18"/>
        <v>0</v>
      </c>
      <c r="X25" s="5">
        <f t="shared" si="10"/>
        <v>0</v>
      </c>
      <c r="Y25" s="5">
        <f t="shared" si="11"/>
        <v>0</v>
      </c>
      <c r="Z25" s="5">
        <f t="shared" si="19"/>
        <v>0</v>
      </c>
      <c r="AA25" s="5">
        <f t="shared" si="20"/>
        <v>0</v>
      </c>
      <c r="AB25" s="5">
        <f t="shared" si="12"/>
        <v>0</v>
      </c>
      <c r="AC25" s="5">
        <f t="shared" si="13"/>
        <v>0</v>
      </c>
      <c r="AD25" s="5">
        <f t="shared" si="14"/>
        <v>0</v>
      </c>
      <c r="AE25" s="5">
        <f t="shared" si="15"/>
        <v>0</v>
      </c>
      <c r="AF25" s="5">
        <f t="shared" si="16"/>
        <v>0</v>
      </c>
      <c r="AG25" s="5">
        <f t="shared" si="17"/>
        <v>0</v>
      </c>
    </row>
    <row r="26" spans="1:33" x14ac:dyDescent="0.25">
      <c r="A26" s="3" t="s">
        <v>37</v>
      </c>
      <c r="B26" s="5">
        <f>0</f>
        <v>0</v>
      </c>
      <c r="C26" s="4"/>
      <c r="D26" s="5">
        <f t="shared" si="21"/>
        <v>0</v>
      </c>
      <c r="E26" s="5">
        <f t="shared" si="21"/>
        <v>0</v>
      </c>
      <c r="F26" s="5">
        <f t="shared" si="21"/>
        <v>0</v>
      </c>
      <c r="G26" s="5">
        <f t="shared" si="21"/>
        <v>0</v>
      </c>
      <c r="H26" s="5">
        <f t="shared" si="21"/>
        <v>0</v>
      </c>
      <c r="I26" s="5">
        <f t="shared" si="21"/>
        <v>0</v>
      </c>
      <c r="J26" s="5">
        <f t="shared" si="21"/>
        <v>0</v>
      </c>
      <c r="K26" s="5">
        <f t="shared" si="21"/>
        <v>0</v>
      </c>
      <c r="L26" s="5">
        <f t="shared" ref="L26:M31" si="23">J26</f>
        <v>0</v>
      </c>
      <c r="M26" s="5">
        <f t="shared" si="23"/>
        <v>0</v>
      </c>
      <c r="N26" s="5">
        <f t="shared" si="22"/>
        <v>0</v>
      </c>
      <c r="O26" s="5">
        <f t="shared" si="22"/>
        <v>0</v>
      </c>
      <c r="P26" s="5">
        <f t="shared" si="22"/>
        <v>0</v>
      </c>
      <c r="Q26" s="5">
        <f t="shared" si="22"/>
        <v>0</v>
      </c>
      <c r="R26" s="5">
        <f t="shared" si="22"/>
        <v>0</v>
      </c>
      <c r="S26" s="5">
        <f t="shared" si="22"/>
        <v>0</v>
      </c>
      <c r="T26" s="5">
        <f t="shared" si="22"/>
        <v>0</v>
      </c>
      <c r="U26" s="5">
        <f t="shared" si="22"/>
        <v>0</v>
      </c>
      <c r="V26" s="5">
        <f t="shared" si="18"/>
        <v>0</v>
      </c>
      <c r="W26" s="5">
        <f t="shared" si="18"/>
        <v>0</v>
      </c>
      <c r="X26" s="5">
        <f t="shared" si="10"/>
        <v>0</v>
      </c>
      <c r="Y26" s="5">
        <f t="shared" si="11"/>
        <v>0</v>
      </c>
      <c r="Z26" s="5">
        <f t="shared" si="19"/>
        <v>0</v>
      </c>
      <c r="AA26" s="5">
        <f t="shared" si="20"/>
        <v>0</v>
      </c>
      <c r="AB26" s="5">
        <f t="shared" si="12"/>
        <v>0</v>
      </c>
      <c r="AC26" s="5">
        <f t="shared" si="13"/>
        <v>0</v>
      </c>
      <c r="AD26" s="5">
        <f t="shared" si="14"/>
        <v>0</v>
      </c>
      <c r="AE26" s="5">
        <f t="shared" si="15"/>
        <v>0</v>
      </c>
      <c r="AF26" s="5">
        <f t="shared" si="16"/>
        <v>0</v>
      </c>
      <c r="AG26" s="5">
        <f t="shared" si="17"/>
        <v>0</v>
      </c>
    </row>
    <row r="27" spans="1:33" x14ac:dyDescent="0.25">
      <c r="A27" s="3" t="s">
        <v>38</v>
      </c>
      <c r="B27" s="5">
        <f>0</f>
        <v>0</v>
      </c>
      <c r="C27" s="4"/>
      <c r="D27" s="5">
        <f t="shared" si="21"/>
        <v>0</v>
      </c>
      <c r="E27" s="5">
        <f t="shared" si="21"/>
        <v>0</v>
      </c>
      <c r="F27" s="5">
        <f t="shared" si="21"/>
        <v>0</v>
      </c>
      <c r="G27" s="5">
        <f t="shared" si="21"/>
        <v>0</v>
      </c>
      <c r="H27" s="5">
        <f t="shared" si="21"/>
        <v>0</v>
      </c>
      <c r="I27" s="5">
        <f t="shared" si="21"/>
        <v>0</v>
      </c>
      <c r="J27" s="5">
        <f t="shared" si="21"/>
        <v>0</v>
      </c>
      <c r="K27" s="5">
        <f t="shared" si="21"/>
        <v>0</v>
      </c>
      <c r="L27" s="5">
        <f t="shared" si="23"/>
        <v>0</v>
      </c>
      <c r="M27" s="5">
        <f t="shared" si="23"/>
        <v>0</v>
      </c>
      <c r="N27" s="5">
        <f t="shared" si="22"/>
        <v>0</v>
      </c>
      <c r="O27" s="5">
        <f t="shared" si="22"/>
        <v>0</v>
      </c>
      <c r="P27" s="5">
        <f t="shared" si="22"/>
        <v>0</v>
      </c>
      <c r="Q27" s="5">
        <f t="shared" si="22"/>
        <v>0</v>
      </c>
      <c r="R27" s="5">
        <f t="shared" si="22"/>
        <v>0</v>
      </c>
      <c r="S27" s="5">
        <f t="shared" si="22"/>
        <v>0</v>
      </c>
      <c r="T27" s="5">
        <f t="shared" si="22"/>
        <v>0</v>
      </c>
      <c r="U27" s="5">
        <f t="shared" si="22"/>
        <v>0</v>
      </c>
      <c r="V27" s="5">
        <f t="shared" si="18"/>
        <v>0</v>
      </c>
      <c r="W27" s="5">
        <f t="shared" si="18"/>
        <v>0</v>
      </c>
      <c r="X27" s="5">
        <f t="shared" si="10"/>
        <v>0</v>
      </c>
      <c r="Y27" s="5">
        <f t="shared" si="11"/>
        <v>0</v>
      </c>
      <c r="Z27" s="5">
        <f t="shared" si="19"/>
        <v>0</v>
      </c>
      <c r="AA27" s="5">
        <f t="shared" si="20"/>
        <v>0</v>
      </c>
      <c r="AB27" s="5">
        <f t="shared" si="12"/>
        <v>0</v>
      </c>
      <c r="AC27" s="5">
        <f t="shared" si="13"/>
        <v>0</v>
      </c>
      <c r="AD27" s="5">
        <f t="shared" si="14"/>
        <v>0</v>
      </c>
      <c r="AE27" s="5">
        <f t="shared" si="15"/>
        <v>0</v>
      </c>
      <c r="AF27" s="5">
        <f t="shared" si="16"/>
        <v>0</v>
      </c>
      <c r="AG27" s="5">
        <f t="shared" si="17"/>
        <v>0</v>
      </c>
    </row>
    <row r="28" spans="1:33" x14ac:dyDescent="0.25">
      <c r="A28" s="3" t="s">
        <v>39</v>
      </c>
      <c r="B28" s="5">
        <f>0</f>
        <v>0</v>
      </c>
      <c r="C28" s="4"/>
      <c r="D28" s="5">
        <f t="shared" si="21"/>
        <v>0</v>
      </c>
      <c r="E28" s="5">
        <f t="shared" si="21"/>
        <v>0</v>
      </c>
      <c r="F28" s="5">
        <f t="shared" si="21"/>
        <v>0</v>
      </c>
      <c r="G28" s="5">
        <f t="shared" si="21"/>
        <v>0</v>
      </c>
      <c r="H28" s="5">
        <f t="shared" si="21"/>
        <v>0</v>
      </c>
      <c r="I28" s="5">
        <f t="shared" si="21"/>
        <v>0</v>
      </c>
      <c r="J28" s="5">
        <f t="shared" si="21"/>
        <v>0</v>
      </c>
      <c r="K28" s="5">
        <f t="shared" si="21"/>
        <v>0</v>
      </c>
      <c r="L28" s="5">
        <f t="shared" si="23"/>
        <v>0</v>
      </c>
      <c r="M28" s="5">
        <f t="shared" si="23"/>
        <v>0</v>
      </c>
      <c r="N28" s="5">
        <f t="shared" si="22"/>
        <v>0</v>
      </c>
      <c r="O28" s="5">
        <f t="shared" si="22"/>
        <v>0</v>
      </c>
      <c r="P28" s="5">
        <f t="shared" si="22"/>
        <v>0</v>
      </c>
      <c r="Q28" s="5">
        <f t="shared" si="22"/>
        <v>0</v>
      </c>
      <c r="R28" s="5">
        <f t="shared" si="22"/>
        <v>0</v>
      </c>
      <c r="S28" s="5">
        <f t="shared" si="22"/>
        <v>0</v>
      </c>
      <c r="T28" s="5">
        <f t="shared" si="22"/>
        <v>0</v>
      </c>
      <c r="U28" s="5">
        <f t="shared" si="22"/>
        <v>0</v>
      </c>
      <c r="V28" s="5">
        <f t="shared" si="18"/>
        <v>0</v>
      </c>
      <c r="W28" s="5">
        <f t="shared" si="18"/>
        <v>0</v>
      </c>
      <c r="X28" s="5">
        <f t="shared" si="10"/>
        <v>0</v>
      </c>
      <c r="Y28" s="5">
        <f t="shared" si="11"/>
        <v>0</v>
      </c>
      <c r="Z28" s="5">
        <f t="shared" si="19"/>
        <v>0</v>
      </c>
      <c r="AA28" s="5">
        <f t="shared" si="20"/>
        <v>0</v>
      </c>
      <c r="AB28" s="5">
        <f t="shared" si="12"/>
        <v>0</v>
      </c>
      <c r="AC28" s="5">
        <f t="shared" si="13"/>
        <v>0</v>
      </c>
      <c r="AD28" s="5">
        <f t="shared" si="14"/>
        <v>0</v>
      </c>
      <c r="AE28" s="5">
        <f t="shared" si="15"/>
        <v>0</v>
      </c>
      <c r="AF28" s="5">
        <f t="shared" si="16"/>
        <v>0</v>
      </c>
      <c r="AG28" s="5">
        <f t="shared" si="17"/>
        <v>0</v>
      </c>
    </row>
    <row r="29" spans="1:33" x14ac:dyDescent="0.25">
      <c r="A29" s="3" t="s">
        <v>40</v>
      </c>
      <c r="B29" s="4"/>
      <c r="C29" s="4"/>
      <c r="D29" s="5">
        <f t="shared" si="21"/>
        <v>0</v>
      </c>
      <c r="E29" s="5">
        <f t="shared" si="21"/>
        <v>0</v>
      </c>
      <c r="F29" s="5">
        <f t="shared" si="21"/>
        <v>0</v>
      </c>
      <c r="G29" s="5">
        <f t="shared" si="21"/>
        <v>0</v>
      </c>
      <c r="H29" s="5">
        <f t="shared" si="21"/>
        <v>0</v>
      </c>
      <c r="I29" s="5">
        <f t="shared" si="21"/>
        <v>0</v>
      </c>
      <c r="J29" s="5">
        <f t="shared" si="21"/>
        <v>0</v>
      </c>
      <c r="K29" s="5">
        <f t="shared" si="21"/>
        <v>0</v>
      </c>
      <c r="L29" s="5">
        <f t="shared" si="23"/>
        <v>0</v>
      </c>
      <c r="M29" s="5">
        <f t="shared" si="23"/>
        <v>0</v>
      </c>
      <c r="N29" s="5">
        <f t="shared" ref="N29:S31" si="24">L29</f>
        <v>0</v>
      </c>
      <c r="O29" s="5">
        <f t="shared" si="24"/>
        <v>0</v>
      </c>
      <c r="P29" s="5">
        <f t="shared" si="24"/>
        <v>0</v>
      </c>
      <c r="Q29" s="5">
        <f t="shared" si="24"/>
        <v>0</v>
      </c>
      <c r="R29" s="5">
        <f t="shared" si="24"/>
        <v>0</v>
      </c>
      <c r="S29" s="5">
        <f t="shared" si="24"/>
        <v>0</v>
      </c>
      <c r="T29" s="4"/>
      <c r="U29" s="5">
        <f>2479.4</f>
        <v>2479.4</v>
      </c>
      <c r="V29" s="5">
        <f>13806.68</f>
        <v>13806.68</v>
      </c>
      <c r="W29" s="4"/>
      <c r="X29" s="5">
        <f>27306.68</f>
        <v>27306.68</v>
      </c>
      <c r="Y29" s="4"/>
      <c r="Z29" s="5">
        <f t="shared" si="19"/>
        <v>27306.68</v>
      </c>
      <c r="AA29" s="5">
        <f t="shared" si="20"/>
        <v>0</v>
      </c>
      <c r="AB29" s="5">
        <f>28806.68</f>
        <v>28806.68</v>
      </c>
      <c r="AC29" s="4"/>
      <c r="AD29" s="5">
        <f>45306.68</f>
        <v>45306.68</v>
      </c>
      <c r="AE29" s="4"/>
      <c r="AF29" s="5">
        <f>58306.68</f>
        <v>58306.68</v>
      </c>
      <c r="AG29" s="4"/>
    </row>
    <row r="30" spans="1:33" x14ac:dyDescent="0.25">
      <c r="A30" s="3" t="s">
        <v>41</v>
      </c>
      <c r="B30" s="5">
        <f>0</f>
        <v>0</v>
      </c>
      <c r="C30" s="4"/>
      <c r="D30" s="5">
        <f t="shared" si="21"/>
        <v>0</v>
      </c>
      <c r="E30" s="5">
        <f t="shared" si="21"/>
        <v>0</v>
      </c>
      <c r="F30" s="5">
        <f t="shared" si="21"/>
        <v>0</v>
      </c>
      <c r="G30" s="5">
        <f t="shared" si="21"/>
        <v>0</v>
      </c>
      <c r="H30" s="5">
        <f t="shared" si="21"/>
        <v>0</v>
      </c>
      <c r="I30" s="5">
        <f t="shared" si="21"/>
        <v>0</v>
      </c>
      <c r="J30" s="5">
        <f t="shared" si="21"/>
        <v>0</v>
      </c>
      <c r="K30" s="5">
        <f t="shared" si="21"/>
        <v>0</v>
      </c>
      <c r="L30" s="5">
        <f t="shared" si="23"/>
        <v>0</v>
      </c>
      <c r="M30" s="5">
        <f t="shared" si="23"/>
        <v>0</v>
      </c>
      <c r="N30" s="5">
        <f t="shared" si="24"/>
        <v>0</v>
      </c>
      <c r="O30" s="5">
        <f t="shared" si="24"/>
        <v>0</v>
      </c>
      <c r="P30" s="5">
        <f t="shared" si="24"/>
        <v>0</v>
      </c>
      <c r="Q30" s="5">
        <f t="shared" si="24"/>
        <v>0</v>
      </c>
      <c r="R30" s="5">
        <f t="shared" si="24"/>
        <v>0</v>
      </c>
      <c r="S30" s="5">
        <f t="shared" si="24"/>
        <v>0</v>
      </c>
      <c r="T30" s="5">
        <f t="shared" ref="T30:Y31" si="25">R30</f>
        <v>0</v>
      </c>
      <c r="U30" s="5">
        <f t="shared" si="25"/>
        <v>0</v>
      </c>
      <c r="V30" s="5">
        <f t="shared" si="25"/>
        <v>0</v>
      </c>
      <c r="W30" s="5">
        <f t="shared" si="25"/>
        <v>0</v>
      </c>
      <c r="X30" s="5">
        <f t="shared" si="25"/>
        <v>0</v>
      </c>
      <c r="Y30" s="5">
        <f t="shared" si="25"/>
        <v>0</v>
      </c>
      <c r="Z30" s="5">
        <f t="shared" si="19"/>
        <v>0</v>
      </c>
      <c r="AA30" s="5">
        <f t="shared" si="20"/>
        <v>0</v>
      </c>
      <c r="AB30" s="5">
        <f t="shared" ref="AB30:AG31" si="26">Z30</f>
        <v>0</v>
      </c>
      <c r="AC30" s="5">
        <f t="shared" si="26"/>
        <v>0</v>
      </c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</row>
    <row r="31" spans="1:33" x14ac:dyDescent="0.25">
      <c r="A31" s="3" t="s">
        <v>42</v>
      </c>
      <c r="B31" s="5">
        <f>0</f>
        <v>0</v>
      </c>
      <c r="C31" s="4"/>
      <c r="D31" s="5">
        <f t="shared" si="21"/>
        <v>0</v>
      </c>
      <c r="E31" s="5">
        <f t="shared" si="21"/>
        <v>0</v>
      </c>
      <c r="F31" s="5">
        <f t="shared" si="21"/>
        <v>0</v>
      </c>
      <c r="G31" s="5">
        <f t="shared" si="21"/>
        <v>0</v>
      </c>
      <c r="H31" s="5">
        <f t="shared" si="21"/>
        <v>0</v>
      </c>
      <c r="I31" s="5">
        <f t="shared" si="21"/>
        <v>0</v>
      </c>
      <c r="J31" s="5">
        <f t="shared" si="21"/>
        <v>0</v>
      </c>
      <c r="K31" s="5">
        <f t="shared" si="21"/>
        <v>0</v>
      </c>
      <c r="L31" s="5">
        <f t="shared" si="23"/>
        <v>0</v>
      </c>
      <c r="M31" s="5">
        <f t="shared" si="23"/>
        <v>0</v>
      </c>
      <c r="N31" s="5">
        <f t="shared" si="24"/>
        <v>0</v>
      </c>
      <c r="O31" s="5">
        <f t="shared" si="24"/>
        <v>0</v>
      </c>
      <c r="P31" s="5">
        <f t="shared" si="24"/>
        <v>0</v>
      </c>
      <c r="Q31" s="5">
        <f t="shared" si="24"/>
        <v>0</v>
      </c>
      <c r="R31" s="5">
        <f t="shared" si="24"/>
        <v>0</v>
      </c>
      <c r="S31" s="5">
        <f t="shared" si="24"/>
        <v>0</v>
      </c>
      <c r="T31" s="5">
        <f t="shared" si="25"/>
        <v>0</v>
      </c>
      <c r="U31" s="5">
        <f t="shared" si="25"/>
        <v>0</v>
      </c>
      <c r="V31" s="5">
        <f t="shared" si="25"/>
        <v>0</v>
      </c>
      <c r="W31" s="5">
        <f t="shared" si="25"/>
        <v>0</v>
      </c>
      <c r="X31" s="5">
        <f t="shared" si="25"/>
        <v>0</v>
      </c>
      <c r="Y31" s="5">
        <f t="shared" si="25"/>
        <v>0</v>
      </c>
      <c r="Z31" s="5">
        <f t="shared" si="19"/>
        <v>0</v>
      </c>
      <c r="AA31" s="5">
        <f t="shared" si="20"/>
        <v>0</v>
      </c>
      <c r="AB31" s="5">
        <f t="shared" si="26"/>
        <v>0</v>
      </c>
      <c r="AC31" s="5">
        <f t="shared" si="26"/>
        <v>0</v>
      </c>
      <c r="AD31" s="5">
        <f t="shared" si="26"/>
        <v>0</v>
      </c>
      <c r="AE31" s="5">
        <f t="shared" si="26"/>
        <v>0</v>
      </c>
      <c r="AF31" s="5">
        <f t="shared" si="26"/>
        <v>0</v>
      </c>
      <c r="AG31" s="5">
        <f t="shared" si="26"/>
        <v>0</v>
      </c>
    </row>
    <row r="32" spans="1:33" x14ac:dyDescent="0.25">
      <c r="A32" s="3" t="s">
        <v>43</v>
      </c>
      <c r="B32" s="4"/>
      <c r="C32" s="5">
        <f>15299.94</f>
        <v>15299.94</v>
      </c>
      <c r="D32" s="4"/>
      <c r="E32" s="5">
        <f>10557.47</f>
        <v>10557.47</v>
      </c>
      <c r="F32" s="4"/>
      <c r="G32" s="5">
        <f>14279.27</f>
        <v>14279.27</v>
      </c>
      <c r="H32" s="4"/>
      <c r="I32" s="5">
        <f>18507.58</f>
        <v>18507.580000000002</v>
      </c>
      <c r="J32" s="4"/>
      <c r="K32" s="5">
        <f>9283.75</f>
        <v>9283.75</v>
      </c>
      <c r="L32" s="4"/>
      <c r="M32" s="5">
        <f>5519.17</f>
        <v>5519.17</v>
      </c>
      <c r="N32" s="4"/>
      <c r="O32" s="5">
        <f>4453.25</f>
        <v>4453.25</v>
      </c>
      <c r="P32" s="4"/>
      <c r="Q32" s="5">
        <f>2625.07</f>
        <v>2625.07</v>
      </c>
      <c r="R32" s="4"/>
      <c r="S32" s="5">
        <f>6125.07</f>
        <v>6125.07</v>
      </c>
      <c r="T32" s="5">
        <f t="shared" ref="T32:W36" si="27">R32</f>
        <v>0</v>
      </c>
      <c r="U32" s="5">
        <f t="shared" si="27"/>
        <v>6125.07</v>
      </c>
      <c r="V32" s="5">
        <f t="shared" si="27"/>
        <v>0</v>
      </c>
      <c r="W32" s="5">
        <f t="shared" si="27"/>
        <v>6125.07</v>
      </c>
      <c r="X32" s="4"/>
      <c r="Y32" s="5">
        <f>6125.07</f>
        <v>6125.07</v>
      </c>
      <c r="Z32" s="5">
        <f t="shared" si="19"/>
        <v>0</v>
      </c>
      <c r="AA32" s="5">
        <f t="shared" si="20"/>
        <v>6125.07</v>
      </c>
      <c r="AB32" s="4"/>
      <c r="AC32" s="5">
        <f>15205.79</f>
        <v>15205.79</v>
      </c>
      <c r="AD32" s="4"/>
      <c r="AE32" s="5">
        <f>39474.75</f>
        <v>39474.75</v>
      </c>
      <c r="AF32" s="4"/>
      <c r="AG32" s="5">
        <f>34695.23</f>
        <v>34695.230000000003</v>
      </c>
    </row>
    <row r="33" spans="1:33" x14ac:dyDescent="0.25">
      <c r="A33" s="3" t="s">
        <v>44</v>
      </c>
      <c r="B33" s="5">
        <f>0</f>
        <v>0</v>
      </c>
      <c r="C33" s="4"/>
      <c r="D33" s="5">
        <f t="shared" ref="D33:S36" si="28">B33</f>
        <v>0</v>
      </c>
      <c r="E33" s="5">
        <f t="shared" si="28"/>
        <v>0</v>
      </c>
      <c r="F33" s="5">
        <f t="shared" si="28"/>
        <v>0</v>
      </c>
      <c r="G33" s="5">
        <f t="shared" si="28"/>
        <v>0</v>
      </c>
      <c r="H33" s="5">
        <f t="shared" si="28"/>
        <v>0</v>
      </c>
      <c r="I33" s="5">
        <f t="shared" si="28"/>
        <v>0</v>
      </c>
      <c r="J33" s="5">
        <f t="shared" si="28"/>
        <v>0</v>
      </c>
      <c r="K33" s="5">
        <f t="shared" si="28"/>
        <v>0</v>
      </c>
      <c r="L33" s="5">
        <f t="shared" si="28"/>
        <v>0</v>
      </c>
      <c r="M33" s="5">
        <f t="shared" si="28"/>
        <v>0</v>
      </c>
      <c r="N33" s="5">
        <f t="shared" si="28"/>
        <v>0</v>
      </c>
      <c r="O33" s="5">
        <f t="shared" si="28"/>
        <v>0</v>
      </c>
      <c r="P33" s="5">
        <f t="shared" si="28"/>
        <v>0</v>
      </c>
      <c r="Q33" s="5">
        <f t="shared" si="28"/>
        <v>0</v>
      </c>
      <c r="R33" s="5">
        <f t="shared" si="28"/>
        <v>0</v>
      </c>
      <c r="S33" s="5">
        <f t="shared" si="28"/>
        <v>0</v>
      </c>
      <c r="T33" s="5">
        <f t="shared" si="27"/>
        <v>0</v>
      </c>
      <c r="U33" s="5">
        <f t="shared" si="27"/>
        <v>0</v>
      </c>
      <c r="V33" s="5">
        <f t="shared" si="27"/>
        <v>0</v>
      </c>
      <c r="W33" s="5">
        <f t="shared" si="27"/>
        <v>0</v>
      </c>
      <c r="X33" s="5">
        <f t="shared" ref="X33:Y36" si="29">V33</f>
        <v>0</v>
      </c>
      <c r="Y33" s="5">
        <f t="shared" si="29"/>
        <v>0</v>
      </c>
      <c r="Z33" s="5">
        <f t="shared" si="19"/>
        <v>0</v>
      </c>
      <c r="AA33" s="5">
        <f t="shared" si="20"/>
        <v>0</v>
      </c>
      <c r="AB33" s="5">
        <f t="shared" ref="AB33:AG33" si="30">Z33</f>
        <v>0</v>
      </c>
      <c r="AC33" s="5">
        <f t="shared" si="30"/>
        <v>0</v>
      </c>
      <c r="AD33" s="5">
        <f t="shared" si="30"/>
        <v>0</v>
      </c>
      <c r="AE33" s="5">
        <f t="shared" si="30"/>
        <v>0</v>
      </c>
      <c r="AF33" s="5">
        <f t="shared" si="30"/>
        <v>0</v>
      </c>
      <c r="AG33" s="5">
        <f t="shared" si="30"/>
        <v>0</v>
      </c>
    </row>
    <row r="34" spans="1:33" x14ac:dyDescent="0.25">
      <c r="A34" s="3" t="s">
        <v>45</v>
      </c>
      <c r="B34" s="4"/>
      <c r="C34" s="4"/>
      <c r="D34" s="5">
        <f t="shared" si="28"/>
        <v>0</v>
      </c>
      <c r="E34" s="5">
        <f t="shared" si="28"/>
        <v>0</v>
      </c>
      <c r="F34" s="5">
        <f t="shared" si="28"/>
        <v>0</v>
      </c>
      <c r="G34" s="5">
        <f t="shared" si="28"/>
        <v>0</v>
      </c>
      <c r="H34" s="5">
        <f t="shared" si="28"/>
        <v>0</v>
      </c>
      <c r="I34" s="5">
        <f t="shared" si="28"/>
        <v>0</v>
      </c>
      <c r="J34" s="5">
        <f t="shared" si="28"/>
        <v>0</v>
      </c>
      <c r="K34" s="5">
        <f t="shared" si="28"/>
        <v>0</v>
      </c>
      <c r="L34" s="5">
        <f t="shared" si="28"/>
        <v>0</v>
      </c>
      <c r="M34" s="5">
        <f t="shared" si="28"/>
        <v>0</v>
      </c>
      <c r="N34" s="5">
        <f t="shared" si="28"/>
        <v>0</v>
      </c>
      <c r="O34" s="5">
        <f t="shared" si="28"/>
        <v>0</v>
      </c>
      <c r="P34" s="5">
        <f t="shared" si="28"/>
        <v>0</v>
      </c>
      <c r="Q34" s="5">
        <f t="shared" si="28"/>
        <v>0</v>
      </c>
      <c r="R34" s="5">
        <f t="shared" si="28"/>
        <v>0</v>
      </c>
      <c r="S34" s="5">
        <f t="shared" si="28"/>
        <v>0</v>
      </c>
      <c r="T34" s="5">
        <f t="shared" si="27"/>
        <v>0</v>
      </c>
      <c r="U34" s="5">
        <f t="shared" si="27"/>
        <v>0</v>
      </c>
      <c r="V34" s="5">
        <f t="shared" si="27"/>
        <v>0</v>
      </c>
      <c r="W34" s="5">
        <f t="shared" si="27"/>
        <v>0</v>
      </c>
      <c r="X34" s="5">
        <f t="shared" si="29"/>
        <v>0</v>
      </c>
      <c r="Y34" s="5">
        <f t="shared" si="29"/>
        <v>0</v>
      </c>
      <c r="Z34" s="5">
        <f t="shared" si="19"/>
        <v>0</v>
      </c>
      <c r="AA34" s="5">
        <f t="shared" si="20"/>
        <v>0</v>
      </c>
      <c r="AB34" s="5">
        <f t="shared" ref="AB34:AC36" si="31">Z34</f>
        <v>0</v>
      </c>
      <c r="AC34" s="5">
        <f t="shared" si="31"/>
        <v>0</v>
      </c>
      <c r="AD34" s="5">
        <f>0</f>
        <v>0</v>
      </c>
      <c r="AE34" s="4"/>
      <c r="AF34" s="4"/>
      <c r="AG34" s="5">
        <f>0.01</f>
        <v>0.01</v>
      </c>
    </row>
    <row r="35" spans="1:33" x14ac:dyDescent="0.25">
      <c r="A35" s="3" t="s">
        <v>46</v>
      </c>
      <c r="B35" s="5">
        <f>0</f>
        <v>0</v>
      </c>
      <c r="C35" s="4"/>
      <c r="D35" s="5">
        <f t="shared" si="28"/>
        <v>0</v>
      </c>
      <c r="E35" s="5">
        <f t="shared" si="28"/>
        <v>0</v>
      </c>
      <c r="F35" s="5">
        <f t="shared" si="28"/>
        <v>0</v>
      </c>
      <c r="G35" s="5">
        <f t="shared" si="28"/>
        <v>0</v>
      </c>
      <c r="H35" s="5">
        <f t="shared" si="28"/>
        <v>0</v>
      </c>
      <c r="I35" s="5">
        <f t="shared" si="28"/>
        <v>0</v>
      </c>
      <c r="J35" s="5">
        <f t="shared" si="28"/>
        <v>0</v>
      </c>
      <c r="K35" s="5">
        <f t="shared" si="28"/>
        <v>0</v>
      </c>
      <c r="L35" s="5">
        <f t="shared" si="28"/>
        <v>0</v>
      </c>
      <c r="M35" s="5">
        <f t="shared" si="28"/>
        <v>0</v>
      </c>
      <c r="N35" s="5">
        <f t="shared" si="28"/>
        <v>0</v>
      </c>
      <c r="O35" s="5">
        <f t="shared" si="28"/>
        <v>0</v>
      </c>
      <c r="P35" s="5">
        <f t="shared" si="28"/>
        <v>0</v>
      </c>
      <c r="Q35" s="5">
        <f t="shared" si="28"/>
        <v>0</v>
      </c>
      <c r="R35" s="5">
        <f t="shared" si="28"/>
        <v>0</v>
      </c>
      <c r="S35" s="5">
        <f t="shared" si="28"/>
        <v>0</v>
      </c>
      <c r="T35" s="5">
        <f t="shared" si="27"/>
        <v>0</v>
      </c>
      <c r="U35" s="5">
        <f t="shared" si="27"/>
        <v>0</v>
      </c>
      <c r="V35" s="5">
        <f t="shared" si="27"/>
        <v>0</v>
      </c>
      <c r="W35" s="5">
        <f t="shared" si="27"/>
        <v>0</v>
      </c>
      <c r="X35" s="5">
        <f t="shared" si="29"/>
        <v>0</v>
      </c>
      <c r="Y35" s="5">
        <f t="shared" si="29"/>
        <v>0</v>
      </c>
      <c r="Z35" s="5">
        <f t="shared" si="19"/>
        <v>0</v>
      </c>
      <c r="AA35" s="5">
        <f t="shared" si="20"/>
        <v>0</v>
      </c>
      <c r="AB35" s="5">
        <f t="shared" si="31"/>
        <v>0</v>
      </c>
      <c r="AC35" s="5">
        <f t="shared" si="31"/>
        <v>0</v>
      </c>
      <c r="AD35" s="5">
        <f t="shared" ref="AD35:AG36" si="32">AB35</f>
        <v>0</v>
      </c>
      <c r="AE35" s="5">
        <f t="shared" si="32"/>
        <v>0</v>
      </c>
      <c r="AF35" s="5">
        <f t="shared" si="32"/>
        <v>0</v>
      </c>
      <c r="AG35" s="5">
        <f t="shared" si="32"/>
        <v>0</v>
      </c>
    </row>
    <row r="36" spans="1:33" x14ac:dyDescent="0.25">
      <c r="A36" s="3" t="s">
        <v>47</v>
      </c>
      <c r="B36" s="5">
        <f>0</f>
        <v>0</v>
      </c>
      <c r="C36" s="4"/>
      <c r="D36" s="5">
        <f t="shared" si="28"/>
        <v>0</v>
      </c>
      <c r="E36" s="5">
        <f t="shared" si="28"/>
        <v>0</v>
      </c>
      <c r="F36" s="5">
        <f t="shared" si="28"/>
        <v>0</v>
      </c>
      <c r="G36" s="5">
        <f t="shared" si="28"/>
        <v>0</v>
      </c>
      <c r="H36" s="5">
        <f t="shared" si="28"/>
        <v>0</v>
      </c>
      <c r="I36" s="5">
        <f t="shared" si="28"/>
        <v>0</v>
      </c>
      <c r="J36" s="5">
        <f t="shared" si="28"/>
        <v>0</v>
      </c>
      <c r="K36" s="5">
        <f t="shared" si="28"/>
        <v>0</v>
      </c>
      <c r="L36" s="5">
        <f t="shared" si="28"/>
        <v>0</v>
      </c>
      <c r="M36" s="5">
        <f t="shared" si="28"/>
        <v>0</v>
      </c>
      <c r="N36" s="5">
        <f t="shared" si="28"/>
        <v>0</v>
      </c>
      <c r="O36" s="5">
        <f t="shared" si="28"/>
        <v>0</v>
      </c>
      <c r="P36" s="5">
        <f t="shared" si="28"/>
        <v>0</v>
      </c>
      <c r="Q36" s="5">
        <f t="shared" si="28"/>
        <v>0</v>
      </c>
      <c r="R36" s="5">
        <f t="shared" si="28"/>
        <v>0</v>
      </c>
      <c r="S36" s="5">
        <f t="shared" si="28"/>
        <v>0</v>
      </c>
      <c r="T36" s="5">
        <f t="shared" si="27"/>
        <v>0</v>
      </c>
      <c r="U36" s="5">
        <f t="shared" si="27"/>
        <v>0</v>
      </c>
      <c r="V36" s="5">
        <f t="shared" si="27"/>
        <v>0</v>
      </c>
      <c r="W36" s="5">
        <f t="shared" si="27"/>
        <v>0</v>
      </c>
      <c r="X36" s="5">
        <f t="shared" si="29"/>
        <v>0</v>
      </c>
      <c r="Y36" s="5">
        <f t="shared" si="29"/>
        <v>0</v>
      </c>
      <c r="Z36" s="5">
        <f t="shared" si="19"/>
        <v>0</v>
      </c>
      <c r="AA36" s="5">
        <f t="shared" si="20"/>
        <v>0</v>
      </c>
      <c r="AB36" s="5">
        <f t="shared" si="31"/>
        <v>0</v>
      </c>
      <c r="AC36" s="5">
        <f t="shared" si="31"/>
        <v>0</v>
      </c>
      <c r="AD36" s="5">
        <f t="shared" si="32"/>
        <v>0</v>
      </c>
      <c r="AE36" s="5">
        <f t="shared" si="32"/>
        <v>0</v>
      </c>
      <c r="AF36" s="5">
        <f t="shared" si="32"/>
        <v>0</v>
      </c>
      <c r="AG36" s="5">
        <f t="shared" si="32"/>
        <v>0</v>
      </c>
    </row>
    <row r="37" spans="1:33" x14ac:dyDescent="0.25">
      <c r="A37" s="3" t="s">
        <v>48</v>
      </c>
      <c r="B37" s="4"/>
      <c r="C37" s="5">
        <f>936.66</f>
        <v>936.66</v>
      </c>
      <c r="D37" s="4"/>
      <c r="E37" s="5">
        <f>63.51</f>
        <v>63.51</v>
      </c>
      <c r="F37" s="5">
        <f>D37</f>
        <v>0</v>
      </c>
      <c r="G37" s="5">
        <f>E37</f>
        <v>63.51</v>
      </c>
      <c r="H37" s="4"/>
      <c r="I37" s="5">
        <f>63.51</f>
        <v>63.51</v>
      </c>
      <c r="J37" s="4"/>
      <c r="K37" s="5">
        <f>63.51</f>
        <v>63.51</v>
      </c>
      <c r="L37" s="5">
        <f>J37</f>
        <v>0</v>
      </c>
      <c r="M37" s="5">
        <f>K37</f>
        <v>63.51</v>
      </c>
      <c r="N37" s="4"/>
      <c r="O37" s="5">
        <f>63.51</f>
        <v>63.51</v>
      </c>
      <c r="P37" s="4"/>
      <c r="Q37" s="5">
        <f>114.73</f>
        <v>114.73</v>
      </c>
      <c r="R37" s="5">
        <f>P37</f>
        <v>0</v>
      </c>
      <c r="S37" s="5">
        <f>Q37</f>
        <v>114.73</v>
      </c>
      <c r="T37" s="5">
        <f>R37</f>
        <v>0</v>
      </c>
      <c r="U37" s="5">
        <f>S37</f>
        <v>114.73</v>
      </c>
      <c r="V37" s="4"/>
      <c r="W37" s="5">
        <f>114.73</f>
        <v>114.73</v>
      </c>
      <c r="X37" s="4"/>
      <c r="Y37" s="5">
        <f>0</f>
        <v>0</v>
      </c>
      <c r="Z37" s="4"/>
      <c r="AA37" s="5">
        <f>0</f>
        <v>0</v>
      </c>
      <c r="AB37" s="4"/>
      <c r="AC37" s="5">
        <f>0</f>
        <v>0</v>
      </c>
      <c r="AD37" s="4"/>
      <c r="AE37" s="5">
        <f>0</f>
        <v>0</v>
      </c>
      <c r="AF37" s="4"/>
      <c r="AG37" s="5">
        <f>700</f>
        <v>700</v>
      </c>
    </row>
    <row r="38" spans="1:33" x14ac:dyDescent="0.25">
      <c r="A38" s="3" t="s">
        <v>49</v>
      </c>
      <c r="B38" s="4"/>
      <c r="C38" s="5">
        <f>10245</f>
        <v>10245</v>
      </c>
      <c r="D38" s="4"/>
      <c r="E38" s="5">
        <f>10815</f>
        <v>10815</v>
      </c>
      <c r="F38" s="4"/>
      <c r="G38" s="5">
        <f>15795</f>
        <v>15795</v>
      </c>
      <c r="H38" s="4"/>
      <c r="I38" s="5">
        <f>0</f>
        <v>0</v>
      </c>
      <c r="J38" s="4"/>
      <c r="K38" s="5">
        <f>3510</f>
        <v>3510</v>
      </c>
      <c r="L38" s="4"/>
      <c r="M38" s="5">
        <f>7020</f>
        <v>7020</v>
      </c>
      <c r="N38" s="4"/>
      <c r="O38" s="5">
        <f>8300</f>
        <v>8300</v>
      </c>
      <c r="P38" s="4"/>
      <c r="Q38" s="5">
        <f>13660</f>
        <v>13660</v>
      </c>
      <c r="R38" s="4"/>
      <c r="S38" s="5">
        <f>0</f>
        <v>0</v>
      </c>
      <c r="T38" s="4"/>
      <c r="U38" s="5">
        <f>1802.5</f>
        <v>1802.5</v>
      </c>
      <c r="V38" s="4"/>
      <c r="W38" s="5">
        <f>5550</f>
        <v>5550</v>
      </c>
      <c r="X38" s="4"/>
      <c r="Y38" s="5">
        <f>35312</f>
        <v>35312</v>
      </c>
      <c r="Z38" s="4"/>
      <c r="AA38" s="5">
        <f>15050</f>
        <v>15050</v>
      </c>
      <c r="AB38" s="4"/>
      <c r="AC38" s="5">
        <f>15050</f>
        <v>15050</v>
      </c>
      <c r="AD38" s="4"/>
      <c r="AE38" s="5">
        <f>0</f>
        <v>0</v>
      </c>
      <c r="AF38" s="5">
        <f t="shared" ref="AF38:AG41" si="33">AD38</f>
        <v>0</v>
      </c>
      <c r="AG38" s="5">
        <f t="shared" si="33"/>
        <v>0</v>
      </c>
    </row>
    <row r="39" spans="1:33" x14ac:dyDescent="0.25">
      <c r="A39" s="3" t="s">
        <v>50</v>
      </c>
      <c r="B39" s="4"/>
      <c r="C39" s="5">
        <f>42299.23</f>
        <v>42299.23</v>
      </c>
      <c r="D39" s="4"/>
      <c r="E39" s="5">
        <f>44810.73</f>
        <v>44810.73</v>
      </c>
      <c r="F39" s="4"/>
      <c r="G39" s="5">
        <f>42976.31</f>
        <v>42976.31</v>
      </c>
      <c r="H39" s="4"/>
      <c r="I39" s="5">
        <f>42262.91</f>
        <v>42262.91</v>
      </c>
      <c r="J39" s="5">
        <f t="shared" ref="J39:K41" si="34">H39</f>
        <v>0</v>
      </c>
      <c r="K39" s="5">
        <f t="shared" si="34"/>
        <v>42262.91</v>
      </c>
      <c r="L39" s="4"/>
      <c r="M39" s="5">
        <f>49398.05</f>
        <v>49398.05</v>
      </c>
      <c r="N39" s="4"/>
      <c r="O39" s="5">
        <f>49977.96</f>
        <v>49977.96</v>
      </c>
      <c r="P39" s="4"/>
      <c r="Q39" s="5">
        <f>45810.98</f>
        <v>45810.98</v>
      </c>
      <c r="R39" s="4"/>
      <c r="S39" s="5">
        <f>42118.98</f>
        <v>42118.98</v>
      </c>
      <c r="T39" s="4"/>
      <c r="U39" s="5">
        <f>51234.98</f>
        <v>51234.98</v>
      </c>
      <c r="V39" s="4"/>
      <c r="W39" s="5">
        <f>51826.52</f>
        <v>51826.52</v>
      </c>
      <c r="X39" s="4"/>
      <c r="Y39" s="5">
        <f>43937.69</f>
        <v>43937.69</v>
      </c>
      <c r="Z39" s="5">
        <f t="shared" ref="Z39:AE40" si="35">X39</f>
        <v>0</v>
      </c>
      <c r="AA39" s="5">
        <f t="shared" si="35"/>
        <v>43937.69</v>
      </c>
      <c r="AB39" s="5">
        <f t="shared" si="35"/>
        <v>0</v>
      </c>
      <c r="AC39" s="5">
        <f t="shared" si="35"/>
        <v>43937.69</v>
      </c>
      <c r="AD39" s="5">
        <f t="shared" si="35"/>
        <v>0</v>
      </c>
      <c r="AE39" s="5">
        <f t="shared" si="35"/>
        <v>43937.69</v>
      </c>
      <c r="AF39" s="5">
        <f t="shared" si="33"/>
        <v>0</v>
      </c>
      <c r="AG39" s="5">
        <f t="shared" si="33"/>
        <v>43937.69</v>
      </c>
    </row>
    <row r="40" spans="1:33" x14ac:dyDescent="0.25">
      <c r="A40" s="3" t="s">
        <v>51</v>
      </c>
      <c r="B40" s="4"/>
      <c r="C40" s="5">
        <f>15188.57</f>
        <v>15188.57</v>
      </c>
      <c r="D40" s="4"/>
      <c r="E40" s="5">
        <f>14289.16</f>
        <v>14289.16</v>
      </c>
      <c r="F40" s="4"/>
      <c r="G40" s="5">
        <f>9526.11</f>
        <v>9526.11</v>
      </c>
      <c r="H40" s="5">
        <f>F40</f>
        <v>0</v>
      </c>
      <c r="I40" s="5">
        <f>G40</f>
        <v>9526.11</v>
      </c>
      <c r="J40" s="5">
        <f t="shared" si="34"/>
        <v>0</v>
      </c>
      <c r="K40" s="5">
        <f t="shared" si="34"/>
        <v>9526.11</v>
      </c>
      <c r="L40" s="4"/>
      <c r="M40" s="5">
        <f>0</f>
        <v>0</v>
      </c>
      <c r="N40" s="5">
        <f t="shared" ref="N40:Y41" si="36">L40</f>
        <v>0</v>
      </c>
      <c r="O40" s="5">
        <f t="shared" si="36"/>
        <v>0</v>
      </c>
      <c r="P40" s="5">
        <f t="shared" si="36"/>
        <v>0</v>
      </c>
      <c r="Q40" s="5">
        <f t="shared" si="36"/>
        <v>0</v>
      </c>
      <c r="R40" s="5">
        <f t="shared" si="36"/>
        <v>0</v>
      </c>
      <c r="S40" s="5">
        <f t="shared" si="36"/>
        <v>0</v>
      </c>
      <c r="T40" s="5">
        <f t="shared" si="36"/>
        <v>0</v>
      </c>
      <c r="U40" s="5">
        <f t="shared" si="36"/>
        <v>0</v>
      </c>
      <c r="V40" s="5">
        <f t="shared" si="36"/>
        <v>0</v>
      </c>
      <c r="W40" s="5">
        <f t="shared" si="36"/>
        <v>0</v>
      </c>
      <c r="X40" s="5">
        <f t="shared" si="36"/>
        <v>0</v>
      </c>
      <c r="Y40" s="5">
        <f t="shared" si="36"/>
        <v>0</v>
      </c>
      <c r="Z40" s="5">
        <f t="shared" si="35"/>
        <v>0</v>
      </c>
      <c r="AA40" s="5">
        <f t="shared" si="35"/>
        <v>0</v>
      </c>
      <c r="AB40" s="5">
        <f t="shared" si="35"/>
        <v>0</v>
      </c>
      <c r="AC40" s="5">
        <f t="shared" si="35"/>
        <v>0</v>
      </c>
      <c r="AD40" s="5">
        <f t="shared" si="35"/>
        <v>0</v>
      </c>
      <c r="AE40" s="5">
        <f t="shared" si="35"/>
        <v>0</v>
      </c>
      <c r="AF40" s="5">
        <f t="shared" si="33"/>
        <v>0</v>
      </c>
      <c r="AG40" s="5">
        <f t="shared" si="33"/>
        <v>0</v>
      </c>
    </row>
    <row r="41" spans="1:33" x14ac:dyDescent="0.25">
      <c r="A41" s="3" t="s">
        <v>52</v>
      </c>
      <c r="B41" s="4"/>
      <c r="C41" s="4"/>
      <c r="D41" s="5">
        <f>B41</f>
        <v>0</v>
      </c>
      <c r="E41" s="5">
        <f>C41</f>
        <v>0</v>
      </c>
      <c r="F41" s="5">
        <f>D41</f>
        <v>0</v>
      </c>
      <c r="G41" s="5">
        <f>E41</f>
        <v>0</v>
      </c>
      <c r="H41" s="5">
        <f>F41</f>
        <v>0</v>
      </c>
      <c r="I41" s="5">
        <f>G41</f>
        <v>0</v>
      </c>
      <c r="J41" s="5">
        <f t="shared" si="34"/>
        <v>0</v>
      </c>
      <c r="K41" s="5">
        <f t="shared" si="34"/>
        <v>0</v>
      </c>
      <c r="L41" s="5">
        <f>J41</f>
        <v>0</v>
      </c>
      <c r="M41" s="5">
        <f>K41</f>
        <v>0</v>
      </c>
      <c r="N41" s="5">
        <f t="shared" si="36"/>
        <v>0</v>
      </c>
      <c r="O41" s="5">
        <f t="shared" si="36"/>
        <v>0</v>
      </c>
      <c r="P41" s="5">
        <f t="shared" si="36"/>
        <v>0</v>
      </c>
      <c r="Q41" s="5">
        <f t="shared" si="36"/>
        <v>0</v>
      </c>
      <c r="R41" s="5">
        <f t="shared" si="36"/>
        <v>0</v>
      </c>
      <c r="S41" s="5">
        <f t="shared" si="36"/>
        <v>0</v>
      </c>
      <c r="T41" s="5">
        <f t="shared" si="36"/>
        <v>0</v>
      </c>
      <c r="U41" s="5">
        <f t="shared" si="36"/>
        <v>0</v>
      </c>
      <c r="V41" s="5">
        <f t="shared" si="36"/>
        <v>0</v>
      </c>
      <c r="W41" s="5">
        <f t="shared" si="36"/>
        <v>0</v>
      </c>
      <c r="X41" s="5">
        <f t="shared" si="36"/>
        <v>0</v>
      </c>
      <c r="Y41" s="5">
        <f t="shared" si="36"/>
        <v>0</v>
      </c>
      <c r="Z41" s="5">
        <f>X41</f>
        <v>0</v>
      </c>
      <c r="AA41" s="5">
        <f>Y41</f>
        <v>0</v>
      </c>
      <c r="AB41" s="4"/>
      <c r="AC41" s="5">
        <f>12248</f>
        <v>12248</v>
      </c>
      <c r="AD41" s="4"/>
      <c r="AE41" s="5">
        <f>0</f>
        <v>0</v>
      </c>
      <c r="AF41" s="5">
        <f t="shared" si="33"/>
        <v>0</v>
      </c>
      <c r="AG41" s="5">
        <f t="shared" si="33"/>
        <v>0</v>
      </c>
    </row>
    <row r="42" spans="1:33" x14ac:dyDescent="0.25">
      <c r="A42" s="3" t="s">
        <v>53</v>
      </c>
      <c r="B42" s="4"/>
      <c r="C42" s="5">
        <f>67410.89</f>
        <v>67410.89</v>
      </c>
      <c r="D42" s="4"/>
      <c r="E42" s="5">
        <f>71147.33</f>
        <v>71147.33</v>
      </c>
      <c r="F42" s="4"/>
      <c r="G42" s="5">
        <f>124302.15</f>
        <v>124302.15</v>
      </c>
      <c r="H42" s="4"/>
      <c r="I42" s="5">
        <f>25494.14</f>
        <v>25494.14</v>
      </c>
      <c r="J42" s="4"/>
      <c r="K42" s="5">
        <f>53661.27</f>
        <v>53661.27</v>
      </c>
      <c r="L42" s="4"/>
      <c r="M42" s="5">
        <f>82910.97</f>
        <v>82910.97</v>
      </c>
      <c r="N42" s="4"/>
      <c r="O42" s="5">
        <f>68139.08</f>
        <v>68139.08</v>
      </c>
      <c r="P42" s="4"/>
      <c r="Q42" s="5">
        <f>124817.05</f>
        <v>124817.05</v>
      </c>
      <c r="R42" s="4"/>
      <c r="S42" s="5">
        <f>2206.53</f>
        <v>2206.5300000000002</v>
      </c>
      <c r="T42" s="4"/>
      <c r="U42" s="5">
        <f>17780.3</f>
        <v>17780.3</v>
      </c>
      <c r="V42" s="4"/>
      <c r="W42" s="5">
        <f>52345.1</f>
        <v>52345.1</v>
      </c>
      <c r="X42" s="4"/>
      <c r="Y42" s="5">
        <f>87696.04</f>
        <v>87696.04</v>
      </c>
      <c r="Z42" s="4"/>
      <c r="AA42" s="5">
        <f>153085.49</f>
        <v>153085.49</v>
      </c>
      <c r="AB42" s="4"/>
      <c r="AC42" s="5">
        <f>138435.2</f>
        <v>138435.20000000001</v>
      </c>
      <c r="AD42" s="4"/>
      <c r="AE42" s="5">
        <f>21700.19</f>
        <v>21700.19</v>
      </c>
      <c r="AF42" s="4"/>
      <c r="AG42" s="5">
        <f>21700.19</f>
        <v>21700.19</v>
      </c>
    </row>
    <row r="43" spans="1:33" x14ac:dyDescent="0.25">
      <c r="A43" s="3" t="s">
        <v>54</v>
      </c>
      <c r="B43" s="4"/>
      <c r="C43" s="5">
        <f>0</f>
        <v>0</v>
      </c>
      <c r="D43" s="5">
        <f t="shared" ref="D43:M44" si="37">B43</f>
        <v>0</v>
      </c>
      <c r="E43" s="5">
        <f t="shared" si="37"/>
        <v>0</v>
      </c>
      <c r="F43" s="5">
        <f t="shared" si="37"/>
        <v>0</v>
      </c>
      <c r="G43" s="5">
        <f t="shared" si="37"/>
        <v>0</v>
      </c>
      <c r="H43" s="5">
        <f t="shared" si="37"/>
        <v>0</v>
      </c>
      <c r="I43" s="5">
        <f t="shared" si="37"/>
        <v>0</v>
      </c>
      <c r="J43" s="5">
        <f t="shared" si="37"/>
        <v>0</v>
      </c>
      <c r="K43" s="5">
        <f t="shared" si="37"/>
        <v>0</v>
      </c>
      <c r="L43" s="5">
        <f t="shared" si="37"/>
        <v>0</v>
      </c>
      <c r="M43" s="5">
        <f t="shared" si="37"/>
        <v>0</v>
      </c>
      <c r="N43" s="5">
        <f t="shared" ref="N43:W44" si="38">L43</f>
        <v>0</v>
      </c>
      <c r="O43" s="5">
        <f t="shared" si="38"/>
        <v>0</v>
      </c>
      <c r="P43" s="5">
        <f t="shared" si="38"/>
        <v>0</v>
      </c>
      <c r="Q43" s="5">
        <f t="shared" si="38"/>
        <v>0</v>
      </c>
      <c r="R43" s="5">
        <f t="shared" si="38"/>
        <v>0</v>
      </c>
      <c r="S43" s="5">
        <f t="shared" si="38"/>
        <v>0</v>
      </c>
      <c r="T43" s="5">
        <f t="shared" si="38"/>
        <v>0</v>
      </c>
      <c r="U43" s="5">
        <f t="shared" si="38"/>
        <v>0</v>
      </c>
      <c r="V43" s="5">
        <f t="shared" si="38"/>
        <v>0</v>
      </c>
      <c r="W43" s="5">
        <f t="shared" si="38"/>
        <v>0</v>
      </c>
      <c r="X43" s="5">
        <f t="shared" ref="X43:AG44" si="39">V43</f>
        <v>0</v>
      </c>
      <c r="Y43" s="5">
        <f t="shared" si="39"/>
        <v>0</v>
      </c>
      <c r="Z43" s="5">
        <f t="shared" si="39"/>
        <v>0</v>
      </c>
      <c r="AA43" s="5">
        <f t="shared" si="39"/>
        <v>0</v>
      </c>
      <c r="AB43" s="5">
        <f t="shared" si="39"/>
        <v>0</v>
      </c>
      <c r="AC43" s="5">
        <f t="shared" si="39"/>
        <v>0</v>
      </c>
      <c r="AD43" s="5">
        <f t="shared" si="39"/>
        <v>0</v>
      </c>
      <c r="AE43" s="5">
        <f t="shared" si="39"/>
        <v>0</v>
      </c>
      <c r="AF43" s="5">
        <f t="shared" si="39"/>
        <v>0</v>
      </c>
      <c r="AG43" s="5">
        <f t="shared" si="39"/>
        <v>0</v>
      </c>
    </row>
    <row r="44" spans="1:33" x14ac:dyDescent="0.25">
      <c r="A44" s="3" t="s">
        <v>55</v>
      </c>
      <c r="B44" s="4"/>
      <c r="C44" s="5">
        <f>0</f>
        <v>0</v>
      </c>
      <c r="D44" s="5">
        <f t="shared" si="37"/>
        <v>0</v>
      </c>
      <c r="E44" s="5">
        <f t="shared" si="37"/>
        <v>0</v>
      </c>
      <c r="F44" s="5">
        <f t="shared" si="37"/>
        <v>0</v>
      </c>
      <c r="G44" s="5">
        <f t="shared" si="37"/>
        <v>0</v>
      </c>
      <c r="H44" s="5">
        <f t="shared" si="37"/>
        <v>0</v>
      </c>
      <c r="I44" s="5">
        <f t="shared" si="37"/>
        <v>0</v>
      </c>
      <c r="J44" s="5">
        <f t="shared" si="37"/>
        <v>0</v>
      </c>
      <c r="K44" s="5">
        <f t="shared" si="37"/>
        <v>0</v>
      </c>
      <c r="L44" s="5">
        <f t="shared" si="37"/>
        <v>0</v>
      </c>
      <c r="M44" s="5">
        <f t="shared" si="37"/>
        <v>0</v>
      </c>
      <c r="N44" s="5">
        <f t="shared" si="38"/>
        <v>0</v>
      </c>
      <c r="O44" s="5">
        <f t="shared" si="38"/>
        <v>0</v>
      </c>
      <c r="P44" s="5">
        <f t="shared" si="38"/>
        <v>0</v>
      </c>
      <c r="Q44" s="5">
        <f t="shared" si="38"/>
        <v>0</v>
      </c>
      <c r="R44" s="5">
        <f t="shared" si="38"/>
        <v>0</v>
      </c>
      <c r="S44" s="5">
        <f t="shared" si="38"/>
        <v>0</v>
      </c>
      <c r="T44" s="5">
        <f t="shared" si="38"/>
        <v>0</v>
      </c>
      <c r="U44" s="5">
        <f t="shared" si="38"/>
        <v>0</v>
      </c>
      <c r="V44" s="5">
        <f t="shared" si="38"/>
        <v>0</v>
      </c>
      <c r="W44" s="5">
        <f t="shared" si="38"/>
        <v>0</v>
      </c>
      <c r="X44" s="5">
        <f t="shared" si="39"/>
        <v>0</v>
      </c>
      <c r="Y44" s="5">
        <f t="shared" si="39"/>
        <v>0</v>
      </c>
      <c r="Z44" s="5">
        <f t="shared" si="39"/>
        <v>0</v>
      </c>
      <c r="AA44" s="5">
        <f t="shared" si="39"/>
        <v>0</v>
      </c>
      <c r="AB44" s="5">
        <f t="shared" si="39"/>
        <v>0</v>
      </c>
      <c r="AC44" s="5">
        <f t="shared" si="39"/>
        <v>0</v>
      </c>
      <c r="AD44" s="5">
        <f t="shared" si="39"/>
        <v>0</v>
      </c>
      <c r="AE44" s="5">
        <f t="shared" si="39"/>
        <v>0</v>
      </c>
      <c r="AF44" s="5">
        <f t="shared" si="39"/>
        <v>0</v>
      </c>
      <c r="AG44" s="5">
        <f t="shared" si="39"/>
        <v>0</v>
      </c>
    </row>
    <row r="45" spans="1:33" x14ac:dyDescent="0.25">
      <c r="A45" s="3" t="s">
        <v>56</v>
      </c>
      <c r="B45" s="4"/>
      <c r="C45" s="5">
        <f>29000</f>
        <v>29000</v>
      </c>
      <c r="D45" s="5">
        <f>B45</f>
        <v>0</v>
      </c>
      <c r="E45" s="5">
        <f>C45</f>
        <v>29000</v>
      </c>
      <c r="F45" s="4"/>
      <c r="G45" s="5">
        <f>0</f>
        <v>0</v>
      </c>
      <c r="H45" s="5">
        <f t="shared" ref="H45:W45" si="40">F45</f>
        <v>0</v>
      </c>
      <c r="I45" s="5">
        <f t="shared" si="40"/>
        <v>0</v>
      </c>
      <c r="J45" s="5">
        <f t="shared" si="40"/>
        <v>0</v>
      </c>
      <c r="K45" s="5">
        <f t="shared" si="40"/>
        <v>0</v>
      </c>
      <c r="L45" s="5">
        <f t="shared" si="40"/>
        <v>0</v>
      </c>
      <c r="M45" s="5">
        <f t="shared" si="40"/>
        <v>0</v>
      </c>
      <c r="N45" s="5">
        <f t="shared" si="40"/>
        <v>0</v>
      </c>
      <c r="O45" s="5">
        <f t="shared" si="40"/>
        <v>0</v>
      </c>
      <c r="P45" s="5">
        <f t="shared" si="40"/>
        <v>0</v>
      </c>
      <c r="Q45" s="5">
        <f t="shared" si="40"/>
        <v>0</v>
      </c>
      <c r="R45" s="5">
        <f t="shared" si="40"/>
        <v>0</v>
      </c>
      <c r="S45" s="5">
        <f t="shared" si="40"/>
        <v>0</v>
      </c>
      <c r="T45" s="5">
        <f t="shared" si="40"/>
        <v>0</v>
      </c>
      <c r="U45" s="5">
        <f t="shared" si="40"/>
        <v>0</v>
      </c>
      <c r="V45" s="5">
        <f t="shared" si="40"/>
        <v>0</v>
      </c>
      <c r="W45" s="5">
        <f t="shared" si="40"/>
        <v>0</v>
      </c>
      <c r="X45" s="4"/>
      <c r="Y45" s="5">
        <f>0</f>
        <v>0</v>
      </c>
      <c r="Z45" s="4"/>
      <c r="AA45" s="5">
        <f>0</f>
        <v>0</v>
      </c>
      <c r="AB45" s="4"/>
      <c r="AC45" s="5">
        <f>0</f>
        <v>0</v>
      </c>
      <c r="AD45" s="4"/>
      <c r="AE45" s="5">
        <f>0</f>
        <v>0</v>
      </c>
      <c r="AF45" s="4"/>
      <c r="AG45" s="5">
        <f>0</f>
        <v>0</v>
      </c>
    </row>
    <row r="46" spans="1:33" x14ac:dyDescent="0.25">
      <c r="A46" s="3" t="s">
        <v>57</v>
      </c>
      <c r="B46" s="4"/>
      <c r="C46" s="5">
        <f>37250</f>
        <v>37250</v>
      </c>
      <c r="D46" s="4"/>
      <c r="E46" s="5">
        <f>39750</f>
        <v>39750</v>
      </c>
      <c r="F46" s="4"/>
      <c r="G46" s="5">
        <f>46250</f>
        <v>46250</v>
      </c>
      <c r="H46" s="4"/>
      <c r="I46" s="5">
        <f>46750</f>
        <v>46750</v>
      </c>
      <c r="J46" s="4"/>
      <c r="K46" s="5">
        <f>38250</f>
        <v>38250</v>
      </c>
      <c r="L46" s="5">
        <f t="shared" ref="L46:M48" si="41">J46</f>
        <v>0</v>
      </c>
      <c r="M46" s="5">
        <f t="shared" si="41"/>
        <v>38250</v>
      </c>
      <c r="N46" s="4"/>
      <c r="O46" s="5">
        <f>43811.5</f>
        <v>43811.5</v>
      </c>
      <c r="P46" s="4"/>
      <c r="Q46" s="5">
        <f>38775.5</f>
        <v>38775.5</v>
      </c>
      <c r="R46" s="5">
        <f t="shared" ref="R46:U48" si="42">P46</f>
        <v>0</v>
      </c>
      <c r="S46" s="5">
        <f t="shared" si="42"/>
        <v>38775.5</v>
      </c>
      <c r="T46" s="5">
        <f t="shared" si="42"/>
        <v>0</v>
      </c>
      <c r="U46" s="5">
        <f t="shared" si="42"/>
        <v>38775.5</v>
      </c>
      <c r="V46" s="4"/>
      <c r="W46" s="5">
        <f>19775.5</f>
        <v>19775.5</v>
      </c>
      <c r="X46" s="4"/>
      <c r="Y46" s="5">
        <f>21275.5</f>
        <v>21275.5</v>
      </c>
      <c r="Z46" s="4"/>
      <c r="AA46" s="5">
        <f>28775.5</f>
        <v>28775.5</v>
      </c>
      <c r="AB46" s="4"/>
      <c r="AC46" s="5">
        <f>42005.12</f>
        <v>42005.120000000003</v>
      </c>
      <c r="AD46" s="4"/>
      <c r="AE46" s="5">
        <f>60880.48</f>
        <v>60880.480000000003</v>
      </c>
      <c r="AF46" s="4"/>
      <c r="AG46" s="5">
        <f>46380.48</f>
        <v>46380.480000000003</v>
      </c>
    </row>
    <row r="47" spans="1:33" x14ac:dyDescent="0.25">
      <c r="A47" s="3" t="s">
        <v>58</v>
      </c>
      <c r="B47" s="4"/>
      <c r="C47" s="5">
        <f>0</f>
        <v>0</v>
      </c>
      <c r="D47" s="5">
        <f t="shared" ref="D47:K48" si="43">B47</f>
        <v>0</v>
      </c>
      <c r="E47" s="5">
        <f t="shared" si="43"/>
        <v>0</v>
      </c>
      <c r="F47" s="5">
        <f t="shared" si="43"/>
        <v>0</v>
      </c>
      <c r="G47" s="5">
        <f t="shared" si="43"/>
        <v>0</v>
      </c>
      <c r="H47" s="5">
        <f t="shared" si="43"/>
        <v>0</v>
      </c>
      <c r="I47" s="5">
        <f t="shared" si="43"/>
        <v>0</v>
      </c>
      <c r="J47" s="5">
        <f t="shared" si="43"/>
        <v>0</v>
      </c>
      <c r="K47" s="5">
        <f t="shared" si="43"/>
        <v>0</v>
      </c>
      <c r="L47" s="5">
        <f t="shared" si="41"/>
        <v>0</v>
      </c>
      <c r="M47" s="5">
        <f t="shared" si="41"/>
        <v>0</v>
      </c>
      <c r="N47" s="5">
        <f t="shared" ref="N47:Q48" si="44">L47</f>
        <v>0</v>
      </c>
      <c r="O47" s="5">
        <f t="shared" si="44"/>
        <v>0</v>
      </c>
      <c r="P47" s="5">
        <f t="shared" si="44"/>
        <v>0</v>
      </c>
      <c r="Q47" s="5">
        <f t="shared" si="44"/>
        <v>0</v>
      </c>
      <c r="R47" s="5">
        <f t="shared" si="42"/>
        <v>0</v>
      </c>
      <c r="S47" s="5">
        <f t="shared" si="42"/>
        <v>0</v>
      </c>
      <c r="T47" s="5">
        <f t="shared" si="42"/>
        <v>0</v>
      </c>
      <c r="U47" s="5">
        <f t="shared" si="42"/>
        <v>0</v>
      </c>
      <c r="V47" s="5">
        <f t="shared" ref="V47:AG48" si="45">T47</f>
        <v>0</v>
      </c>
      <c r="W47" s="5">
        <f t="shared" si="45"/>
        <v>0</v>
      </c>
      <c r="X47" s="5">
        <f t="shared" si="45"/>
        <v>0</v>
      </c>
      <c r="Y47" s="5">
        <f t="shared" si="45"/>
        <v>0</v>
      </c>
      <c r="Z47" s="5">
        <f t="shared" si="45"/>
        <v>0</v>
      </c>
      <c r="AA47" s="5">
        <f t="shared" si="45"/>
        <v>0</v>
      </c>
      <c r="AB47" s="5">
        <f t="shared" si="45"/>
        <v>0</v>
      </c>
      <c r="AC47" s="5">
        <f t="shared" si="45"/>
        <v>0</v>
      </c>
      <c r="AD47" s="5">
        <f t="shared" si="45"/>
        <v>0</v>
      </c>
      <c r="AE47" s="5">
        <f t="shared" si="45"/>
        <v>0</v>
      </c>
      <c r="AF47" s="5">
        <f t="shared" si="45"/>
        <v>0</v>
      </c>
      <c r="AG47" s="5">
        <f t="shared" si="45"/>
        <v>0</v>
      </c>
    </row>
    <row r="48" spans="1:33" x14ac:dyDescent="0.25">
      <c r="A48" s="3" t="s">
        <v>59</v>
      </c>
      <c r="B48" s="5">
        <f>45717.45</f>
        <v>45717.45</v>
      </c>
      <c r="C48" s="4"/>
      <c r="D48" s="5">
        <f t="shared" si="43"/>
        <v>45717.45</v>
      </c>
      <c r="E48" s="5">
        <f t="shared" si="43"/>
        <v>0</v>
      </c>
      <c r="F48" s="5">
        <f t="shared" si="43"/>
        <v>45717.45</v>
      </c>
      <c r="G48" s="5">
        <f t="shared" si="43"/>
        <v>0</v>
      </c>
      <c r="H48" s="5">
        <f t="shared" si="43"/>
        <v>45717.45</v>
      </c>
      <c r="I48" s="5">
        <f t="shared" si="43"/>
        <v>0</v>
      </c>
      <c r="J48" s="5">
        <f t="shared" si="43"/>
        <v>45717.45</v>
      </c>
      <c r="K48" s="5">
        <f t="shared" si="43"/>
        <v>0</v>
      </c>
      <c r="L48" s="5">
        <f t="shared" si="41"/>
        <v>45717.45</v>
      </c>
      <c r="M48" s="5">
        <f t="shared" si="41"/>
        <v>0</v>
      </c>
      <c r="N48" s="5">
        <f t="shared" si="44"/>
        <v>45717.45</v>
      </c>
      <c r="O48" s="5">
        <f t="shared" si="44"/>
        <v>0</v>
      </c>
      <c r="P48" s="5">
        <f t="shared" si="44"/>
        <v>45717.45</v>
      </c>
      <c r="Q48" s="5">
        <f t="shared" si="44"/>
        <v>0</v>
      </c>
      <c r="R48" s="5">
        <f t="shared" si="42"/>
        <v>45717.45</v>
      </c>
      <c r="S48" s="5">
        <f t="shared" si="42"/>
        <v>0</v>
      </c>
      <c r="T48" s="5">
        <f t="shared" si="42"/>
        <v>45717.45</v>
      </c>
      <c r="U48" s="5">
        <f t="shared" si="42"/>
        <v>0</v>
      </c>
      <c r="V48" s="5">
        <f t="shared" si="45"/>
        <v>45717.45</v>
      </c>
      <c r="W48" s="5">
        <f t="shared" si="45"/>
        <v>0</v>
      </c>
      <c r="X48" s="5">
        <f t="shared" si="45"/>
        <v>45717.45</v>
      </c>
      <c r="Y48" s="5">
        <f t="shared" si="45"/>
        <v>0</v>
      </c>
      <c r="Z48" s="5">
        <f t="shared" si="45"/>
        <v>45717.45</v>
      </c>
      <c r="AA48" s="5">
        <f t="shared" si="45"/>
        <v>0</v>
      </c>
      <c r="AB48" s="5">
        <f t="shared" si="45"/>
        <v>45717.45</v>
      </c>
      <c r="AC48" s="5">
        <f t="shared" si="45"/>
        <v>0</v>
      </c>
      <c r="AD48" s="5">
        <f t="shared" si="45"/>
        <v>45717.45</v>
      </c>
      <c r="AE48" s="5">
        <f t="shared" si="45"/>
        <v>0</v>
      </c>
      <c r="AF48" s="5">
        <f t="shared" si="45"/>
        <v>45717.45</v>
      </c>
      <c r="AG48" s="5">
        <f t="shared" si="45"/>
        <v>0</v>
      </c>
    </row>
    <row r="49" spans="1:33" x14ac:dyDescent="0.25">
      <c r="A49" s="3" t="s">
        <v>60</v>
      </c>
      <c r="B49" s="5">
        <f>4300456.35</f>
        <v>4300456.3499999996</v>
      </c>
      <c r="C49" s="4"/>
      <c r="D49" s="5">
        <f>4400456.35</f>
        <v>4400456.3499999996</v>
      </c>
      <c r="E49" s="4"/>
      <c r="F49" s="5">
        <f>4500456.35</f>
        <v>4500456.3499999996</v>
      </c>
      <c r="G49" s="4"/>
      <c r="H49" s="5">
        <f>4600456.35</f>
        <v>4600456.3499999996</v>
      </c>
      <c r="I49" s="4"/>
      <c r="J49" s="5">
        <f>4700456.35</f>
        <v>4700456.3499999996</v>
      </c>
      <c r="K49" s="4"/>
      <c r="L49" s="5">
        <f>4800456.35</f>
        <v>4800456.3499999996</v>
      </c>
      <c r="M49" s="4"/>
      <c r="N49" s="5">
        <f>5000456.35</f>
        <v>5000456.3499999996</v>
      </c>
      <c r="O49" s="4"/>
      <c r="P49" s="5">
        <f>5100456.35</f>
        <v>5100456.3499999996</v>
      </c>
      <c r="Q49" s="4"/>
      <c r="R49" s="5">
        <f>5200456.35</f>
        <v>5200456.3499999996</v>
      </c>
      <c r="S49" s="4"/>
      <c r="T49" s="5">
        <f>5400456.35</f>
        <v>5400456.3499999996</v>
      </c>
      <c r="U49" s="4"/>
      <c r="V49" s="5">
        <f>5600456.35</f>
        <v>5600456.3499999996</v>
      </c>
      <c r="W49" s="4"/>
      <c r="X49" s="5">
        <f>5775456.35</f>
        <v>5775456.3499999996</v>
      </c>
      <c r="Y49" s="4"/>
      <c r="Z49" s="5">
        <f>5925456.35</f>
        <v>5925456.3499999996</v>
      </c>
      <c r="AA49" s="4"/>
      <c r="AB49" s="5">
        <f>6150456.35</f>
        <v>6150456.3499999996</v>
      </c>
      <c r="AC49" s="4"/>
      <c r="AD49" s="5">
        <f>6325456.35</f>
        <v>6325456.3499999996</v>
      </c>
      <c r="AE49" s="4"/>
      <c r="AF49" s="5">
        <f>6550456.35</f>
        <v>6550456.3499999996</v>
      </c>
      <c r="AG49" s="4"/>
    </row>
    <row r="50" spans="1:33" x14ac:dyDescent="0.25">
      <c r="A50" s="3" t="s">
        <v>61</v>
      </c>
      <c r="B50" s="4"/>
      <c r="C50" s="5">
        <f>4415531.71</f>
        <v>4415531.71</v>
      </c>
      <c r="D50" s="5">
        <f t="shared" ref="D50:Y50" si="46">B50</f>
        <v>0</v>
      </c>
      <c r="E50" s="5">
        <f t="shared" si="46"/>
        <v>4415531.71</v>
      </c>
      <c r="F50" s="5">
        <f t="shared" si="46"/>
        <v>0</v>
      </c>
      <c r="G50" s="5">
        <f t="shared" si="46"/>
        <v>4415531.71</v>
      </c>
      <c r="H50" s="5">
        <f t="shared" si="46"/>
        <v>0</v>
      </c>
      <c r="I50" s="5">
        <f t="shared" si="46"/>
        <v>4415531.71</v>
      </c>
      <c r="J50" s="5">
        <f t="shared" si="46"/>
        <v>0</v>
      </c>
      <c r="K50" s="5">
        <f t="shared" si="46"/>
        <v>4415531.71</v>
      </c>
      <c r="L50" s="5">
        <f t="shared" si="46"/>
        <v>0</v>
      </c>
      <c r="M50" s="5">
        <f t="shared" si="46"/>
        <v>4415531.71</v>
      </c>
      <c r="N50" s="5">
        <f t="shared" si="46"/>
        <v>0</v>
      </c>
      <c r="O50" s="5">
        <f t="shared" si="46"/>
        <v>4415531.71</v>
      </c>
      <c r="P50" s="5">
        <f t="shared" si="46"/>
        <v>0</v>
      </c>
      <c r="Q50" s="5">
        <f t="shared" si="46"/>
        <v>4415531.71</v>
      </c>
      <c r="R50" s="5">
        <f t="shared" si="46"/>
        <v>0</v>
      </c>
      <c r="S50" s="5">
        <f t="shared" si="46"/>
        <v>4415531.71</v>
      </c>
      <c r="T50" s="5">
        <f t="shared" si="46"/>
        <v>0</v>
      </c>
      <c r="U50" s="5">
        <f t="shared" si="46"/>
        <v>4415531.71</v>
      </c>
      <c r="V50" s="5">
        <f t="shared" si="46"/>
        <v>0</v>
      </c>
      <c r="W50" s="5">
        <f t="shared" si="46"/>
        <v>4415531.71</v>
      </c>
      <c r="X50" s="5">
        <f t="shared" si="46"/>
        <v>0</v>
      </c>
      <c r="Y50" s="5">
        <f t="shared" si="46"/>
        <v>4415531.71</v>
      </c>
      <c r="Z50" s="4"/>
      <c r="AA50" s="5">
        <f>5954496.44</f>
        <v>5954496.4400000004</v>
      </c>
      <c r="AB50" s="5">
        <f t="shared" ref="AB50:AG50" si="47">Z50</f>
        <v>0</v>
      </c>
      <c r="AC50" s="5">
        <f t="shared" si="47"/>
        <v>5954496.4400000004</v>
      </c>
      <c r="AD50" s="5">
        <f t="shared" si="47"/>
        <v>0</v>
      </c>
      <c r="AE50" s="5">
        <f t="shared" si="47"/>
        <v>5954496.4400000004</v>
      </c>
      <c r="AF50" s="5">
        <f t="shared" si="47"/>
        <v>0</v>
      </c>
      <c r="AG50" s="5">
        <f t="shared" si="47"/>
        <v>5954496.4400000004</v>
      </c>
    </row>
    <row r="51" spans="1:33" x14ac:dyDescent="0.25">
      <c r="A51" s="3" t="s">
        <v>62</v>
      </c>
      <c r="B51" s="4"/>
      <c r="C51" s="5">
        <f>19474.52</f>
        <v>19474.52</v>
      </c>
      <c r="D51" s="4"/>
      <c r="E51" s="5">
        <f>40554.37</f>
        <v>40554.370000000003</v>
      </c>
      <c r="F51" s="4"/>
      <c r="G51" s="5">
        <f>86643.45</f>
        <v>86643.45</v>
      </c>
      <c r="H51" s="5">
        <f>75923.52</f>
        <v>75923.520000000004</v>
      </c>
      <c r="I51" s="4"/>
      <c r="J51" s="5">
        <f>51897.77</f>
        <v>51897.77</v>
      </c>
      <c r="K51" s="4"/>
      <c r="L51" s="4"/>
      <c r="M51" s="5">
        <f>15494.02</f>
        <v>15494.02</v>
      </c>
      <c r="N51" s="4"/>
      <c r="O51" s="5">
        <f>52259.72</f>
        <v>52259.72</v>
      </c>
      <c r="P51" s="4"/>
      <c r="Q51" s="5">
        <f>152246.94</f>
        <v>152246.94</v>
      </c>
      <c r="R51" s="5">
        <f t="shared" ref="R51:W51" si="48">P51</f>
        <v>0</v>
      </c>
      <c r="S51" s="5">
        <f t="shared" si="48"/>
        <v>152246.94</v>
      </c>
      <c r="T51" s="5">
        <f t="shared" si="48"/>
        <v>0</v>
      </c>
      <c r="U51" s="5">
        <f t="shared" si="48"/>
        <v>152246.94</v>
      </c>
      <c r="V51" s="5">
        <f t="shared" si="48"/>
        <v>0</v>
      </c>
      <c r="W51" s="5">
        <f t="shared" si="48"/>
        <v>152246.94</v>
      </c>
      <c r="X51" s="4"/>
      <c r="Y51" s="5">
        <f>278080.08</f>
        <v>278080.08</v>
      </c>
      <c r="Z51" s="4"/>
      <c r="AA51" s="5">
        <f>261675</f>
        <v>261675</v>
      </c>
      <c r="AB51" s="4"/>
      <c r="AC51" s="5">
        <f>497475</f>
        <v>497475</v>
      </c>
      <c r="AD51" s="5">
        <f>AB51</f>
        <v>0</v>
      </c>
      <c r="AE51" s="5">
        <f>AC51</f>
        <v>497475</v>
      </c>
      <c r="AF51" s="5">
        <f>AD51</f>
        <v>0</v>
      </c>
      <c r="AG51" s="5">
        <f>AE51</f>
        <v>497475</v>
      </c>
    </row>
    <row r="52" spans="1:33" x14ac:dyDescent="0.25">
      <c r="A52" s="3" t="s">
        <v>63</v>
      </c>
      <c r="B52" s="4"/>
      <c r="C52" s="4"/>
      <c r="D52" s="5">
        <f>B52</f>
        <v>0</v>
      </c>
      <c r="E52" s="5">
        <f>C52</f>
        <v>0</v>
      </c>
      <c r="F52" s="4"/>
      <c r="G52" s="5">
        <f>1028.2</f>
        <v>1028.2</v>
      </c>
      <c r="H52" s="5">
        <f t="shared" ref="H52:U53" si="49">F52</f>
        <v>0</v>
      </c>
      <c r="I52" s="5">
        <f t="shared" si="49"/>
        <v>1028.2</v>
      </c>
      <c r="J52" s="5">
        <f t="shared" si="49"/>
        <v>0</v>
      </c>
      <c r="K52" s="5">
        <f t="shared" si="49"/>
        <v>1028.2</v>
      </c>
      <c r="L52" s="5">
        <f t="shared" si="49"/>
        <v>0</v>
      </c>
      <c r="M52" s="5">
        <f t="shared" si="49"/>
        <v>1028.2</v>
      </c>
      <c r="N52" s="5">
        <f t="shared" si="49"/>
        <v>0</v>
      </c>
      <c r="O52" s="5">
        <f t="shared" si="49"/>
        <v>1028.2</v>
      </c>
      <c r="P52" s="5">
        <f t="shared" si="49"/>
        <v>0</v>
      </c>
      <c r="Q52" s="5">
        <f t="shared" si="49"/>
        <v>1028.2</v>
      </c>
      <c r="R52" s="5">
        <f t="shared" si="49"/>
        <v>0</v>
      </c>
      <c r="S52" s="5">
        <f t="shared" si="49"/>
        <v>1028.2</v>
      </c>
      <c r="T52" s="5">
        <f t="shared" si="49"/>
        <v>0</v>
      </c>
      <c r="U52" s="5">
        <f t="shared" si="49"/>
        <v>1028.2</v>
      </c>
      <c r="V52" s="4"/>
      <c r="W52" s="5">
        <f>1028.21</f>
        <v>1028.21</v>
      </c>
      <c r="X52" s="5">
        <f>V52</f>
        <v>0</v>
      </c>
      <c r="Y52" s="5">
        <f>W52</f>
        <v>1028.21</v>
      </c>
      <c r="Z52" s="4"/>
      <c r="AA52" s="4"/>
      <c r="AB52" s="5">
        <f t="shared" ref="AB52:AE53" si="50">Z52</f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4"/>
      <c r="AG52" s="5">
        <f>3830.07</f>
        <v>3830.07</v>
      </c>
    </row>
    <row r="53" spans="1:33" x14ac:dyDescent="0.25">
      <c r="A53" s="3" t="s">
        <v>64</v>
      </c>
      <c r="B53" s="4"/>
      <c r="C53" s="4"/>
      <c r="D53" s="5">
        <f>B53</f>
        <v>0</v>
      </c>
      <c r="E53" s="5">
        <f>C53</f>
        <v>0</v>
      </c>
      <c r="F53" s="5">
        <f>D53</f>
        <v>0</v>
      </c>
      <c r="G53" s="5">
        <f>E53</f>
        <v>0</v>
      </c>
      <c r="H53" s="5">
        <f t="shared" si="49"/>
        <v>0</v>
      </c>
      <c r="I53" s="5">
        <f t="shared" si="49"/>
        <v>0</v>
      </c>
      <c r="J53" s="5">
        <f t="shared" si="49"/>
        <v>0</v>
      </c>
      <c r="K53" s="5">
        <f t="shared" si="49"/>
        <v>0</v>
      </c>
      <c r="L53" s="5">
        <f t="shared" si="49"/>
        <v>0</v>
      </c>
      <c r="M53" s="5">
        <f t="shared" si="49"/>
        <v>0</v>
      </c>
      <c r="N53" s="5">
        <f t="shared" si="49"/>
        <v>0</v>
      </c>
      <c r="O53" s="5">
        <f t="shared" si="49"/>
        <v>0</v>
      </c>
      <c r="P53" s="5">
        <f t="shared" si="49"/>
        <v>0</v>
      </c>
      <c r="Q53" s="5">
        <f t="shared" si="49"/>
        <v>0</v>
      </c>
      <c r="R53" s="5">
        <f t="shared" si="49"/>
        <v>0</v>
      </c>
      <c r="S53" s="5">
        <f t="shared" si="49"/>
        <v>0</v>
      </c>
      <c r="T53" s="5">
        <f t="shared" si="49"/>
        <v>0</v>
      </c>
      <c r="U53" s="5">
        <f t="shared" si="49"/>
        <v>0</v>
      </c>
      <c r="V53" s="5">
        <f>T53</f>
        <v>0</v>
      </c>
      <c r="W53" s="5">
        <f>U53</f>
        <v>0</v>
      </c>
      <c r="X53" s="4"/>
      <c r="Y53" s="5">
        <f>250.91</f>
        <v>250.91</v>
      </c>
      <c r="Z53" s="4"/>
      <c r="AA53" s="4"/>
      <c r="AB53" s="5">
        <f t="shared" si="50"/>
        <v>0</v>
      </c>
      <c r="AC53" s="5">
        <f t="shared" si="50"/>
        <v>0</v>
      </c>
      <c r="AD53" s="5">
        <f t="shared" si="50"/>
        <v>0</v>
      </c>
      <c r="AE53" s="5">
        <f t="shared" si="50"/>
        <v>0</v>
      </c>
      <c r="AF53" s="5">
        <f>AD53</f>
        <v>0</v>
      </c>
      <c r="AG53" s="5">
        <f>AE53</f>
        <v>0</v>
      </c>
    </row>
    <row r="54" spans="1:33" x14ac:dyDescent="0.25">
      <c r="A54" s="3" t="s">
        <v>65</v>
      </c>
      <c r="B54" s="4"/>
      <c r="C54" s="5">
        <f>272902.8</f>
        <v>272902.8</v>
      </c>
      <c r="D54" s="4"/>
      <c r="E54" s="5">
        <f>659050.57</f>
        <v>659050.56999999995</v>
      </c>
      <c r="F54" s="4"/>
      <c r="G54" s="5">
        <f>1061359.81</f>
        <v>1061359.81</v>
      </c>
      <c r="H54" s="4"/>
      <c r="I54" s="5">
        <f>1646757.58</f>
        <v>1646757.58</v>
      </c>
      <c r="J54" s="4"/>
      <c r="K54" s="5">
        <f>2129404.05</f>
        <v>2129404.0499999998</v>
      </c>
      <c r="L54" s="4"/>
      <c r="M54" s="5">
        <f>2613928.96</f>
        <v>2613928.96</v>
      </c>
      <c r="N54" s="4"/>
      <c r="O54" s="5">
        <f>3022488.65</f>
        <v>3022488.65</v>
      </c>
      <c r="P54" s="4"/>
      <c r="Q54" s="5">
        <f>3531728.18</f>
        <v>3531728.18</v>
      </c>
      <c r="R54" s="4"/>
      <c r="S54" s="5">
        <f>4063100.71</f>
        <v>4063100.71</v>
      </c>
      <c r="T54" s="4"/>
      <c r="U54" s="5">
        <f>4585405.76</f>
        <v>4585405.76</v>
      </c>
      <c r="V54" s="4"/>
      <c r="W54" s="5">
        <f>5089161.3</f>
        <v>5089161.3</v>
      </c>
      <c r="X54" s="4"/>
      <c r="Y54" s="5">
        <f>5612153.21</f>
        <v>5612153.21</v>
      </c>
      <c r="Z54" s="4"/>
      <c r="AA54" s="5">
        <f>559252.4</f>
        <v>559252.4</v>
      </c>
      <c r="AB54" s="4"/>
      <c r="AC54" s="5">
        <f>979656.99</f>
        <v>979656.99</v>
      </c>
      <c r="AD54" s="4"/>
      <c r="AE54" s="5">
        <f>1678795.19</f>
        <v>1678795.19</v>
      </c>
      <c r="AF54" s="4"/>
      <c r="AG54" s="5">
        <f>2340890.19</f>
        <v>2340890.19</v>
      </c>
    </row>
    <row r="55" spans="1:33" x14ac:dyDescent="0.25">
      <c r="A55" s="3" t="s">
        <v>66</v>
      </c>
      <c r="B55" s="4"/>
      <c r="C55" s="4"/>
      <c r="D55" s="4"/>
      <c r="E55" s="5">
        <f>45000</f>
        <v>45000</v>
      </c>
      <c r="F55" s="4"/>
      <c r="G55" s="5">
        <f>92850</f>
        <v>92850</v>
      </c>
      <c r="H55" s="5">
        <f t="shared" ref="H55:M55" si="51">F55</f>
        <v>0</v>
      </c>
      <c r="I55" s="5">
        <f t="shared" si="51"/>
        <v>92850</v>
      </c>
      <c r="J55" s="5">
        <f t="shared" si="51"/>
        <v>0</v>
      </c>
      <c r="K55" s="5">
        <f t="shared" si="51"/>
        <v>92850</v>
      </c>
      <c r="L55" s="5">
        <f t="shared" si="51"/>
        <v>0</v>
      </c>
      <c r="M55" s="5">
        <f t="shared" si="51"/>
        <v>92850</v>
      </c>
      <c r="N55" s="4"/>
      <c r="O55" s="5">
        <f>227850</f>
        <v>227850</v>
      </c>
      <c r="P55" s="5">
        <f t="shared" ref="P55:Y55" si="52">N55</f>
        <v>0</v>
      </c>
      <c r="Q55" s="5">
        <f t="shared" si="52"/>
        <v>227850</v>
      </c>
      <c r="R55" s="5">
        <f t="shared" si="52"/>
        <v>0</v>
      </c>
      <c r="S55" s="5">
        <f t="shared" si="52"/>
        <v>227850</v>
      </c>
      <c r="T55" s="5">
        <f t="shared" si="52"/>
        <v>0</v>
      </c>
      <c r="U55" s="5">
        <f t="shared" si="52"/>
        <v>227850</v>
      </c>
      <c r="V55" s="5">
        <f t="shared" si="52"/>
        <v>0</v>
      </c>
      <c r="W55" s="5">
        <f t="shared" si="52"/>
        <v>227850</v>
      </c>
      <c r="X55" s="5">
        <f t="shared" si="52"/>
        <v>0</v>
      </c>
      <c r="Y55" s="5">
        <f t="shared" si="52"/>
        <v>227850</v>
      </c>
      <c r="Z55" s="4"/>
      <c r="AA55" s="4"/>
      <c r="AB55" s="5">
        <f t="shared" ref="AB55:AG55" si="53">Z55</f>
        <v>0</v>
      </c>
      <c r="AC55" s="5">
        <f t="shared" si="53"/>
        <v>0</v>
      </c>
      <c r="AD55" s="5">
        <f t="shared" si="53"/>
        <v>0</v>
      </c>
      <c r="AE55" s="5">
        <f t="shared" si="53"/>
        <v>0</v>
      </c>
      <c r="AF55" s="5">
        <f t="shared" si="53"/>
        <v>0</v>
      </c>
      <c r="AG55" s="5">
        <f t="shared" si="53"/>
        <v>0</v>
      </c>
    </row>
    <row r="56" spans="1:33" x14ac:dyDescent="0.25">
      <c r="A56" s="3" t="s">
        <v>67</v>
      </c>
      <c r="B56" s="4"/>
      <c r="C56" s="5">
        <f>101503.02</f>
        <v>101503.02</v>
      </c>
      <c r="D56" s="4"/>
      <c r="E56" s="5">
        <f>227140.11</f>
        <v>227140.11</v>
      </c>
      <c r="F56" s="4"/>
      <c r="G56" s="5">
        <f>306639.05</f>
        <v>306639.05</v>
      </c>
      <c r="H56" s="4"/>
      <c r="I56" s="5">
        <f>390751.82</f>
        <v>390751.82</v>
      </c>
      <c r="J56" s="4"/>
      <c r="K56" s="5">
        <f>418543.86</f>
        <v>418543.86</v>
      </c>
      <c r="L56" s="4"/>
      <c r="M56" s="5">
        <f>459084.95</f>
        <v>459084.95</v>
      </c>
      <c r="N56" s="4"/>
      <c r="O56" s="5">
        <f>496590.93</f>
        <v>496590.93</v>
      </c>
      <c r="P56" s="4"/>
      <c r="Q56" s="5">
        <f>541100.3</f>
        <v>541100.30000000005</v>
      </c>
      <c r="R56" s="4"/>
      <c r="S56" s="5">
        <f>623467.33</f>
        <v>623467.32999999996</v>
      </c>
      <c r="T56" s="4"/>
      <c r="U56" s="5">
        <f>693311.1</f>
        <v>693311.1</v>
      </c>
      <c r="V56" s="4"/>
      <c r="W56" s="5">
        <f>762185.51</f>
        <v>762185.51</v>
      </c>
      <c r="X56" s="4"/>
      <c r="Y56" s="5">
        <f>800914.74</f>
        <v>800914.74</v>
      </c>
      <c r="Z56" s="5">
        <f>3056.47</f>
        <v>3056.47</v>
      </c>
      <c r="AA56" s="4"/>
      <c r="AB56" s="4"/>
      <c r="AC56" s="5">
        <f>31131.69</f>
        <v>31131.69</v>
      </c>
      <c r="AD56" s="4"/>
      <c r="AE56" s="5">
        <f>80121.82</f>
        <v>80121.820000000007</v>
      </c>
      <c r="AF56" s="4"/>
      <c r="AG56" s="5">
        <f>99279.13</f>
        <v>99279.13</v>
      </c>
    </row>
    <row r="57" spans="1:33" x14ac:dyDescent="0.25">
      <c r="A57" s="3" t="s">
        <v>68</v>
      </c>
      <c r="B57" s="4"/>
      <c r="C57" s="5">
        <f>0</f>
        <v>0</v>
      </c>
      <c r="D57" s="4"/>
      <c r="E57" s="5">
        <f>0</f>
        <v>0</v>
      </c>
      <c r="F57" s="4"/>
      <c r="G57" s="5">
        <f>0</f>
        <v>0</v>
      </c>
      <c r="H57" s="4"/>
      <c r="I57" s="5">
        <f>0</f>
        <v>0</v>
      </c>
      <c r="J57" s="4"/>
      <c r="K57" s="5">
        <f>0</f>
        <v>0</v>
      </c>
      <c r="L57" s="4"/>
      <c r="M57" s="5">
        <f>557.5</f>
        <v>557.5</v>
      </c>
      <c r="N57" s="4"/>
      <c r="O57" s="5">
        <f>1947.1</f>
        <v>1947.1</v>
      </c>
      <c r="P57" s="4"/>
      <c r="Q57" s="5">
        <f>1947.1</f>
        <v>1947.1</v>
      </c>
      <c r="R57" s="4"/>
      <c r="S57" s="5">
        <f>2522.58</f>
        <v>2522.58</v>
      </c>
      <c r="T57" s="4"/>
      <c r="U57" s="5">
        <f>2522.58</f>
        <v>2522.58</v>
      </c>
      <c r="V57" s="4"/>
      <c r="W57" s="5">
        <f>2522.58</f>
        <v>2522.58</v>
      </c>
      <c r="X57" s="4"/>
      <c r="Y57" s="5">
        <f>2522.58</f>
        <v>2522.58</v>
      </c>
      <c r="Z57" s="4"/>
      <c r="AA57" s="5">
        <f>0</f>
        <v>0</v>
      </c>
      <c r="AB57" s="4"/>
      <c r="AC57" s="5">
        <f>0</f>
        <v>0</v>
      </c>
      <c r="AD57" s="4"/>
      <c r="AE57" s="5">
        <f>0</f>
        <v>0</v>
      </c>
      <c r="AF57" s="4"/>
      <c r="AG57" s="5">
        <f>0</f>
        <v>0</v>
      </c>
    </row>
    <row r="58" spans="1:33" x14ac:dyDescent="0.25">
      <c r="A58" s="3" t="s">
        <v>69</v>
      </c>
      <c r="B58" s="4"/>
      <c r="C58" s="4"/>
      <c r="D58" s="5">
        <f>B58</f>
        <v>0</v>
      </c>
      <c r="E58" s="5">
        <f>C58</f>
        <v>0</v>
      </c>
      <c r="F58" s="4"/>
      <c r="G58" s="5">
        <f>16000</f>
        <v>16000</v>
      </c>
      <c r="H58" s="5">
        <f>F58</f>
        <v>0</v>
      </c>
      <c r="I58" s="5">
        <f>G58</f>
        <v>16000</v>
      </c>
      <c r="J58" s="4"/>
      <c r="K58" s="5">
        <f>26400</f>
        <v>26400</v>
      </c>
      <c r="L58" s="4"/>
      <c r="M58" s="5">
        <f>36800</f>
        <v>36800</v>
      </c>
      <c r="N58" s="5">
        <f t="shared" ref="N58:Y58" si="54">L58</f>
        <v>0</v>
      </c>
      <c r="O58" s="5">
        <f t="shared" si="54"/>
        <v>36800</v>
      </c>
      <c r="P58" s="5">
        <f t="shared" si="54"/>
        <v>0</v>
      </c>
      <c r="Q58" s="5">
        <f t="shared" si="54"/>
        <v>36800</v>
      </c>
      <c r="R58" s="5">
        <f t="shared" si="54"/>
        <v>0</v>
      </c>
      <c r="S58" s="5">
        <f t="shared" si="54"/>
        <v>36800</v>
      </c>
      <c r="T58" s="5">
        <f t="shared" si="54"/>
        <v>0</v>
      </c>
      <c r="U58" s="5">
        <f t="shared" si="54"/>
        <v>36800</v>
      </c>
      <c r="V58" s="5">
        <f t="shared" si="54"/>
        <v>0</v>
      </c>
      <c r="W58" s="5">
        <f t="shared" si="54"/>
        <v>36800</v>
      </c>
      <c r="X58" s="5">
        <f t="shared" si="54"/>
        <v>0</v>
      </c>
      <c r="Y58" s="5">
        <f t="shared" si="54"/>
        <v>36800</v>
      </c>
      <c r="Z58" s="4"/>
      <c r="AA58" s="5">
        <f>17000</f>
        <v>17000</v>
      </c>
      <c r="AB58" s="4"/>
      <c r="AC58" s="5">
        <f>36000</f>
        <v>36000</v>
      </c>
      <c r="AD58" s="4"/>
      <c r="AE58" s="5">
        <f>50000</f>
        <v>50000</v>
      </c>
      <c r="AF58" s="5">
        <f>AD58</f>
        <v>0</v>
      </c>
      <c r="AG58" s="5">
        <f>AE58</f>
        <v>50000</v>
      </c>
    </row>
    <row r="59" spans="1:33" x14ac:dyDescent="0.25">
      <c r="A59" s="3" t="s">
        <v>70</v>
      </c>
      <c r="B59" s="4"/>
      <c r="C59" s="4"/>
      <c r="D59" s="5">
        <f>412</f>
        <v>412</v>
      </c>
      <c r="E59" s="4"/>
      <c r="F59" s="5">
        <f>6554.93</f>
        <v>6554.93</v>
      </c>
      <c r="G59" s="4"/>
      <c r="H59" s="5">
        <f>7420.13</f>
        <v>7420.13</v>
      </c>
      <c r="I59" s="4"/>
      <c r="J59" s="5">
        <f>7471.63</f>
        <v>7471.63</v>
      </c>
      <c r="K59" s="4"/>
      <c r="L59" s="5">
        <f>28329.98</f>
        <v>28329.98</v>
      </c>
      <c r="M59" s="4"/>
      <c r="N59" s="5">
        <f>29689.58</f>
        <v>29689.58</v>
      </c>
      <c r="O59" s="4"/>
      <c r="P59" s="5">
        <f>29690.08</f>
        <v>29690.080000000002</v>
      </c>
      <c r="Q59" s="4"/>
      <c r="R59" s="5">
        <f>P59</f>
        <v>29690.080000000002</v>
      </c>
      <c r="S59" s="5">
        <f>Q59</f>
        <v>0</v>
      </c>
      <c r="T59" s="5">
        <f>R59</f>
        <v>29690.080000000002</v>
      </c>
      <c r="U59" s="5">
        <f>S59</f>
        <v>0</v>
      </c>
      <c r="V59" s="5">
        <f>33089.08</f>
        <v>33089.08</v>
      </c>
      <c r="W59" s="4"/>
      <c r="X59" s="5">
        <f>V59</f>
        <v>33089.08</v>
      </c>
      <c r="Y59" s="5">
        <f>W59</f>
        <v>0</v>
      </c>
      <c r="Z59" s="5">
        <f>8000</f>
        <v>8000</v>
      </c>
      <c r="AA59" s="4"/>
      <c r="AB59" s="5">
        <f>12449.6</f>
        <v>12449.6</v>
      </c>
      <c r="AC59" s="4"/>
      <c r="AD59" s="5">
        <f>AB59</f>
        <v>12449.6</v>
      </c>
      <c r="AE59" s="5">
        <f>AC59</f>
        <v>0</v>
      </c>
      <c r="AF59" s="5">
        <f>AD59</f>
        <v>12449.6</v>
      </c>
      <c r="AG59" s="5">
        <f>AE59</f>
        <v>0</v>
      </c>
    </row>
    <row r="60" spans="1:33" x14ac:dyDescent="0.25">
      <c r="A60" s="3" t="s">
        <v>71</v>
      </c>
      <c r="B60" s="4"/>
      <c r="C60" s="5">
        <f>8596.21</f>
        <v>8596.2099999999991</v>
      </c>
      <c r="D60" s="4"/>
      <c r="E60" s="5">
        <f>20522.7</f>
        <v>20522.7</v>
      </c>
      <c r="F60" s="4"/>
      <c r="G60" s="5">
        <f>33067.82</f>
        <v>33067.82</v>
      </c>
      <c r="H60" s="4"/>
      <c r="I60" s="5">
        <f>51152.46</f>
        <v>51152.46</v>
      </c>
      <c r="J60" s="4"/>
      <c r="K60" s="5">
        <f>66146.11</f>
        <v>66146.11</v>
      </c>
      <c r="L60" s="4"/>
      <c r="M60" s="5">
        <f>81137.6</f>
        <v>81137.600000000006</v>
      </c>
      <c r="N60" s="4"/>
      <c r="O60" s="5">
        <f>93790.1</f>
        <v>93790.1</v>
      </c>
      <c r="P60" s="4"/>
      <c r="Q60" s="5">
        <f>109487.32</f>
        <v>109487.32</v>
      </c>
      <c r="R60" s="4"/>
      <c r="S60" s="5">
        <f>133016.84</f>
        <v>133016.84</v>
      </c>
      <c r="T60" s="4"/>
      <c r="U60" s="5">
        <f>148266.73</f>
        <v>148266.73000000001</v>
      </c>
      <c r="V60" s="4"/>
      <c r="W60" s="5">
        <f>162101.72</f>
        <v>162101.72</v>
      </c>
      <c r="X60" s="4"/>
      <c r="Y60" s="5">
        <f>182401.65</f>
        <v>182401.65</v>
      </c>
      <c r="Z60" s="4"/>
      <c r="AA60" s="5">
        <f>19708.48</f>
        <v>19708.48</v>
      </c>
      <c r="AB60" s="4"/>
      <c r="AC60" s="5">
        <f>40673.03</f>
        <v>40673.03</v>
      </c>
      <c r="AD60" s="4"/>
      <c r="AE60" s="5">
        <f>69602.2</f>
        <v>69602.2</v>
      </c>
      <c r="AF60" s="4"/>
      <c r="AG60" s="5">
        <f>90004.92</f>
        <v>90004.92</v>
      </c>
    </row>
    <row r="61" spans="1:33" x14ac:dyDescent="0.25">
      <c r="A61" s="3" t="s">
        <v>72</v>
      </c>
      <c r="B61" s="4"/>
      <c r="C61" s="4"/>
      <c r="D61" s="5">
        <f>B61</f>
        <v>0</v>
      </c>
      <c r="E61" s="5">
        <f>C61</f>
        <v>0</v>
      </c>
      <c r="F61" s="4"/>
      <c r="G61" s="5">
        <f>266.88</f>
        <v>266.88</v>
      </c>
      <c r="H61" s="5">
        <f t="shared" ref="H61:Y61" si="55">F61</f>
        <v>0</v>
      </c>
      <c r="I61" s="5">
        <f t="shared" si="55"/>
        <v>266.88</v>
      </c>
      <c r="J61" s="5">
        <f t="shared" si="55"/>
        <v>0</v>
      </c>
      <c r="K61" s="5">
        <f t="shared" si="55"/>
        <v>266.88</v>
      </c>
      <c r="L61" s="5">
        <f t="shared" si="55"/>
        <v>0</v>
      </c>
      <c r="M61" s="5">
        <f t="shared" si="55"/>
        <v>266.88</v>
      </c>
      <c r="N61" s="5">
        <f t="shared" si="55"/>
        <v>0</v>
      </c>
      <c r="O61" s="5">
        <f t="shared" si="55"/>
        <v>266.88</v>
      </c>
      <c r="P61" s="5">
        <f t="shared" si="55"/>
        <v>0</v>
      </c>
      <c r="Q61" s="5">
        <f t="shared" si="55"/>
        <v>266.88</v>
      </c>
      <c r="R61" s="5">
        <f t="shared" si="55"/>
        <v>0</v>
      </c>
      <c r="S61" s="5">
        <f t="shared" si="55"/>
        <v>266.88</v>
      </c>
      <c r="T61" s="5">
        <f t="shared" si="55"/>
        <v>0</v>
      </c>
      <c r="U61" s="5">
        <f t="shared" si="55"/>
        <v>266.88</v>
      </c>
      <c r="V61" s="5">
        <f t="shared" si="55"/>
        <v>0</v>
      </c>
      <c r="W61" s="5">
        <f t="shared" si="55"/>
        <v>266.88</v>
      </c>
      <c r="X61" s="5">
        <f t="shared" si="55"/>
        <v>0</v>
      </c>
      <c r="Y61" s="5">
        <f t="shared" si="55"/>
        <v>266.88</v>
      </c>
      <c r="Z61" s="4"/>
      <c r="AA61" s="4"/>
      <c r="AB61" s="5">
        <f>Z61</f>
        <v>0</v>
      </c>
      <c r="AC61" s="5">
        <f>AA61</f>
        <v>0</v>
      </c>
      <c r="AD61" s="4"/>
      <c r="AE61" s="5">
        <f>406.41</f>
        <v>406.41</v>
      </c>
      <c r="AF61" s="5">
        <f>AD61</f>
        <v>0</v>
      </c>
      <c r="AG61" s="5">
        <f>AE61</f>
        <v>406.41</v>
      </c>
    </row>
    <row r="62" spans="1:33" x14ac:dyDescent="0.25">
      <c r="A62" s="3" t="s">
        <v>73</v>
      </c>
      <c r="B62" s="5">
        <f>19442.99</f>
        <v>19442.990000000002</v>
      </c>
      <c r="C62" s="4"/>
      <c r="D62" s="5">
        <f>53691.42</f>
        <v>53691.42</v>
      </c>
      <c r="E62" s="4"/>
      <c r="F62" s="5">
        <f>96202.98</f>
        <v>96202.98</v>
      </c>
      <c r="G62" s="4"/>
      <c r="H62" s="5">
        <f>115351.24</f>
        <v>115351.24</v>
      </c>
      <c r="I62" s="4"/>
      <c r="J62" s="5">
        <f>126782.84</f>
        <v>126782.84</v>
      </c>
      <c r="K62" s="4"/>
      <c r="L62" s="5">
        <f>160631.89</f>
        <v>160631.89000000001</v>
      </c>
      <c r="M62" s="4"/>
      <c r="N62" s="5">
        <f>176358.39</f>
        <v>176358.39</v>
      </c>
      <c r="O62" s="4"/>
      <c r="P62" s="5">
        <f>190901.89</f>
        <v>190901.89</v>
      </c>
      <c r="Q62" s="4"/>
      <c r="R62" s="5">
        <f>214531.15</f>
        <v>214531.15</v>
      </c>
      <c r="S62" s="4"/>
      <c r="T62" s="5">
        <f>233989.59</f>
        <v>233989.59</v>
      </c>
      <c r="U62" s="4"/>
      <c r="V62" s="5">
        <f>245713.19</f>
        <v>245713.19</v>
      </c>
      <c r="W62" s="4"/>
      <c r="X62" s="5">
        <f>269038.62</f>
        <v>269038.62</v>
      </c>
      <c r="Y62" s="4"/>
      <c r="Z62" s="5">
        <f>21290.97</f>
        <v>21290.97</v>
      </c>
      <c r="AA62" s="4"/>
      <c r="AB62" s="5">
        <f>41969.35</f>
        <v>41969.35</v>
      </c>
      <c r="AC62" s="4"/>
      <c r="AD62" s="5">
        <f>65307.44</f>
        <v>65307.44</v>
      </c>
      <c r="AE62" s="4"/>
      <c r="AF62" s="5">
        <f>90129.62</f>
        <v>90129.62</v>
      </c>
      <c r="AG62" s="4"/>
    </row>
    <row r="63" spans="1:33" x14ac:dyDescent="0.25">
      <c r="A63" s="3" t="s">
        <v>74</v>
      </c>
      <c r="B63" s="5">
        <f>3621.15</f>
        <v>3621.15</v>
      </c>
      <c r="C63" s="4"/>
      <c r="D63" s="5">
        <f>8112.2</f>
        <v>8112.2</v>
      </c>
      <c r="E63" s="4"/>
      <c r="F63" s="5">
        <f>13744.03</f>
        <v>13744.03</v>
      </c>
      <c r="G63" s="4"/>
      <c r="H63" s="5">
        <f>24975.04</f>
        <v>24975.040000000001</v>
      </c>
      <c r="I63" s="4"/>
      <c r="J63" s="5">
        <f>31184.58</f>
        <v>31184.58</v>
      </c>
      <c r="K63" s="4"/>
      <c r="L63" s="5">
        <f>36949.57</f>
        <v>36949.57</v>
      </c>
      <c r="M63" s="4"/>
      <c r="N63" s="5">
        <f>41515.1</f>
        <v>41515.1</v>
      </c>
      <c r="O63" s="4"/>
      <c r="P63" s="5">
        <f>50423.22</f>
        <v>50423.22</v>
      </c>
      <c r="Q63" s="4"/>
      <c r="R63" s="5">
        <f>61521.89</f>
        <v>61521.89</v>
      </c>
      <c r="S63" s="4"/>
      <c r="T63" s="5">
        <f>67242.43</f>
        <v>67242.429999999993</v>
      </c>
      <c r="U63" s="4"/>
      <c r="V63" s="5">
        <f>73347.93</f>
        <v>73347.929999999993</v>
      </c>
      <c r="W63" s="4"/>
      <c r="X63" s="5">
        <f>79378.79</f>
        <v>79378.789999999994</v>
      </c>
      <c r="Y63" s="4"/>
      <c r="Z63" s="5">
        <f>12727.67</f>
        <v>12727.67</v>
      </c>
      <c r="AA63" s="4"/>
      <c r="AB63" s="5">
        <f>22539.91</f>
        <v>22539.91</v>
      </c>
      <c r="AC63" s="4"/>
      <c r="AD63" s="5">
        <f>28669.92</f>
        <v>28669.919999999998</v>
      </c>
      <c r="AE63" s="4"/>
      <c r="AF63" s="5">
        <f>38746.83</f>
        <v>38746.83</v>
      </c>
      <c r="AG63" s="4"/>
    </row>
    <row r="64" spans="1:33" x14ac:dyDescent="0.25">
      <c r="A64" s="3" t="s">
        <v>75</v>
      </c>
      <c r="B64" s="5">
        <f>248721.27</f>
        <v>248721.27</v>
      </c>
      <c r="C64" s="4"/>
      <c r="D64" s="5">
        <f>529479.56</f>
        <v>529479.56000000006</v>
      </c>
      <c r="E64" s="4"/>
      <c r="F64" s="5">
        <f>855073.03</f>
        <v>855073.03</v>
      </c>
      <c r="G64" s="4"/>
      <c r="H64" s="5">
        <f>1153224.28</f>
        <v>1153224.28</v>
      </c>
      <c r="I64" s="4"/>
      <c r="J64" s="5">
        <f>1437727.63</f>
        <v>1437727.63</v>
      </c>
      <c r="K64" s="4"/>
      <c r="L64" s="5">
        <f>1712721.81</f>
        <v>1712721.81</v>
      </c>
      <c r="M64" s="4"/>
      <c r="N64" s="5">
        <f>1990397.44</f>
        <v>1990397.44</v>
      </c>
      <c r="O64" s="4"/>
      <c r="P64" s="5">
        <f>2337491.14</f>
        <v>2337491.14</v>
      </c>
      <c r="Q64" s="4"/>
      <c r="R64" s="5">
        <f>2650904.61</f>
        <v>2650904.61</v>
      </c>
      <c r="S64" s="4"/>
      <c r="T64" s="5">
        <f>2969556.47</f>
        <v>2969556.47</v>
      </c>
      <c r="U64" s="4"/>
      <c r="V64" s="5">
        <f>3296553.38</f>
        <v>3296553.38</v>
      </c>
      <c r="W64" s="4"/>
      <c r="X64" s="5">
        <f>3653736.83</f>
        <v>3653736.83</v>
      </c>
      <c r="Y64" s="4"/>
      <c r="Z64" s="5">
        <f>379033.9</f>
        <v>379033.9</v>
      </c>
      <c r="AA64" s="4"/>
      <c r="AB64" s="5">
        <f>742275.39</f>
        <v>742275.39</v>
      </c>
      <c r="AC64" s="4"/>
      <c r="AD64" s="5">
        <f>1142417.37</f>
        <v>1142417.3700000001</v>
      </c>
      <c r="AE64" s="4"/>
      <c r="AF64" s="5">
        <f>1449803.84</f>
        <v>1449803.84</v>
      </c>
      <c r="AG64" s="4"/>
    </row>
    <row r="65" spans="1:33" x14ac:dyDescent="0.25">
      <c r="A65" s="3" t="s">
        <v>76</v>
      </c>
      <c r="B65" s="5">
        <f>4298.11</f>
        <v>4298.1099999999997</v>
      </c>
      <c r="C65" s="4"/>
      <c r="D65" s="5">
        <f>10261.36</f>
        <v>10261.36</v>
      </c>
      <c r="E65" s="4"/>
      <c r="F65" s="5">
        <f>16533.92</f>
        <v>16533.919999999998</v>
      </c>
      <c r="G65" s="4"/>
      <c r="H65" s="5">
        <f>25576.25</f>
        <v>25576.25</v>
      </c>
      <c r="I65" s="4"/>
      <c r="J65" s="5">
        <f>33073.08</f>
        <v>33073.08</v>
      </c>
      <c r="K65" s="4"/>
      <c r="L65" s="5">
        <f>40568.83</f>
        <v>40568.83</v>
      </c>
      <c r="M65" s="4"/>
      <c r="N65" s="5">
        <f>46895.09</f>
        <v>46895.09</v>
      </c>
      <c r="O65" s="4"/>
      <c r="P65" s="5">
        <f>54743.71</f>
        <v>54743.71</v>
      </c>
      <c r="Q65" s="4"/>
      <c r="R65" s="5">
        <f>66508.47</f>
        <v>66508.47</v>
      </c>
      <c r="S65" s="4"/>
      <c r="T65" s="5">
        <f>74133.42</f>
        <v>74133.42</v>
      </c>
      <c r="U65" s="4"/>
      <c r="V65" s="5">
        <f>81050.92</f>
        <v>81050.92</v>
      </c>
      <c r="W65" s="4"/>
      <c r="X65" s="5">
        <f>90233.78</f>
        <v>90233.78</v>
      </c>
      <c r="Y65" s="4"/>
      <c r="Z65" s="5">
        <f>10821.36</f>
        <v>10821.36</v>
      </c>
      <c r="AA65" s="4"/>
      <c r="AB65" s="5">
        <f>21303.64</f>
        <v>21303.64</v>
      </c>
      <c r="AC65" s="4"/>
      <c r="AD65" s="5">
        <f>35768.23</f>
        <v>35768.230000000003</v>
      </c>
      <c r="AE65" s="4"/>
      <c r="AF65" s="5">
        <f>45969.6</f>
        <v>45969.599999999999</v>
      </c>
      <c r="AG65" s="4"/>
    </row>
    <row r="66" spans="1:33" x14ac:dyDescent="0.25">
      <c r="A66" s="3" t="s">
        <v>77</v>
      </c>
      <c r="B66" s="5">
        <f>3486.34</f>
        <v>3486.34</v>
      </c>
      <c r="C66" s="4"/>
      <c r="D66" s="5">
        <f>7855.74</f>
        <v>7855.74</v>
      </c>
      <c r="E66" s="4"/>
      <c r="F66" s="5">
        <f>12145.29</f>
        <v>12145.29</v>
      </c>
      <c r="G66" s="4"/>
      <c r="H66" s="5">
        <f>18831.69</f>
        <v>18831.689999999999</v>
      </c>
      <c r="I66" s="4"/>
      <c r="J66" s="5">
        <f>23158.5</f>
        <v>23158.5</v>
      </c>
      <c r="K66" s="4"/>
      <c r="L66" s="5">
        <f>28595.47</f>
        <v>28595.47</v>
      </c>
      <c r="M66" s="4"/>
      <c r="N66" s="5">
        <f>33216.13</f>
        <v>33216.129999999997</v>
      </c>
      <c r="O66" s="4"/>
      <c r="P66" s="5">
        <f>37871.19</f>
        <v>37871.19</v>
      </c>
      <c r="Q66" s="4"/>
      <c r="R66" s="5">
        <f>44998.41</f>
        <v>44998.41</v>
      </c>
      <c r="S66" s="4"/>
      <c r="T66" s="5">
        <f>49717.93</f>
        <v>49717.93</v>
      </c>
      <c r="U66" s="4"/>
      <c r="V66" s="5">
        <f>54417.33</f>
        <v>54417.33</v>
      </c>
      <c r="W66" s="4"/>
      <c r="X66" s="5">
        <f>60067.36</f>
        <v>60067.360000000001</v>
      </c>
      <c r="Y66" s="4"/>
      <c r="Z66" s="5">
        <f>6825.28</f>
        <v>6825.28</v>
      </c>
      <c r="AA66" s="4"/>
      <c r="AB66" s="5">
        <f>11695.56</f>
        <v>11695.56</v>
      </c>
      <c r="AC66" s="4"/>
      <c r="AD66" s="5">
        <f>17204.54</f>
        <v>17204.54</v>
      </c>
      <c r="AE66" s="4"/>
      <c r="AF66" s="5">
        <f>22374.62</f>
        <v>22374.62</v>
      </c>
      <c r="AG66" s="4"/>
    </row>
    <row r="67" spans="1:33" x14ac:dyDescent="0.25">
      <c r="A67" s="3" t="s">
        <v>78</v>
      </c>
      <c r="B67" s="5">
        <f>700</f>
        <v>700</v>
      </c>
      <c r="C67" s="4"/>
      <c r="D67" s="5">
        <f>1525</f>
        <v>1525</v>
      </c>
      <c r="E67" s="4"/>
      <c r="F67" s="5">
        <f>2225</f>
        <v>2225</v>
      </c>
      <c r="G67" s="4"/>
      <c r="H67" s="5">
        <f>3275</f>
        <v>3275</v>
      </c>
      <c r="I67" s="4"/>
      <c r="J67" s="5">
        <f>3975</f>
        <v>3975</v>
      </c>
      <c r="K67" s="4"/>
      <c r="L67" s="5">
        <f>4675</f>
        <v>4675</v>
      </c>
      <c r="M67" s="4"/>
      <c r="N67" s="5">
        <f>5375</f>
        <v>5375</v>
      </c>
      <c r="O67" s="4"/>
      <c r="P67" s="5">
        <f>6075</f>
        <v>6075</v>
      </c>
      <c r="Q67" s="4"/>
      <c r="R67" s="5">
        <f>7125</f>
        <v>7125</v>
      </c>
      <c r="S67" s="4"/>
      <c r="T67" s="5">
        <f>7825</f>
        <v>7825</v>
      </c>
      <c r="U67" s="4"/>
      <c r="V67" s="5">
        <f>8850</f>
        <v>8850</v>
      </c>
      <c r="W67" s="4"/>
      <c r="X67" s="5">
        <f>10212.5</f>
        <v>10212.5</v>
      </c>
      <c r="Y67" s="4"/>
      <c r="Z67" s="5">
        <f>1141.5</f>
        <v>1141.5</v>
      </c>
      <c r="AA67" s="4"/>
      <c r="AB67" s="5">
        <f>3026.47</f>
        <v>3026.47</v>
      </c>
      <c r="AC67" s="4"/>
      <c r="AD67" s="5">
        <f>4742.05</f>
        <v>4742.05</v>
      </c>
      <c r="AE67" s="4"/>
      <c r="AF67" s="5">
        <f>6242.05</f>
        <v>6242.05</v>
      </c>
      <c r="AG67" s="4"/>
    </row>
    <row r="68" spans="1:33" x14ac:dyDescent="0.25">
      <c r="A68" s="3" t="s">
        <v>79</v>
      </c>
      <c r="B68" s="5">
        <f>5564.14</f>
        <v>5564.14</v>
      </c>
      <c r="C68" s="4"/>
      <c r="D68" s="5">
        <f>4428.45</f>
        <v>4428.45</v>
      </c>
      <c r="E68" s="4"/>
      <c r="F68" s="5">
        <f>5398.01</f>
        <v>5398.01</v>
      </c>
      <c r="G68" s="4"/>
      <c r="H68" s="5">
        <f>8495.77</f>
        <v>8495.77</v>
      </c>
      <c r="I68" s="4"/>
      <c r="J68" s="5">
        <f>11461.12</f>
        <v>11461.12</v>
      </c>
      <c r="K68" s="4"/>
      <c r="L68" s="5">
        <f>12458.08</f>
        <v>12458.08</v>
      </c>
      <c r="M68" s="4"/>
      <c r="N68" s="5">
        <f>13987.12</f>
        <v>13987.12</v>
      </c>
      <c r="O68" s="4"/>
      <c r="P68" s="5">
        <f>19422.32</f>
        <v>19422.32</v>
      </c>
      <c r="Q68" s="4"/>
      <c r="R68" s="5">
        <f>20489.14</f>
        <v>20489.14</v>
      </c>
      <c r="S68" s="4"/>
      <c r="T68" s="5">
        <f>23102.32</f>
        <v>23102.32</v>
      </c>
      <c r="U68" s="4"/>
      <c r="V68" s="5">
        <f>24754.38</f>
        <v>24754.38</v>
      </c>
      <c r="W68" s="4"/>
      <c r="X68" s="5">
        <f>28009.52</f>
        <v>28009.52</v>
      </c>
      <c r="Y68" s="4"/>
      <c r="Z68" s="5">
        <f>4344.87</f>
        <v>4344.87</v>
      </c>
      <c r="AA68" s="4"/>
      <c r="AB68" s="5">
        <f>5796.01</f>
        <v>5796.01</v>
      </c>
      <c r="AC68" s="4"/>
      <c r="AD68" s="5">
        <f>6557.89</f>
        <v>6557.89</v>
      </c>
      <c r="AE68" s="4"/>
      <c r="AF68" s="5">
        <f>9114.94</f>
        <v>9114.94</v>
      </c>
      <c r="AG68" s="4"/>
    </row>
    <row r="69" spans="1:33" x14ac:dyDescent="0.25">
      <c r="A69" s="3" t="s">
        <v>80</v>
      </c>
      <c r="B69" s="5">
        <f>846</f>
        <v>846</v>
      </c>
      <c r="C69" s="4"/>
      <c r="D69" s="5">
        <f>1346</f>
        <v>1346</v>
      </c>
      <c r="E69" s="4"/>
      <c r="F69" s="5">
        <f>1846</f>
        <v>1846</v>
      </c>
      <c r="G69" s="4"/>
      <c r="H69" s="5">
        <f>2544</f>
        <v>2544</v>
      </c>
      <c r="I69" s="4"/>
      <c r="J69" s="5">
        <f>3114</f>
        <v>3114</v>
      </c>
      <c r="K69" s="4"/>
      <c r="L69" s="5">
        <f>3674</f>
        <v>3674</v>
      </c>
      <c r="M69" s="4"/>
      <c r="N69" s="5">
        <f>4604</f>
        <v>4604</v>
      </c>
      <c r="O69" s="4"/>
      <c r="P69" s="5">
        <f>4104</f>
        <v>4104</v>
      </c>
      <c r="Q69" s="4"/>
      <c r="R69" s="5">
        <f>4680</f>
        <v>4680</v>
      </c>
      <c r="S69" s="4"/>
      <c r="T69" s="5">
        <f>4434</f>
        <v>4434</v>
      </c>
      <c r="U69" s="4"/>
      <c r="V69" s="5">
        <f>5060.04</f>
        <v>5060.04</v>
      </c>
      <c r="W69" s="4"/>
      <c r="X69" s="5">
        <f>5574.27</f>
        <v>5574.27</v>
      </c>
      <c r="Y69" s="4"/>
      <c r="Z69" s="5">
        <f>0</f>
        <v>0</v>
      </c>
      <c r="AA69" s="4"/>
      <c r="AB69" s="5">
        <f>0</f>
        <v>0</v>
      </c>
      <c r="AC69" s="4"/>
      <c r="AD69" s="5">
        <f>0</f>
        <v>0</v>
      </c>
      <c r="AE69" s="4"/>
      <c r="AF69" s="5">
        <f>AD69</f>
        <v>0</v>
      </c>
      <c r="AG69" s="5">
        <f>AE69</f>
        <v>0</v>
      </c>
    </row>
    <row r="70" spans="1:33" x14ac:dyDescent="0.25">
      <c r="A70" s="3" t="s">
        <v>81</v>
      </c>
      <c r="B70" s="5">
        <f>0</f>
        <v>0</v>
      </c>
      <c r="C70" s="4"/>
      <c r="D70" s="5">
        <f>0</f>
        <v>0</v>
      </c>
      <c r="E70" s="4"/>
      <c r="F70" s="5">
        <f>440.04</f>
        <v>440.04</v>
      </c>
      <c r="G70" s="4"/>
      <c r="H70" s="5">
        <f>440.04</f>
        <v>440.04</v>
      </c>
      <c r="I70" s="4"/>
      <c r="J70" s="5">
        <f>906.18</f>
        <v>906.18</v>
      </c>
      <c r="K70" s="4"/>
      <c r="L70" s="5">
        <f>946.18</f>
        <v>946.18</v>
      </c>
      <c r="M70" s="4"/>
      <c r="N70" s="5">
        <f>946.18</f>
        <v>946.18</v>
      </c>
      <c r="O70" s="4"/>
      <c r="P70" s="5">
        <f>946.18</f>
        <v>946.18</v>
      </c>
      <c r="Q70" s="4"/>
      <c r="R70" s="5">
        <f>946.18</f>
        <v>946.18</v>
      </c>
      <c r="S70" s="4"/>
      <c r="T70" s="5">
        <f>946.18</f>
        <v>946.18</v>
      </c>
      <c r="U70" s="4"/>
      <c r="V70" s="5">
        <f>946.18</f>
        <v>946.18</v>
      </c>
      <c r="W70" s="4"/>
      <c r="X70" s="5">
        <f>1018.17</f>
        <v>1018.17</v>
      </c>
      <c r="Y70" s="4"/>
      <c r="Z70" s="5">
        <f>0</f>
        <v>0</v>
      </c>
      <c r="AA70" s="4"/>
      <c r="AB70" s="5">
        <f>0</f>
        <v>0</v>
      </c>
      <c r="AC70" s="4"/>
      <c r="AD70" s="5">
        <f>0</f>
        <v>0</v>
      </c>
      <c r="AE70" s="4"/>
      <c r="AF70" s="5">
        <f>AD70</f>
        <v>0</v>
      </c>
      <c r="AG70" s="5">
        <f>AE70</f>
        <v>0</v>
      </c>
    </row>
    <row r="71" spans="1:33" x14ac:dyDescent="0.25">
      <c r="A71" s="3" t="s">
        <v>82</v>
      </c>
      <c r="B71" s="5">
        <f>12251.33</f>
        <v>12251.33</v>
      </c>
      <c r="C71" s="4"/>
      <c r="D71" s="5">
        <f>23493.53</f>
        <v>23493.53</v>
      </c>
      <c r="E71" s="4"/>
      <c r="F71" s="5">
        <f>36431.64</f>
        <v>36431.64</v>
      </c>
      <c r="G71" s="4"/>
      <c r="H71" s="5">
        <f>36334.39</f>
        <v>36334.39</v>
      </c>
      <c r="I71" s="4"/>
      <c r="J71" s="5">
        <f>48877.22</f>
        <v>48877.22</v>
      </c>
      <c r="K71" s="4"/>
      <c r="L71" s="5">
        <f>64735.43</f>
        <v>64735.43</v>
      </c>
      <c r="M71" s="4"/>
      <c r="N71" s="5">
        <f>78415.11</f>
        <v>78415.11</v>
      </c>
      <c r="O71" s="4"/>
      <c r="P71" s="5">
        <f>95070.04</f>
        <v>95070.04</v>
      </c>
      <c r="Q71" s="4"/>
      <c r="R71" s="5">
        <f>98783.15</f>
        <v>98783.15</v>
      </c>
      <c r="S71" s="4"/>
      <c r="T71" s="5">
        <f>112636.75</f>
        <v>112636.75</v>
      </c>
      <c r="U71" s="4"/>
      <c r="V71" s="5">
        <f>125898.9</f>
        <v>125898.9</v>
      </c>
      <c r="W71" s="4"/>
      <c r="X71" s="5">
        <f>138169.39</f>
        <v>138169.39000000001</v>
      </c>
      <c r="Y71" s="4"/>
      <c r="Z71" s="5">
        <f>9014</f>
        <v>9014</v>
      </c>
      <c r="AA71" s="4"/>
      <c r="AB71" s="5">
        <f>27688.34</f>
        <v>27688.34</v>
      </c>
      <c r="AC71" s="4"/>
      <c r="AD71" s="5">
        <f>42032.14</f>
        <v>42032.14</v>
      </c>
      <c r="AE71" s="4"/>
      <c r="AF71" s="5">
        <f>59714</f>
        <v>59714</v>
      </c>
      <c r="AG71" s="4"/>
    </row>
    <row r="72" spans="1:33" x14ac:dyDescent="0.25">
      <c r="A72" s="3" t="s">
        <v>83</v>
      </c>
      <c r="B72" s="5">
        <f>1531.59</f>
        <v>1531.59</v>
      </c>
      <c r="C72" s="4"/>
      <c r="D72" s="5">
        <f>3125.6</f>
        <v>3125.6</v>
      </c>
      <c r="E72" s="4"/>
      <c r="F72" s="5">
        <f>3384.12</f>
        <v>3384.12</v>
      </c>
      <c r="G72" s="4"/>
      <c r="H72" s="5">
        <f>4949.59</f>
        <v>4949.59</v>
      </c>
      <c r="I72" s="4"/>
      <c r="J72" s="5">
        <f>H72</f>
        <v>4949.59</v>
      </c>
      <c r="K72" s="5">
        <f>I72</f>
        <v>0</v>
      </c>
      <c r="L72" s="5">
        <f>5958.93</f>
        <v>5958.93</v>
      </c>
      <c r="M72" s="4"/>
      <c r="N72" s="5">
        <f>7030.3</f>
        <v>7030.3</v>
      </c>
      <c r="O72" s="4"/>
      <c r="P72" s="5">
        <f>7975.42</f>
        <v>7975.42</v>
      </c>
      <c r="Q72" s="4"/>
      <c r="R72" s="5">
        <f>8857.08</f>
        <v>8857.08</v>
      </c>
      <c r="S72" s="4"/>
      <c r="T72" s="5">
        <f>9678.58</f>
        <v>9678.58</v>
      </c>
      <c r="U72" s="4"/>
      <c r="V72" s="5">
        <f>9785.04</f>
        <v>9785.0400000000009</v>
      </c>
      <c r="W72" s="4"/>
      <c r="X72" s="5">
        <f>10780.4</f>
        <v>10780.4</v>
      </c>
      <c r="Y72" s="4"/>
      <c r="Z72" s="5">
        <f>103.56</f>
        <v>103.56</v>
      </c>
      <c r="AA72" s="4"/>
      <c r="AB72" s="5">
        <f>Z72</f>
        <v>103.56</v>
      </c>
      <c r="AC72" s="5">
        <f>AA72</f>
        <v>0</v>
      </c>
      <c r="AD72" s="5">
        <f>174.84</f>
        <v>174.84</v>
      </c>
      <c r="AE72" s="4"/>
      <c r="AF72" s="5">
        <f>220.72</f>
        <v>220.72</v>
      </c>
      <c r="AG72" s="4"/>
    </row>
    <row r="73" spans="1:33" x14ac:dyDescent="0.25">
      <c r="A73" s="3" t="s">
        <v>84</v>
      </c>
      <c r="B73" s="5">
        <f>1686.32</f>
        <v>1686.32</v>
      </c>
      <c r="C73" s="4"/>
      <c r="D73" s="5">
        <f>2936.49</f>
        <v>2936.49</v>
      </c>
      <c r="E73" s="4"/>
      <c r="F73" s="5">
        <f>3920.12</f>
        <v>3920.12</v>
      </c>
      <c r="G73" s="4"/>
      <c r="H73" s="5">
        <f>6057.17</f>
        <v>6057.17</v>
      </c>
      <c r="I73" s="4"/>
      <c r="J73" s="5">
        <f>9040.56</f>
        <v>9040.56</v>
      </c>
      <c r="K73" s="4"/>
      <c r="L73" s="5">
        <f>10111.84</f>
        <v>10111.84</v>
      </c>
      <c r="M73" s="4"/>
      <c r="N73" s="5">
        <f>11633.27</f>
        <v>11633.27</v>
      </c>
      <c r="O73" s="4"/>
      <c r="P73" s="5">
        <f>12128.95</f>
        <v>12128.95</v>
      </c>
      <c r="Q73" s="4"/>
      <c r="R73" s="5">
        <f>17707.28</f>
        <v>17707.28</v>
      </c>
      <c r="S73" s="4"/>
      <c r="T73" s="5">
        <f>19871.41</f>
        <v>19871.41</v>
      </c>
      <c r="U73" s="4"/>
      <c r="V73" s="5">
        <f>21097.95</f>
        <v>21097.95</v>
      </c>
      <c r="W73" s="4"/>
      <c r="X73" s="5">
        <f>24511</f>
        <v>24511</v>
      </c>
      <c r="Y73" s="4"/>
      <c r="Z73" s="5">
        <f>0</f>
        <v>0</v>
      </c>
      <c r="AA73" s="4"/>
      <c r="AB73" s="5">
        <f>0</f>
        <v>0</v>
      </c>
      <c r="AC73" s="4"/>
      <c r="AD73" s="5">
        <f>634.97</f>
        <v>634.97</v>
      </c>
      <c r="AE73" s="4"/>
      <c r="AF73" s="5">
        <f>634.97</f>
        <v>634.97</v>
      </c>
      <c r="AG73" s="4"/>
    </row>
    <row r="74" spans="1:33" x14ac:dyDescent="0.25">
      <c r="A74" s="3" t="s">
        <v>85</v>
      </c>
      <c r="B74" s="5">
        <f>1055.94</f>
        <v>1055.94</v>
      </c>
      <c r="C74" s="4"/>
      <c r="D74" s="5">
        <f t="shared" ref="D74:Y74" si="56">B74</f>
        <v>1055.94</v>
      </c>
      <c r="E74" s="5">
        <f t="shared" si="56"/>
        <v>0</v>
      </c>
      <c r="F74" s="5">
        <f t="shared" si="56"/>
        <v>1055.94</v>
      </c>
      <c r="G74" s="5">
        <f t="shared" si="56"/>
        <v>0</v>
      </c>
      <c r="H74" s="5">
        <f t="shared" si="56"/>
        <v>1055.94</v>
      </c>
      <c r="I74" s="5">
        <f t="shared" si="56"/>
        <v>0</v>
      </c>
      <c r="J74" s="5">
        <f t="shared" si="56"/>
        <v>1055.94</v>
      </c>
      <c r="K74" s="5">
        <f t="shared" si="56"/>
        <v>0</v>
      </c>
      <c r="L74" s="5">
        <f t="shared" si="56"/>
        <v>1055.94</v>
      </c>
      <c r="M74" s="5">
        <f t="shared" si="56"/>
        <v>0</v>
      </c>
      <c r="N74" s="5">
        <f t="shared" si="56"/>
        <v>1055.94</v>
      </c>
      <c r="O74" s="5">
        <f t="shared" si="56"/>
        <v>0</v>
      </c>
      <c r="P74" s="5">
        <f t="shared" si="56"/>
        <v>1055.94</v>
      </c>
      <c r="Q74" s="5">
        <f t="shared" si="56"/>
        <v>0</v>
      </c>
      <c r="R74" s="5">
        <f t="shared" si="56"/>
        <v>1055.94</v>
      </c>
      <c r="S74" s="5">
        <f t="shared" si="56"/>
        <v>0</v>
      </c>
      <c r="T74" s="5">
        <f t="shared" si="56"/>
        <v>1055.94</v>
      </c>
      <c r="U74" s="5">
        <f t="shared" si="56"/>
        <v>0</v>
      </c>
      <c r="V74" s="5">
        <f t="shared" si="56"/>
        <v>1055.94</v>
      </c>
      <c r="W74" s="5">
        <f t="shared" si="56"/>
        <v>0</v>
      </c>
      <c r="X74" s="5">
        <f t="shared" si="56"/>
        <v>1055.94</v>
      </c>
      <c r="Y74" s="5">
        <f t="shared" si="56"/>
        <v>0</v>
      </c>
      <c r="Z74" s="4"/>
      <c r="AA74" s="4"/>
      <c r="AB74" s="5">
        <f t="shared" ref="AB74:AG75" si="57">Z74</f>
        <v>0</v>
      </c>
      <c r="AC74" s="5">
        <f t="shared" si="57"/>
        <v>0</v>
      </c>
      <c r="AD74" s="5">
        <f t="shared" si="57"/>
        <v>0</v>
      </c>
      <c r="AE74" s="5">
        <f t="shared" si="57"/>
        <v>0</v>
      </c>
      <c r="AF74" s="5">
        <f t="shared" si="57"/>
        <v>0</v>
      </c>
      <c r="AG74" s="5">
        <f t="shared" si="57"/>
        <v>0</v>
      </c>
    </row>
    <row r="75" spans="1:33" x14ac:dyDescent="0.25">
      <c r="A75" s="3" t="s">
        <v>86</v>
      </c>
      <c r="B75" s="4"/>
      <c r="C75" s="4"/>
      <c r="D75" s="5">
        <f>2511.5</f>
        <v>2511.5</v>
      </c>
      <c r="E75" s="4"/>
      <c r="F75" s="5">
        <f>677.08</f>
        <v>677.08</v>
      </c>
      <c r="G75" s="4"/>
      <c r="H75" s="4"/>
      <c r="I75" s="5">
        <f>36.32</f>
        <v>36.32</v>
      </c>
      <c r="J75" s="5">
        <f>H75</f>
        <v>0</v>
      </c>
      <c r="K75" s="5">
        <f>I75</f>
        <v>36.32</v>
      </c>
      <c r="L75" s="5">
        <f>7098.82</f>
        <v>7098.82</v>
      </c>
      <c r="M75" s="4"/>
      <c r="N75" s="5">
        <f>7678.73</f>
        <v>7678.73</v>
      </c>
      <c r="O75" s="4"/>
      <c r="P75" s="5">
        <f>3511.75</f>
        <v>3511.75</v>
      </c>
      <c r="Q75" s="4"/>
      <c r="R75" s="5">
        <f t="shared" ref="R75:Y75" si="58">P75</f>
        <v>3511.75</v>
      </c>
      <c r="S75" s="5">
        <f t="shared" si="58"/>
        <v>0</v>
      </c>
      <c r="T75" s="5">
        <f t="shared" si="58"/>
        <v>3511.75</v>
      </c>
      <c r="U75" s="5">
        <f t="shared" si="58"/>
        <v>0</v>
      </c>
      <c r="V75" s="5">
        <f t="shared" si="58"/>
        <v>3511.75</v>
      </c>
      <c r="W75" s="5">
        <f t="shared" si="58"/>
        <v>0</v>
      </c>
      <c r="X75" s="5">
        <f t="shared" si="58"/>
        <v>3511.75</v>
      </c>
      <c r="Y75" s="5">
        <f t="shared" si="58"/>
        <v>0</v>
      </c>
      <c r="Z75" s="4"/>
      <c r="AA75" s="4"/>
      <c r="AB75" s="5">
        <f t="shared" si="57"/>
        <v>0</v>
      </c>
      <c r="AC75" s="5">
        <f t="shared" si="57"/>
        <v>0</v>
      </c>
      <c r="AD75" s="5">
        <f t="shared" si="57"/>
        <v>0</v>
      </c>
      <c r="AE75" s="5">
        <f t="shared" si="57"/>
        <v>0</v>
      </c>
      <c r="AF75" s="5">
        <f t="shared" si="57"/>
        <v>0</v>
      </c>
      <c r="AG75" s="5">
        <f t="shared" si="57"/>
        <v>0</v>
      </c>
    </row>
    <row r="76" spans="1:33" x14ac:dyDescent="0.25">
      <c r="A76" s="3" t="s">
        <v>87</v>
      </c>
      <c r="B76" s="5">
        <f>211.42</f>
        <v>211.42</v>
      </c>
      <c r="C76" s="4"/>
      <c r="D76" s="5">
        <f>467</f>
        <v>467</v>
      </c>
      <c r="E76" s="4"/>
      <c r="F76" s="5">
        <f>738.96</f>
        <v>738.96</v>
      </c>
      <c r="G76" s="4"/>
      <c r="H76" s="5">
        <f>1079.11</f>
        <v>1079.1099999999999</v>
      </c>
      <c r="I76" s="4"/>
      <c r="J76" s="5">
        <f>1200.62</f>
        <v>1200.6199999999999</v>
      </c>
      <c r="K76" s="4"/>
      <c r="L76" s="5">
        <f>1053.55</f>
        <v>1053.55</v>
      </c>
      <c r="M76" s="4"/>
      <c r="N76" s="5">
        <f>1358.86</f>
        <v>1358.86</v>
      </c>
      <c r="O76" s="4"/>
      <c r="P76" s="5">
        <f>1623.62</f>
        <v>1623.62</v>
      </c>
      <c r="Q76" s="4"/>
      <c r="R76" s="5">
        <f>2049.98</f>
        <v>2049.98</v>
      </c>
      <c r="S76" s="4"/>
      <c r="T76" s="5">
        <f>2329.33</f>
        <v>2329.33</v>
      </c>
      <c r="U76" s="4"/>
      <c r="V76" s="5">
        <f>2605</f>
        <v>2605</v>
      </c>
      <c r="W76" s="4"/>
      <c r="X76" s="5">
        <f>2908.1</f>
        <v>2908.1</v>
      </c>
      <c r="Y76" s="4"/>
      <c r="Z76" s="5">
        <f>471.92</f>
        <v>471.92</v>
      </c>
      <c r="AA76" s="4"/>
      <c r="AB76" s="5">
        <f>787.75</f>
        <v>787.75</v>
      </c>
      <c r="AC76" s="4"/>
      <c r="AD76" s="5">
        <f>1139.7</f>
        <v>1139.7</v>
      </c>
      <c r="AE76" s="4"/>
      <c r="AF76" s="5">
        <f>1431.1</f>
        <v>1431.1</v>
      </c>
      <c r="AG76" s="4"/>
    </row>
    <row r="77" spans="1:33" x14ac:dyDescent="0.25">
      <c r="A77" s="3" t="s">
        <v>88</v>
      </c>
      <c r="B77" s="4"/>
      <c r="C77" s="4"/>
      <c r="D77" s="5">
        <f t="shared" ref="D77:W77" si="59">B77</f>
        <v>0</v>
      </c>
      <c r="E77" s="5">
        <f t="shared" si="59"/>
        <v>0</v>
      </c>
      <c r="F77" s="5">
        <f t="shared" si="59"/>
        <v>0</v>
      </c>
      <c r="G77" s="5">
        <f t="shared" si="59"/>
        <v>0</v>
      </c>
      <c r="H77" s="5">
        <f t="shared" si="59"/>
        <v>0</v>
      </c>
      <c r="I77" s="5">
        <f t="shared" si="59"/>
        <v>0</v>
      </c>
      <c r="J77" s="5">
        <f t="shared" si="59"/>
        <v>0</v>
      </c>
      <c r="K77" s="5">
        <f t="shared" si="59"/>
        <v>0</v>
      </c>
      <c r="L77" s="5">
        <f t="shared" si="59"/>
        <v>0</v>
      </c>
      <c r="M77" s="5">
        <f t="shared" si="59"/>
        <v>0</v>
      </c>
      <c r="N77" s="5">
        <f t="shared" si="59"/>
        <v>0</v>
      </c>
      <c r="O77" s="5">
        <f t="shared" si="59"/>
        <v>0</v>
      </c>
      <c r="P77" s="5">
        <f t="shared" si="59"/>
        <v>0</v>
      </c>
      <c r="Q77" s="5">
        <f t="shared" si="59"/>
        <v>0</v>
      </c>
      <c r="R77" s="5">
        <f t="shared" si="59"/>
        <v>0</v>
      </c>
      <c r="S77" s="5">
        <f t="shared" si="59"/>
        <v>0</v>
      </c>
      <c r="T77" s="5">
        <f t="shared" si="59"/>
        <v>0</v>
      </c>
      <c r="U77" s="5">
        <f t="shared" si="59"/>
        <v>0</v>
      </c>
      <c r="V77" s="5">
        <f t="shared" si="59"/>
        <v>0</v>
      </c>
      <c r="W77" s="5">
        <f t="shared" si="59"/>
        <v>0</v>
      </c>
      <c r="X77" s="5">
        <f>1485.34</f>
        <v>1485.34</v>
      </c>
      <c r="Y77" s="4"/>
      <c r="Z77" s="5">
        <f>4021.01</f>
        <v>4021.01</v>
      </c>
      <c r="AA77" s="4"/>
      <c r="AB77" s="5">
        <f>4800.63</f>
        <v>4800.63</v>
      </c>
      <c r="AC77" s="4"/>
      <c r="AD77" s="5">
        <f>6741.29</f>
        <v>6741.29</v>
      </c>
      <c r="AE77" s="4"/>
      <c r="AF77" s="5">
        <f>11790.58</f>
        <v>11790.58</v>
      </c>
      <c r="AG77" s="4"/>
    </row>
    <row r="78" spans="1:33" x14ac:dyDescent="0.25">
      <c r="A78" s="3" t="s">
        <v>89</v>
      </c>
      <c r="B78" s="4"/>
      <c r="C78" s="5">
        <f>7092.03</f>
        <v>7092.03</v>
      </c>
      <c r="D78" s="4"/>
      <c r="E78" s="5">
        <f>14290.44</f>
        <v>14290.44</v>
      </c>
      <c r="F78" s="5">
        <f t="shared" ref="F78:U79" si="60">D78</f>
        <v>0</v>
      </c>
      <c r="G78" s="5">
        <f t="shared" si="60"/>
        <v>14290.44</v>
      </c>
      <c r="H78" s="5">
        <f t="shared" si="60"/>
        <v>0</v>
      </c>
      <c r="I78" s="5">
        <f t="shared" si="60"/>
        <v>14290.44</v>
      </c>
      <c r="J78" s="5">
        <f t="shared" si="60"/>
        <v>0</v>
      </c>
      <c r="K78" s="5">
        <f t="shared" si="60"/>
        <v>14290.44</v>
      </c>
      <c r="L78" s="5">
        <f t="shared" si="60"/>
        <v>0</v>
      </c>
      <c r="M78" s="5">
        <f t="shared" si="60"/>
        <v>14290.44</v>
      </c>
      <c r="N78" s="5">
        <f t="shared" si="60"/>
        <v>0</v>
      </c>
      <c r="O78" s="5">
        <f t="shared" si="60"/>
        <v>14290.44</v>
      </c>
      <c r="P78" s="5">
        <f t="shared" si="60"/>
        <v>0</v>
      </c>
      <c r="Q78" s="5">
        <f t="shared" si="60"/>
        <v>14290.44</v>
      </c>
      <c r="R78" s="5">
        <f t="shared" si="60"/>
        <v>0</v>
      </c>
      <c r="S78" s="5">
        <f t="shared" si="60"/>
        <v>14290.44</v>
      </c>
      <c r="T78" s="5">
        <f t="shared" si="60"/>
        <v>0</v>
      </c>
      <c r="U78" s="5">
        <f t="shared" si="60"/>
        <v>14290.44</v>
      </c>
      <c r="V78" s="4"/>
      <c r="W78" s="5">
        <f>19759.09</f>
        <v>19759.09</v>
      </c>
      <c r="X78" s="5">
        <f>V78</f>
        <v>0</v>
      </c>
      <c r="Y78" s="5">
        <f>W78</f>
        <v>19759.09</v>
      </c>
      <c r="Z78" s="4"/>
      <c r="AA78" s="4"/>
      <c r="AB78" s="5">
        <f t="shared" ref="AB78:AG78" si="61">Z78</f>
        <v>0</v>
      </c>
      <c r="AC78" s="5">
        <f t="shared" si="61"/>
        <v>0</v>
      </c>
      <c r="AD78" s="5">
        <f t="shared" si="61"/>
        <v>0</v>
      </c>
      <c r="AE78" s="5">
        <f t="shared" si="61"/>
        <v>0</v>
      </c>
      <c r="AF78" s="5">
        <f t="shared" si="61"/>
        <v>0</v>
      </c>
      <c r="AG78" s="5">
        <f t="shared" si="61"/>
        <v>0</v>
      </c>
    </row>
    <row r="79" spans="1:33" x14ac:dyDescent="0.25">
      <c r="A79" s="3" t="s">
        <v>90</v>
      </c>
      <c r="B79" s="4"/>
      <c r="C79" s="4"/>
      <c r="D79" s="5">
        <f>B79</f>
        <v>0</v>
      </c>
      <c r="E79" s="5">
        <f>C79</f>
        <v>0</v>
      </c>
      <c r="F79" s="5">
        <f t="shared" si="60"/>
        <v>0</v>
      </c>
      <c r="G79" s="5">
        <f t="shared" si="60"/>
        <v>0</v>
      </c>
      <c r="H79" s="5">
        <f t="shared" si="60"/>
        <v>0</v>
      </c>
      <c r="I79" s="5">
        <f t="shared" si="60"/>
        <v>0</v>
      </c>
      <c r="J79" s="5">
        <f t="shared" si="60"/>
        <v>0</v>
      </c>
      <c r="K79" s="5">
        <f t="shared" si="60"/>
        <v>0</v>
      </c>
      <c r="L79" s="5">
        <f t="shared" si="60"/>
        <v>0</v>
      </c>
      <c r="M79" s="5">
        <f t="shared" si="60"/>
        <v>0</v>
      </c>
      <c r="N79" s="5">
        <f t="shared" si="60"/>
        <v>0</v>
      </c>
      <c r="O79" s="5">
        <f t="shared" si="60"/>
        <v>0</v>
      </c>
      <c r="P79" s="5">
        <f t="shared" si="60"/>
        <v>0</v>
      </c>
      <c r="Q79" s="5">
        <f t="shared" si="60"/>
        <v>0</v>
      </c>
      <c r="R79" s="5">
        <f t="shared" si="60"/>
        <v>0</v>
      </c>
      <c r="S79" s="5">
        <f t="shared" si="60"/>
        <v>0</v>
      </c>
      <c r="T79" s="5">
        <f t="shared" si="60"/>
        <v>0</v>
      </c>
      <c r="U79" s="5">
        <f t="shared" si="60"/>
        <v>0</v>
      </c>
      <c r="V79" s="5">
        <f>T79</f>
        <v>0</v>
      </c>
      <c r="W79" s="5">
        <f>U79</f>
        <v>0</v>
      </c>
      <c r="X79" s="5">
        <f>V79</f>
        <v>0</v>
      </c>
      <c r="Y79" s="5">
        <f>W79</f>
        <v>0</v>
      </c>
      <c r="Z79" s="4"/>
      <c r="AA79" s="4"/>
      <c r="AB79" s="5">
        <f>Z79</f>
        <v>0</v>
      </c>
      <c r="AC79" s="5">
        <f>AA79</f>
        <v>0</v>
      </c>
      <c r="AD79" s="5">
        <f>AB79</f>
        <v>0</v>
      </c>
      <c r="AE79" s="5">
        <f>AC79</f>
        <v>0</v>
      </c>
      <c r="AF79" s="4"/>
      <c r="AG79" s="5">
        <f>11000</f>
        <v>11000</v>
      </c>
    </row>
    <row r="80" spans="1:33" x14ac:dyDescent="0.25">
      <c r="A80" s="3" t="s">
        <v>91</v>
      </c>
      <c r="B80" s="5">
        <f>0</f>
        <v>0</v>
      </c>
      <c r="C80" s="4"/>
      <c r="D80" s="5">
        <f>0</f>
        <v>0</v>
      </c>
      <c r="E80" s="4"/>
      <c r="F80" s="5">
        <f>0</f>
        <v>0</v>
      </c>
      <c r="G80" s="4"/>
      <c r="H80" s="5">
        <f>0</f>
        <v>0</v>
      </c>
      <c r="I80" s="4"/>
      <c r="J80" s="5">
        <f>0</f>
        <v>0</v>
      </c>
      <c r="K80" s="4"/>
      <c r="L80" s="5">
        <f>0</f>
        <v>0</v>
      </c>
      <c r="M80" s="4"/>
      <c r="N80" s="5">
        <f>0</f>
        <v>0</v>
      </c>
      <c r="O80" s="4"/>
      <c r="P80" s="5">
        <f>0</f>
        <v>0</v>
      </c>
      <c r="Q80" s="4"/>
      <c r="R80" s="5">
        <f>0</f>
        <v>0</v>
      </c>
      <c r="S80" s="4"/>
      <c r="T80" s="5">
        <f>0</f>
        <v>0</v>
      </c>
      <c r="U80" s="4"/>
      <c r="V80" s="5">
        <f>0</f>
        <v>0</v>
      </c>
      <c r="W80" s="4"/>
      <c r="X80" s="5">
        <f>0</f>
        <v>0</v>
      </c>
      <c r="Y80" s="4"/>
      <c r="Z80" s="5">
        <f>0</f>
        <v>0</v>
      </c>
      <c r="AA80" s="4"/>
      <c r="AB80" s="5">
        <f>0</f>
        <v>0</v>
      </c>
      <c r="AC80" s="4"/>
      <c r="AD80" s="5">
        <f>0</f>
        <v>0</v>
      </c>
      <c r="AE80" s="4"/>
      <c r="AF80" s="5">
        <f>0</f>
        <v>0</v>
      </c>
      <c r="AG80" s="4"/>
    </row>
    <row r="81" spans="1:33" x14ac:dyDescent="0.25">
      <c r="A81" s="3" t="s">
        <v>92</v>
      </c>
      <c r="B81" s="5">
        <f>2646.19</f>
        <v>2646.19</v>
      </c>
      <c r="C81" s="4"/>
      <c r="D81" s="5">
        <f>6996.05</f>
        <v>6996.05</v>
      </c>
      <c r="E81" s="4"/>
      <c r="F81" s="5">
        <f>11567.6</f>
        <v>11567.6</v>
      </c>
      <c r="G81" s="4"/>
      <c r="H81" s="5">
        <f>15795.91</f>
        <v>15795.91</v>
      </c>
      <c r="I81" s="4"/>
      <c r="J81" s="5">
        <f>20862.63</f>
        <v>20862.63</v>
      </c>
      <c r="K81" s="4"/>
      <c r="L81" s="5">
        <f>26381.8</f>
        <v>26381.8</v>
      </c>
      <c r="M81" s="4"/>
      <c r="N81" s="5">
        <f>30835.05</f>
        <v>30835.05</v>
      </c>
      <c r="O81" s="4"/>
      <c r="P81" s="5">
        <f>36927.05</f>
        <v>36927.050000000003</v>
      </c>
      <c r="Q81" s="4"/>
      <c r="R81" s="5">
        <f>40427.05</f>
        <v>40427.050000000003</v>
      </c>
      <c r="S81" s="4"/>
      <c r="T81" s="5">
        <f>R81</f>
        <v>40427.050000000003</v>
      </c>
      <c r="U81" s="5">
        <f>S81</f>
        <v>0</v>
      </c>
      <c r="V81" s="5">
        <f>T81</f>
        <v>40427.050000000003</v>
      </c>
      <c r="W81" s="5">
        <f>U81</f>
        <v>0</v>
      </c>
      <c r="X81" s="5">
        <f>51044.41</f>
        <v>51044.41</v>
      </c>
      <c r="Y81" s="4"/>
      <c r="Z81" s="5">
        <f>25000</f>
        <v>25000</v>
      </c>
      <c r="AA81" s="4"/>
      <c r="AB81" s="5">
        <f>35000</f>
        <v>35000</v>
      </c>
      <c r="AC81" s="4"/>
      <c r="AD81" s="5">
        <f>63741.01</f>
        <v>63741.01</v>
      </c>
      <c r="AE81" s="4"/>
      <c r="AF81" s="5">
        <f>AD81</f>
        <v>63741.01</v>
      </c>
      <c r="AG81" s="5">
        <f>AE81</f>
        <v>0</v>
      </c>
    </row>
    <row r="82" spans="1:33" x14ac:dyDescent="0.25">
      <c r="A82" s="3" t="s">
        <v>93</v>
      </c>
      <c r="B82" s="5">
        <f>2051.71</f>
        <v>2051.71</v>
      </c>
      <c r="C82" s="4"/>
      <c r="D82" s="5">
        <f>8259.86</f>
        <v>8259.86</v>
      </c>
      <c r="E82" s="4"/>
      <c r="F82" s="5">
        <f>15774.69</f>
        <v>15774.69</v>
      </c>
      <c r="G82" s="4"/>
      <c r="H82" s="5">
        <f>14070.97</f>
        <v>14070.97</v>
      </c>
      <c r="I82" s="4"/>
      <c r="J82" s="5">
        <f>22204.3</f>
        <v>22204.3</v>
      </c>
      <c r="K82" s="4"/>
      <c r="L82" s="5">
        <f>31587.03</f>
        <v>31587.03</v>
      </c>
      <c r="M82" s="4"/>
      <c r="N82" s="5">
        <f>28002.7</f>
        <v>28002.7</v>
      </c>
      <c r="O82" s="4"/>
      <c r="P82" s="5">
        <f>37469.65</f>
        <v>37469.65</v>
      </c>
      <c r="Q82" s="4"/>
      <c r="R82" s="5">
        <f>47932.76</f>
        <v>47932.76</v>
      </c>
      <c r="S82" s="4"/>
      <c r="T82" s="5">
        <f>44026.26</f>
        <v>44026.26</v>
      </c>
      <c r="U82" s="4"/>
      <c r="V82" s="5">
        <f>76095.57</f>
        <v>76095.570000000007</v>
      </c>
      <c r="W82" s="4"/>
      <c r="X82" s="5">
        <f>109094.84</f>
        <v>109094.84</v>
      </c>
      <c r="Y82" s="4"/>
      <c r="Z82" s="5">
        <f>17297.27</f>
        <v>17297.27</v>
      </c>
      <c r="AA82" s="4"/>
      <c r="AB82" s="5">
        <f>13999.59</f>
        <v>13999.59</v>
      </c>
      <c r="AC82" s="4"/>
      <c r="AD82" s="5">
        <f>39004.76</f>
        <v>39004.76</v>
      </c>
      <c r="AE82" s="4"/>
      <c r="AF82" s="5">
        <f>45837.14</f>
        <v>45837.14</v>
      </c>
      <c r="AG82" s="4"/>
    </row>
    <row r="83" spans="1:33" x14ac:dyDescent="0.25">
      <c r="A83" s="3" t="s">
        <v>94</v>
      </c>
      <c r="B83" s="5">
        <f>20583.76</f>
        <v>20583.759999999998</v>
      </c>
      <c r="C83" s="4"/>
      <c r="D83" s="5">
        <f>43916.63</f>
        <v>43916.63</v>
      </c>
      <c r="E83" s="4"/>
      <c r="F83" s="5">
        <f>83452.56</f>
        <v>83452.56</v>
      </c>
      <c r="G83" s="4"/>
      <c r="H83" s="5">
        <f>112800.83</f>
        <v>112800.83</v>
      </c>
      <c r="I83" s="4"/>
      <c r="J83" s="5">
        <f>140157.06</f>
        <v>140157.06</v>
      </c>
      <c r="K83" s="4"/>
      <c r="L83" s="5">
        <f>187426.96</f>
        <v>187426.96</v>
      </c>
      <c r="M83" s="4"/>
      <c r="N83" s="5">
        <f>199114.84</f>
        <v>199114.84</v>
      </c>
      <c r="O83" s="4"/>
      <c r="P83" s="5">
        <f>219781.94</f>
        <v>219781.94</v>
      </c>
      <c r="Q83" s="4"/>
      <c r="R83" s="5">
        <f>246579.97</f>
        <v>246579.97</v>
      </c>
      <c r="S83" s="4"/>
      <c r="T83" s="5">
        <f>264230.55</f>
        <v>264230.55</v>
      </c>
      <c r="U83" s="4"/>
      <c r="V83" s="5">
        <f>279195.01</f>
        <v>279195.01</v>
      </c>
      <c r="W83" s="4"/>
      <c r="X83" s="5">
        <f>289604.94</f>
        <v>289604.94</v>
      </c>
      <c r="Y83" s="4"/>
      <c r="Z83" s="5">
        <f>24468.3</f>
        <v>24468.3</v>
      </c>
      <c r="AA83" s="4"/>
      <c r="AB83" s="5">
        <f>52987.6</f>
        <v>52987.6</v>
      </c>
      <c r="AC83" s="4"/>
      <c r="AD83" s="5">
        <f>73554.22</f>
        <v>73554.22</v>
      </c>
      <c r="AE83" s="4"/>
      <c r="AF83" s="5">
        <f>92125.68</f>
        <v>92125.68</v>
      </c>
      <c r="AG83" s="4"/>
    </row>
    <row r="84" spans="1:33" x14ac:dyDescent="0.25">
      <c r="A84" s="3" t="s">
        <v>95</v>
      </c>
      <c r="B84" s="5">
        <f>1559.07</f>
        <v>1559.07</v>
      </c>
      <c r="C84" s="4"/>
      <c r="D84" s="5">
        <f>3600.95</f>
        <v>3600.95</v>
      </c>
      <c r="E84" s="4"/>
      <c r="F84" s="5">
        <f>5589.92</f>
        <v>5589.92</v>
      </c>
      <c r="G84" s="4"/>
      <c r="H84" s="5">
        <f>8639.48</f>
        <v>8639.48</v>
      </c>
      <c r="I84" s="4"/>
      <c r="J84" s="5">
        <f>11181.23</f>
        <v>11181.23</v>
      </c>
      <c r="K84" s="4"/>
      <c r="L84" s="5">
        <f>14315.45</f>
        <v>14315.45</v>
      </c>
      <c r="M84" s="4"/>
      <c r="N84" s="5">
        <f>16488.26</f>
        <v>16488.259999999998</v>
      </c>
      <c r="O84" s="4"/>
      <c r="P84" s="5">
        <f>19833.24</f>
        <v>19833.240000000002</v>
      </c>
      <c r="Q84" s="4"/>
      <c r="R84" s="5">
        <f>23710.62</f>
        <v>23710.62</v>
      </c>
      <c r="S84" s="4"/>
      <c r="T84" s="5">
        <f>25425.57</f>
        <v>25425.57</v>
      </c>
      <c r="U84" s="4"/>
      <c r="V84" s="5">
        <f>26211.14</f>
        <v>26211.14</v>
      </c>
      <c r="W84" s="4"/>
      <c r="X84" s="5">
        <f>37673.43</f>
        <v>37673.43</v>
      </c>
      <c r="Y84" s="4"/>
      <c r="Z84" s="5">
        <f>1803.75</f>
        <v>1803.75</v>
      </c>
      <c r="AA84" s="4"/>
      <c r="AB84" s="5">
        <f>6849.69</f>
        <v>6849.69</v>
      </c>
      <c r="AC84" s="4"/>
      <c r="AD84" s="5">
        <f>10327.04</f>
        <v>10327.040000000001</v>
      </c>
      <c r="AE84" s="4"/>
      <c r="AF84" s="5">
        <f>12600.23</f>
        <v>12600.23</v>
      </c>
      <c r="AG84" s="4"/>
    </row>
    <row r="85" spans="1:33" x14ac:dyDescent="0.25">
      <c r="A85" s="3" t="s">
        <v>96</v>
      </c>
      <c r="B85" s="5">
        <f>6049</f>
        <v>6049</v>
      </c>
      <c r="C85" s="4"/>
      <c r="D85" s="5">
        <f>12098</f>
        <v>12098</v>
      </c>
      <c r="E85" s="4"/>
      <c r="F85" s="5">
        <f>18147</f>
        <v>18147</v>
      </c>
      <c r="G85" s="4"/>
      <c r="H85" s="5">
        <f>27571.66</f>
        <v>27571.66</v>
      </c>
      <c r="I85" s="4"/>
      <c r="J85" s="5">
        <f>33971.82</f>
        <v>33971.82</v>
      </c>
      <c r="K85" s="4"/>
      <c r="L85" s="5">
        <f>40371.98</f>
        <v>40371.980000000003</v>
      </c>
      <c r="M85" s="4"/>
      <c r="N85" s="5">
        <f>46997.94</f>
        <v>46997.94</v>
      </c>
      <c r="O85" s="4"/>
      <c r="P85" s="5">
        <f>53623.9</f>
        <v>53623.9</v>
      </c>
      <c r="Q85" s="4"/>
      <c r="R85" s="5">
        <f>63562.84</f>
        <v>63562.84</v>
      </c>
      <c r="S85" s="4"/>
      <c r="T85" s="5">
        <f>67928.36</f>
        <v>67928.36</v>
      </c>
      <c r="U85" s="4"/>
      <c r="V85" s="5">
        <f>72293.88</f>
        <v>72293.88</v>
      </c>
      <c r="W85" s="4"/>
      <c r="X85" s="5">
        <f>76659.4</f>
        <v>76659.399999999994</v>
      </c>
      <c r="Y85" s="4"/>
      <c r="Z85" s="5">
        <f>4302.76</f>
        <v>4302.76</v>
      </c>
      <c r="AA85" s="4"/>
      <c r="AB85" s="5">
        <f>8542.76</f>
        <v>8542.76</v>
      </c>
      <c r="AC85" s="4"/>
      <c r="AD85" s="5">
        <f>13650.76</f>
        <v>13650.76</v>
      </c>
      <c r="AE85" s="4"/>
      <c r="AF85" s="5">
        <f>18050.76</f>
        <v>18050.759999999998</v>
      </c>
      <c r="AG85" s="4"/>
    </row>
    <row r="86" spans="1:33" x14ac:dyDescent="0.25">
      <c r="A86" s="3" t="s">
        <v>97</v>
      </c>
      <c r="B86" s="5">
        <f>2031.26</f>
        <v>2031.26</v>
      </c>
      <c r="C86" s="4"/>
      <c r="D86" s="5">
        <f>3163.53</f>
        <v>3163.53</v>
      </c>
      <c r="E86" s="4"/>
      <c r="F86" s="5">
        <f>5708.27</f>
        <v>5708.27</v>
      </c>
      <c r="G86" s="4"/>
      <c r="H86" s="5">
        <f>8552.75</f>
        <v>8552.75</v>
      </c>
      <c r="I86" s="4"/>
      <c r="J86" s="5">
        <f>8883.24</f>
        <v>8883.24</v>
      </c>
      <c r="K86" s="4"/>
      <c r="L86" s="5">
        <f>16218.33</f>
        <v>16218.33</v>
      </c>
      <c r="M86" s="4"/>
      <c r="N86" s="5">
        <f>16588.43</f>
        <v>16588.43</v>
      </c>
      <c r="O86" s="4"/>
      <c r="P86" s="5">
        <f>16595.74</f>
        <v>16595.740000000002</v>
      </c>
      <c r="Q86" s="4"/>
      <c r="R86" s="5">
        <f>20651.44</f>
        <v>20651.439999999999</v>
      </c>
      <c r="S86" s="4"/>
      <c r="T86" s="5">
        <f>21905.49</f>
        <v>21905.49</v>
      </c>
      <c r="U86" s="4"/>
      <c r="V86" s="5">
        <f>23198.54</f>
        <v>23198.54</v>
      </c>
      <c r="W86" s="4"/>
      <c r="X86" s="5">
        <f>24949.13</f>
        <v>24949.13</v>
      </c>
      <c r="Y86" s="4"/>
      <c r="Z86" s="5">
        <f>0</f>
        <v>0</v>
      </c>
      <c r="AA86" s="4"/>
      <c r="AB86" s="5">
        <f>0</f>
        <v>0</v>
      </c>
      <c r="AC86" s="4"/>
      <c r="AD86" s="5">
        <f>14433</f>
        <v>14433</v>
      </c>
      <c r="AE86" s="4"/>
      <c r="AF86" s="5">
        <f>AD86</f>
        <v>14433</v>
      </c>
      <c r="AG86" s="5">
        <f>AE86</f>
        <v>0</v>
      </c>
    </row>
    <row r="87" spans="1:33" x14ac:dyDescent="0.25">
      <c r="A87" s="3" t="s">
        <v>98</v>
      </c>
      <c r="B87" s="5">
        <f>3520.36</f>
        <v>3520.36</v>
      </c>
      <c r="C87" s="4"/>
      <c r="D87" s="5">
        <f>8298.26</f>
        <v>8298.26</v>
      </c>
      <c r="E87" s="4"/>
      <c r="F87" s="5">
        <f>11795.95</f>
        <v>11795.95</v>
      </c>
      <c r="G87" s="4"/>
      <c r="H87" s="5">
        <f>16396.88</f>
        <v>16396.88</v>
      </c>
      <c r="I87" s="4"/>
      <c r="J87" s="5">
        <f>20947.17</f>
        <v>20947.169999999998</v>
      </c>
      <c r="K87" s="4"/>
      <c r="L87" s="5">
        <f>27234.95</f>
        <v>27234.95</v>
      </c>
      <c r="M87" s="4"/>
      <c r="N87" s="5">
        <f>32754.09</f>
        <v>32754.09</v>
      </c>
      <c r="O87" s="4"/>
      <c r="P87" s="5">
        <f>37889.51</f>
        <v>37889.51</v>
      </c>
      <c r="Q87" s="4"/>
      <c r="R87" s="5">
        <f>46012.94</f>
        <v>46012.94</v>
      </c>
      <c r="S87" s="4"/>
      <c r="T87" s="5">
        <f>52269.27</f>
        <v>52269.27</v>
      </c>
      <c r="U87" s="4"/>
      <c r="V87" s="5">
        <f>58383.71</f>
        <v>58383.71</v>
      </c>
      <c r="W87" s="4"/>
      <c r="X87" s="5">
        <f>64102.85</f>
        <v>64102.85</v>
      </c>
      <c r="Y87" s="4"/>
      <c r="Z87" s="5">
        <f>5165.62</f>
        <v>5165.62</v>
      </c>
      <c r="AA87" s="4"/>
      <c r="AB87" s="5">
        <f>11385.87</f>
        <v>11385.87</v>
      </c>
      <c r="AC87" s="4"/>
      <c r="AD87" s="5">
        <f>20019.82</f>
        <v>20019.82</v>
      </c>
      <c r="AE87" s="4"/>
      <c r="AF87" s="5">
        <f>24161.64</f>
        <v>24161.64</v>
      </c>
      <c r="AG87" s="4"/>
    </row>
    <row r="88" spans="1:33" x14ac:dyDescent="0.25">
      <c r="A88" s="3" t="s">
        <v>99</v>
      </c>
      <c r="B88" s="5">
        <f>7230</f>
        <v>7230</v>
      </c>
      <c r="C88" s="4"/>
      <c r="D88" s="5">
        <f>13830</f>
        <v>13830</v>
      </c>
      <c r="E88" s="4"/>
      <c r="F88" s="5">
        <f>21420</f>
        <v>21420</v>
      </c>
      <c r="G88" s="4"/>
      <c r="H88" s="5">
        <f>28350</f>
        <v>28350</v>
      </c>
      <c r="I88" s="4"/>
      <c r="J88" s="5">
        <f>35610</f>
        <v>35610</v>
      </c>
      <c r="K88" s="4"/>
      <c r="L88" s="5">
        <f>42870</f>
        <v>42870</v>
      </c>
      <c r="M88" s="4"/>
      <c r="N88" s="5">
        <f>49800</f>
        <v>49800</v>
      </c>
      <c r="O88" s="4"/>
      <c r="P88" s="5">
        <f>57390</f>
        <v>57390</v>
      </c>
      <c r="Q88" s="4"/>
      <c r="R88" s="5">
        <f>64650</f>
        <v>64650</v>
      </c>
      <c r="S88" s="4"/>
      <c r="T88" s="5">
        <f>71580</f>
        <v>71580</v>
      </c>
      <c r="U88" s="4"/>
      <c r="V88" s="5">
        <f>78840</f>
        <v>78840</v>
      </c>
      <c r="W88" s="4"/>
      <c r="X88" s="5">
        <f>86100</f>
        <v>86100</v>
      </c>
      <c r="Y88" s="4"/>
      <c r="Z88" s="5">
        <f>7600</f>
        <v>7600</v>
      </c>
      <c r="AA88" s="4"/>
      <c r="AB88" s="5">
        <f>14600</f>
        <v>14600</v>
      </c>
      <c r="AC88" s="4"/>
      <c r="AD88" s="5">
        <f>22650</f>
        <v>22650</v>
      </c>
      <c r="AE88" s="4"/>
      <c r="AF88" s="5">
        <f>29650</f>
        <v>29650</v>
      </c>
      <c r="AG88" s="4"/>
    </row>
    <row r="89" spans="1:33" x14ac:dyDescent="0.25">
      <c r="A89" s="3" t="s">
        <v>100</v>
      </c>
      <c r="B89" s="5">
        <f>31290</f>
        <v>31290</v>
      </c>
      <c r="C89" s="4"/>
      <c r="D89" s="5">
        <f>62735</f>
        <v>62735</v>
      </c>
      <c r="E89" s="4"/>
      <c r="F89" s="5">
        <f>96650</f>
        <v>96650</v>
      </c>
      <c r="G89" s="4"/>
      <c r="H89" s="5">
        <f>126575</f>
        <v>126575</v>
      </c>
      <c r="I89" s="4"/>
      <c r="J89" s="5">
        <f>158400</f>
        <v>158400</v>
      </c>
      <c r="K89" s="4"/>
      <c r="L89" s="5">
        <f>190700</f>
        <v>190700</v>
      </c>
      <c r="M89" s="4"/>
      <c r="N89" s="5">
        <f>221100</f>
        <v>221100</v>
      </c>
      <c r="O89" s="4"/>
      <c r="P89" s="5">
        <f>255870</f>
        <v>255870</v>
      </c>
      <c r="Q89" s="4"/>
      <c r="R89" s="5">
        <f>289500</f>
        <v>289500</v>
      </c>
      <c r="S89" s="4"/>
      <c r="T89" s="5">
        <f>320897.5</f>
        <v>320897.5</v>
      </c>
      <c r="U89" s="4"/>
      <c r="V89" s="5">
        <f>353435</f>
        <v>353435</v>
      </c>
      <c r="W89" s="4"/>
      <c r="X89" s="5">
        <f>390100</f>
        <v>390100</v>
      </c>
      <c r="Y89" s="4"/>
      <c r="Z89" s="5">
        <f>38300</f>
        <v>38300</v>
      </c>
      <c r="AA89" s="4"/>
      <c r="AB89" s="5">
        <f>74300</f>
        <v>74300</v>
      </c>
      <c r="AC89" s="4"/>
      <c r="AD89" s="5">
        <f>114700</f>
        <v>114700</v>
      </c>
      <c r="AE89" s="4"/>
      <c r="AF89" s="5">
        <f>146700</f>
        <v>146700</v>
      </c>
      <c r="AG89" s="4"/>
    </row>
    <row r="90" spans="1:33" x14ac:dyDescent="0.25">
      <c r="A90" s="3" t="s">
        <v>101</v>
      </c>
      <c r="B90" s="5">
        <f>3622.2</f>
        <v>3622.2</v>
      </c>
      <c r="C90" s="4"/>
      <c r="D90" s="5">
        <f>5617.21</f>
        <v>5617.21</v>
      </c>
      <c r="E90" s="4"/>
      <c r="F90" s="5">
        <f>8581.17</f>
        <v>8581.17</v>
      </c>
      <c r="G90" s="4"/>
      <c r="H90" s="5">
        <f>12961.65</f>
        <v>12961.65</v>
      </c>
      <c r="I90" s="4"/>
      <c r="J90" s="5">
        <f>15914.13</f>
        <v>15914.13</v>
      </c>
      <c r="K90" s="4"/>
      <c r="L90" s="5">
        <f>19374.53</f>
        <v>19374.53</v>
      </c>
      <c r="M90" s="4"/>
      <c r="N90" s="5">
        <f>23615.08</f>
        <v>23615.08</v>
      </c>
      <c r="O90" s="4"/>
      <c r="P90" s="5">
        <f>27331.47</f>
        <v>27331.47</v>
      </c>
      <c r="Q90" s="4"/>
      <c r="R90" s="5">
        <f>30536.43</f>
        <v>30536.43</v>
      </c>
      <c r="S90" s="4"/>
      <c r="T90" s="5">
        <f>34850.21</f>
        <v>34850.21</v>
      </c>
      <c r="U90" s="4"/>
      <c r="V90" s="5">
        <f>35291.09</f>
        <v>35291.089999999997</v>
      </c>
      <c r="W90" s="4"/>
      <c r="X90" s="5">
        <f>39841.37</f>
        <v>39841.370000000003</v>
      </c>
      <c r="Y90" s="4"/>
      <c r="Z90" s="5">
        <f>4610.3</f>
        <v>4610.3</v>
      </c>
      <c r="AA90" s="4"/>
      <c r="AB90" s="5">
        <f>14143.92</f>
        <v>14143.92</v>
      </c>
      <c r="AC90" s="4"/>
      <c r="AD90" s="5">
        <f>19251.7</f>
        <v>19251.7</v>
      </c>
      <c r="AE90" s="4"/>
      <c r="AF90" s="5">
        <f>24153.96</f>
        <v>24153.96</v>
      </c>
      <c r="AG90" s="4"/>
    </row>
    <row r="91" spans="1:33" x14ac:dyDescent="0.25">
      <c r="A91" s="3" t="s">
        <v>102</v>
      </c>
      <c r="B91" s="5">
        <f>827.49</f>
        <v>827.49</v>
      </c>
      <c r="C91" s="4"/>
      <c r="D91" s="5">
        <f t="shared" ref="D91:O91" si="62">B91</f>
        <v>827.49</v>
      </c>
      <c r="E91" s="5">
        <f t="shared" si="62"/>
        <v>0</v>
      </c>
      <c r="F91" s="5">
        <f t="shared" si="62"/>
        <v>827.49</v>
      </c>
      <c r="G91" s="5">
        <f t="shared" si="62"/>
        <v>0</v>
      </c>
      <c r="H91" s="5">
        <f t="shared" si="62"/>
        <v>827.49</v>
      </c>
      <c r="I91" s="5">
        <f t="shared" si="62"/>
        <v>0</v>
      </c>
      <c r="J91" s="5">
        <f t="shared" si="62"/>
        <v>827.49</v>
      </c>
      <c r="K91" s="5">
        <f t="shared" si="62"/>
        <v>0</v>
      </c>
      <c r="L91" s="5">
        <f t="shared" si="62"/>
        <v>827.49</v>
      </c>
      <c r="M91" s="5">
        <f t="shared" si="62"/>
        <v>0</v>
      </c>
      <c r="N91" s="5">
        <f t="shared" si="62"/>
        <v>827.49</v>
      </c>
      <c r="O91" s="5">
        <f t="shared" si="62"/>
        <v>0</v>
      </c>
      <c r="P91" s="5">
        <f>1055.11</f>
        <v>1055.1099999999999</v>
      </c>
      <c r="Q91" s="4"/>
      <c r="R91" s="5">
        <f>P91</f>
        <v>1055.1099999999999</v>
      </c>
      <c r="S91" s="5">
        <f>Q91</f>
        <v>0</v>
      </c>
      <c r="T91" s="5">
        <f>2109.51</f>
        <v>2109.5100000000002</v>
      </c>
      <c r="U91" s="4"/>
      <c r="V91" s="5">
        <f>T91</f>
        <v>2109.5100000000002</v>
      </c>
      <c r="W91" s="5">
        <f>U91</f>
        <v>0</v>
      </c>
      <c r="X91" s="5">
        <f>V91</f>
        <v>2109.5100000000002</v>
      </c>
      <c r="Y91" s="5">
        <f>W91</f>
        <v>0</v>
      </c>
      <c r="Z91" s="4"/>
      <c r="AA91" s="4"/>
      <c r="AB91" s="5">
        <f>Z91</f>
        <v>0</v>
      </c>
      <c r="AC91" s="5">
        <f>AA91</f>
        <v>0</v>
      </c>
      <c r="AD91" s="5">
        <f>0</f>
        <v>0</v>
      </c>
      <c r="AE91" s="4"/>
      <c r="AF91" s="5">
        <f>0</f>
        <v>0</v>
      </c>
      <c r="AG91" s="4"/>
    </row>
    <row r="92" spans="1:33" x14ac:dyDescent="0.25">
      <c r="A92" s="3" t="s">
        <v>103</v>
      </c>
      <c r="B92" s="5">
        <f>1288.09</f>
        <v>1288.0899999999999</v>
      </c>
      <c r="C92" s="4"/>
      <c r="D92" s="5">
        <f>2600.34</f>
        <v>2600.34</v>
      </c>
      <c r="E92" s="4"/>
      <c r="F92" s="5">
        <f>3912.59</f>
        <v>3912.59</v>
      </c>
      <c r="G92" s="4"/>
      <c r="H92" s="5">
        <f>5319.84</f>
        <v>5319.84</v>
      </c>
      <c r="I92" s="4"/>
      <c r="J92" s="5">
        <f>7394.19</f>
        <v>7394.19</v>
      </c>
      <c r="K92" s="4"/>
      <c r="L92" s="5">
        <f>8636.01</f>
        <v>8636.01</v>
      </c>
      <c r="M92" s="4"/>
      <c r="N92" s="5">
        <f>10919.24</f>
        <v>10919.24</v>
      </c>
      <c r="O92" s="4"/>
      <c r="P92" s="5">
        <f>12231.49</f>
        <v>12231.49</v>
      </c>
      <c r="Q92" s="4"/>
      <c r="R92" s="5">
        <f>13244.74</f>
        <v>13244.74</v>
      </c>
      <c r="S92" s="4"/>
      <c r="T92" s="5">
        <f>14556.99</f>
        <v>14556.99</v>
      </c>
      <c r="U92" s="4"/>
      <c r="V92" s="5">
        <f>15666.58</f>
        <v>15666.58</v>
      </c>
      <c r="W92" s="4"/>
      <c r="X92" s="5">
        <f>16987.34</f>
        <v>16987.34</v>
      </c>
      <c r="Y92" s="4"/>
      <c r="Z92" s="5">
        <f>1013.25</f>
        <v>1013.25</v>
      </c>
      <c r="AA92" s="4"/>
      <c r="AB92" s="5">
        <f>2026.5</f>
        <v>2026.5</v>
      </c>
      <c r="AC92" s="4"/>
      <c r="AD92" s="5">
        <f>3039.75</f>
        <v>3039.75</v>
      </c>
      <c r="AE92" s="4"/>
      <c r="AF92" s="5">
        <f>4143.45</f>
        <v>4143.45</v>
      </c>
      <c r="AG92" s="4"/>
    </row>
    <row r="93" spans="1:33" x14ac:dyDescent="0.25">
      <c r="A93" s="3" t="s">
        <v>104</v>
      </c>
      <c r="B93" s="4"/>
      <c r="C93" s="4"/>
      <c r="D93" s="5">
        <f t="shared" ref="D93:U93" si="63">B93</f>
        <v>0</v>
      </c>
      <c r="E93" s="5">
        <f t="shared" si="63"/>
        <v>0</v>
      </c>
      <c r="F93" s="5">
        <f t="shared" si="63"/>
        <v>0</v>
      </c>
      <c r="G93" s="5">
        <f t="shared" si="63"/>
        <v>0</v>
      </c>
      <c r="H93" s="5">
        <f t="shared" si="63"/>
        <v>0</v>
      </c>
      <c r="I93" s="5">
        <f t="shared" si="63"/>
        <v>0</v>
      </c>
      <c r="J93" s="5">
        <f t="shared" si="63"/>
        <v>0</v>
      </c>
      <c r="K93" s="5">
        <f t="shared" si="63"/>
        <v>0</v>
      </c>
      <c r="L93" s="5">
        <f t="shared" si="63"/>
        <v>0</v>
      </c>
      <c r="M93" s="5">
        <f t="shared" si="63"/>
        <v>0</v>
      </c>
      <c r="N93" s="5">
        <f t="shared" si="63"/>
        <v>0</v>
      </c>
      <c r="O93" s="5">
        <f t="shared" si="63"/>
        <v>0</v>
      </c>
      <c r="P93" s="5">
        <f t="shared" si="63"/>
        <v>0</v>
      </c>
      <c r="Q93" s="5">
        <f t="shared" si="63"/>
        <v>0</v>
      </c>
      <c r="R93" s="5">
        <f t="shared" si="63"/>
        <v>0</v>
      </c>
      <c r="S93" s="5">
        <f t="shared" si="63"/>
        <v>0</v>
      </c>
      <c r="T93" s="5">
        <f t="shared" si="63"/>
        <v>0</v>
      </c>
      <c r="U93" s="5">
        <f t="shared" si="63"/>
        <v>0</v>
      </c>
      <c r="V93" s="5">
        <f>150</f>
        <v>150</v>
      </c>
      <c r="W93" s="4"/>
      <c r="X93" s="5">
        <f>V93</f>
        <v>150</v>
      </c>
      <c r="Y93" s="5">
        <f>W93</f>
        <v>0</v>
      </c>
      <c r="Z93" s="4"/>
      <c r="AA93" s="4"/>
      <c r="AB93" s="5">
        <f t="shared" ref="AB93:AG93" si="64">Z93</f>
        <v>0</v>
      </c>
      <c r="AC93" s="5">
        <f t="shared" si="64"/>
        <v>0</v>
      </c>
      <c r="AD93" s="5">
        <f t="shared" si="64"/>
        <v>0</v>
      </c>
      <c r="AE93" s="5">
        <f t="shared" si="64"/>
        <v>0</v>
      </c>
      <c r="AF93" s="5">
        <f t="shared" si="64"/>
        <v>0</v>
      </c>
      <c r="AG93" s="5">
        <f t="shared" si="64"/>
        <v>0</v>
      </c>
    </row>
    <row r="94" spans="1:33" x14ac:dyDescent="0.25">
      <c r="A94" s="3" t="s">
        <v>105</v>
      </c>
      <c r="B94" s="5">
        <f>1357.74</f>
        <v>1357.74</v>
      </c>
      <c r="C94" s="4"/>
      <c r="D94" s="5">
        <f>1803.57</f>
        <v>1803.57</v>
      </c>
      <c r="E94" s="4"/>
      <c r="F94" s="5">
        <f>2003.57</f>
        <v>2003.57</v>
      </c>
      <c r="G94" s="4"/>
      <c r="H94" s="5">
        <f>2798.08</f>
        <v>2798.08</v>
      </c>
      <c r="I94" s="4"/>
      <c r="J94" s="5">
        <f>3274.74</f>
        <v>3274.74</v>
      </c>
      <c r="K94" s="4"/>
      <c r="L94" s="5">
        <f>3516.24</f>
        <v>3516.24</v>
      </c>
      <c r="M94" s="4"/>
      <c r="N94" s="5">
        <f>4047.79</f>
        <v>4047.79</v>
      </c>
      <c r="O94" s="4"/>
      <c r="P94" s="5">
        <f>4180.47</f>
        <v>4180.47</v>
      </c>
      <c r="Q94" s="4"/>
      <c r="R94" s="5">
        <f>4718.55</f>
        <v>4718.55</v>
      </c>
      <c r="S94" s="4"/>
      <c r="T94" s="5">
        <f>4732.49</f>
        <v>4732.49</v>
      </c>
      <c r="U94" s="4"/>
      <c r="V94" s="5">
        <f>5140.61</f>
        <v>5140.6099999999997</v>
      </c>
      <c r="W94" s="4"/>
      <c r="X94" s="5">
        <f>5379.08</f>
        <v>5379.08</v>
      </c>
      <c r="Y94" s="4"/>
      <c r="Z94" s="5">
        <f>548.11</f>
        <v>548.11</v>
      </c>
      <c r="AA94" s="4"/>
      <c r="AB94" s="5">
        <f>711.81</f>
        <v>711.81</v>
      </c>
      <c r="AC94" s="4"/>
      <c r="AD94" s="5">
        <f>809.14</f>
        <v>809.14</v>
      </c>
      <c r="AE94" s="4"/>
      <c r="AF94" s="5">
        <f>904.38</f>
        <v>904.38</v>
      </c>
      <c r="AG94" s="4"/>
    </row>
    <row r="95" spans="1:33" x14ac:dyDescent="0.25">
      <c r="A95" s="3" t="s">
        <v>106</v>
      </c>
      <c r="B95" s="4"/>
      <c r="C95" s="4"/>
      <c r="D95" s="5">
        <f t="shared" ref="D95:Y95" si="65">B95</f>
        <v>0</v>
      </c>
      <c r="E95" s="5">
        <f t="shared" si="65"/>
        <v>0</v>
      </c>
      <c r="F95" s="5">
        <f t="shared" si="65"/>
        <v>0</v>
      </c>
      <c r="G95" s="5">
        <f t="shared" si="65"/>
        <v>0</v>
      </c>
      <c r="H95" s="5">
        <f t="shared" si="65"/>
        <v>0</v>
      </c>
      <c r="I95" s="5">
        <f t="shared" si="65"/>
        <v>0</v>
      </c>
      <c r="J95" s="5">
        <f t="shared" si="65"/>
        <v>0</v>
      </c>
      <c r="K95" s="5">
        <f t="shared" si="65"/>
        <v>0</v>
      </c>
      <c r="L95" s="5">
        <f t="shared" si="65"/>
        <v>0</v>
      </c>
      <c r="M95" s="5">
        <f t="shared" si="65"/>
        <v>0</v>
      </c>
      <c r="N95" s="5">
        <f t="shared" si="65"/>
        <v>0</v>
      </c>
      <c r="O95" s="5">
        <f t="shared" si="65"/>
        <v>0</v>
      </c>
      <c r="P95" s="5">
        <f t="shared" si="65"/>
        <v>0</v>
      </c>
      <c r="Q95" s="5">
        <f t="shared" si="65"/>
        <v>0</v>
      </c>
      <c r="R95" s="5">
        <f t="shared" si="65"/>
        <v>0</v>
      </c>
      <c r="S95" s="5">
        <f t="shared" si="65"/>
        <v>0</v>
      </c>
      <c r="T95" s="5">
        <f t="shared" si="65"/>
        <v>0</v>
      </c>
      <c r="U95" s="5">
        <f t="shared" si="65"/>
        <v>0</v>
      </c>
      <c r="V95" s="5">
        <f t="shared" si="65"/>
        <v>0</v>
      </c>
      <c r="W95" s="5">
        <f t="shared" si="65"/>
        <v>0</v>
      </c>
      <c r="X95" s="5">
        <f t="shared" si="65"/>
        <v>0</v>
      </c>
      <c r="Y95" s="5">
        <f t="shared" si="65"/>
        <v>0</v>
      </c>
      <c r="Z95" s="4"/>
      <c r="AA95" s="4"/>
      <c r="AB95" s="5">
        <f t="shared" ref="AB95:AC97" si="66">Z95</f>
        <v>0</v>
      </c>
      <c r="AC95" s="5">
        <f t="shared" si="66"/>
        <v>0</v>
      </c>
      <c r="AD95" s="5">
        <f>0</f>
        <v>0</v>
      </c>
      <c r="AE95" s="4"/>
      <c r="AF95" s="5">
        <f>0</f>
        <v>0</v>
      </c>
      <c r="AG95" s="4"/>
    </row>
    <row r="96" spans="1:33" x14ac:dyDescent="0.25">
      <c r="A96" s="3" t="s">
        <v>107</v>
      </c>
      <c r="B96" s="5">
        <f>312</f>
        <v>312</v>
      </c>
      <c r="C96" s="4"/>
      <c r="D96" s="5">
        <f t="shared" ref="D96:G97" si="67">B96</f>
        <v>312</v>
      </c>
      <c r="E96" s="5">
        <f t="shared" si="67"/>
        <v>0</v>
      </c>
      <c r="F96" s="5">
        <f t="shared" si="67"/>
        <v>312</v>
      </c>
      <c r="G96" s="5">
        <f t="shared" si="67"/>
        <v>0</v>
      </c>
      <c r="H96" s="5">
        <f>16466</f>
        <v>16466</v>
      </c>
      <c r="I96" s="4"/>
      <c r="J96" s="5">
        <f t="shared" ref="J96:S96" si="68">H96</f>
        <v>16466</v>
      </c>
      <c r="K96" s="5">
        <f t="shared" si="68"/>
        <v>0</v>
      </c>
      <c r="L96" s="5">
        <f t="shared" si="68"/>
        <v>16466</v>
      </c>
      <c r="M96" s="5">
        <f t="shared" si="68"/>
        <v>0</v>
      </c>
      <c r="N96" s="5">
        <f t="shared" si="68"/>
        <v>16466</v>
      </c>
      <c r="O96" s="5">
        <f t="shared" si="68"/>
        <v>0</v>
      </c>
      <c r="P96" s="5">
        <f t="shared" si="68"/>
        <v>16466</v>
      </c>
      <c r="Q96" s="5">
        <f t="shared" si="68"/>
        <v>0</v>
      </c>
      <c r="R96" s="5">
        <f t="shared" si="68"/>
        <v>16466</v>
      </c>
      <c r="S96" s="5">
        <f t="shared" si="68"/>
        <v>0</v>
      </c>
      <c r="T96" s="5">
        <f>15913.48</f>
        <v>15913.48</v>
      </c>
      <c r="U96" s="4"/>
      <c r="V96" s="5">
        <f>T96</f>
        <v>15913.48</v>
      </c>
      <c r="W96" s="5">
        <f>U96</f>
        <v>0</v>
      </c>
      <c r="X96" s="5">
        <f>V96</f>
        <v>15913.48</v>
      </c>
      <c r="Y96" s="5">
        <f>W96</f>
        <v>0</v>
      </c>
      <c r="Z96" s="4"/>
      <c r="AA96" s="4"/>
      <c r="AB96" s="5">
        <f t="shared" si="66"/>
        <v>0</v>
      </c>
      <c r="AC96" s="5">
        <f t="shared" si="66"/>
        <v>0</v>
      </c>
      <c r="AD96" s="5">
        <f>AB96</f>
        <v>0</v>
      </c>
      <c r="AE96" s="5">
        <f>AC96</f>
        <v>0</v>
      </c>
      <c r="AF96" s="5">
        <f>AD96</f>
        <v>0</v>
      </c>
      <c r="AG96" s="5">
        <f>AE96</f>
        <v>0</v>
      </c>
    </row>
    <row r="97" spans="1:33" x14ac:dyDescent="0.25">
      <c r="A97" s="3" t="s">
        <v>108</v>
      </c>
      <c r="B97" s="4"/>
      <c r="C97" s="4"/>
      <c r="D97" s="5">
        <f t="shared" si="67"/>
        <v>0</v>
      </c>
      <c r="E97" s="5">
        <f t="shared" si="67"/>
        <v>0</v>
      </c>
      <c r="F97" s="5">
        <f t="shared" si="67"/>
        <v>0</v>
      </c>
      <c r="G97" s="5">
        <f t="shared" si="67"/>
        <v>0</v>
      </c>
      <c r="H97" s="5">
        <f>F97</f>
        <v>0</v>
      </c>
      <c r="I97" s="5">
        <f>G97</f>
        <v>0</v>
      </c>
      <c r="J97" s="5">
        <f>70</f>
        <v>70</v>
      </c>
      <c r="K97" s="4"/>
      <c r="L97" s="5">
        <f>107</f>
        <v>107</v>
      </c>
      <c r="M97" s="4"/>
      <c r="N97" s="5">
        <f>119</f>
        <v>119</v>
      </c>
      <c r="O97" s="4"/>
      <c r="P97" s="5">
        <f>542</f>
        <v>542</v>
      </c>
      <c r="Q97" s="4"/>
      <c r="R97" s="5">
        <f>P97</f>
        <v>542</v>
      </c>
      <c r="S97" s="5">
        <f>Q97</f>
        <v>0</v>
      </c>
      <c r="T97" s="5">
        <f>R97</f>
        <v>542</v>
      </c>
      <c r="U97" s="5">
        <f>S97</f>
        <v>0</v>
      </c>
      <c r="V97" s="5">
        <f>572</f>
        <v>572</v>
      </c>
      <c r="W97" s="4"/>
      <c r="X97" s="5">
        <f>V97</f>
        <v>572</v>
      </c>
      <c r="Y97" s="5">
        <f>W97</f>
        <v>0</v>
      </c>
      <c r="Z97" s="4"/>
      <c r="AA97" s="4"/>
      <c r="AB97" s="5">
        <f t="shared" si="66"/>
        <v>0</v>
      </c>
      <c r="AC97" s="5">
        <f t="shared" si="66"/>
        <v>0</v>
      </c>
      <c r="AD97" s="5">
        <f>AB97</f>
        <v>0</v>
      </c>
      <c r="AE97" s="5">
        <f>AC97</f>
        <v>0</v>
      </c>
      <c r="AF97" s="4"/>
      <c r="AG97" s="5">
        <f>150</f>
        <v>150</v>
      </c>
    </row>
    <row r="98" spans="1:33" x14ac:dyDescent="0.25">
      <c r="A98" s="3" t="s">
        <v>109</v>
      </c>
      <c r="B98" s="6">
        <f t="shared" ref="B98:AG98" si="69">((((((((((((((((((((((((((((((((((((((((((((((((((((((((((((((((((((((((((((((((((((((((((B7)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</f>
        <v>5046153.1000000015</v>
      </c>
      <c r="C98" s="6">
        <f t="shared" si="69"/>
        <v>5046153.0999999987</v>
      </c>
      <c r="D98" s="6">
        <f t="shared" si="69"/>
        <v>5645061.5100000016</v>
      </c>
      <c r="E98" s="6">
        <f t="shared" si="69"/>
        <v>5645061.5100000016</v>
      </c>
      <c r="F98" s="6">
        <f t="shared" si="69"/>
        <v>6285492.75</v>
      </c>
      <c r="G98" s="6">
        <f t="shared" si="69"/>
        <v>6285492.7500000009</v>
      </c>
      <c r="H98" s="6">
        <f t="shared" si="69"/>
        <v>6932031.0600000005</v>
      </c>
      <c r="I98" s="6">
        <f t="shared" si="69"/>
        <v>6932031.0600000015</v>
      </c>
      <c r="J98" s="6">
        <f t="shared" si="69"/>
        <v>7492973.3599999994</v>
      </c>
      <c r="K98" s="6">
        <f t="shared" si="69"/>
        <v>7492973.3600000013</v>
      </c>
      <c r="L98" s="6">
        <f t="shared" si="69"/>
        <v>7914131.96</v>
      </c>
      <c r="M98" s="6">
        <f t="shared" si="69"/>
        <v>7914131.96</v>
      </c>
      <c r="N98" s="6">
        <f t="shared" si="69"/>
        <v>8537589.0299999993</v>
      </c>
      <c r="O98" s="6">
        <f t="shared" si="69"/>
        <v>8537589.0299999993</v>
      </c>
      <c r="P98" s="6">
        <f t="shared" si="69"/>
        <v>9258080.3999999985</v>
      </c>
      <c r="Q98" s="6">
        <f t="shared" si="69"/>
        <v>9258080.4000000022</v>
      </c>
      <c r="R98" s="6">
        <f t="shared" si="69"/>
        <v>9895622.75</v>
      </c>
      <c r="S98" s="6">
        <f t="shared" si="69"/>
        <v>9895622.75</v>
      </c>
      <c r="T98" s="6">
        <f t="shared" si="69"/>
        <v>10523362.330000002</v>
      </c>
      <c r="U98" s="6">
        <f t="shared" si="69"/>
        <v>10523362.330000002</v>
      </c>
      <c r="V98" s="6">
        <f t="shared" si="69"/>
        <v>11134488.069999998</v>
      </c>
      <c r="W98" s="6">
        <f t="shared" si="69"/>
        <v>11134488.07</v>
      </c>
      <c r="X98" s="6">
        <f t="shared" si="69"/>
        <v>11776529.749999996</v>
      </c>
      <c r="Y98" s="6">
        <f t="shared" si="69"/>
        <v>11776529.750000002</v>
      </c>
      <c r="Z98" s="6">
        <f t="shared" si="69"/>
        <v>7067974.959999999</v>
      </c>
      <c r="AA98" s="6">
        <f t="shared" si="69"/>
        <v>7067974.9600000009</v>
      </c>
      <c r="AB98" s="6">
        <f t="shared" si="69"/>
        <v>7814469.7999999961</v>
      </c>
      <c r="AC98" s="6">
        <f t="shared" si="69"/>
        <v>7814469.8000000017</v>
      </c>
      <c r="AD98" s="6">
        <f t="shared" si="69"/>
        <v>8723611.8099999987</v>
      </c>
      <c r="AE98" s="6">
        <f t="shared" si="69"/>
        <v>8723611.8100000005</v>
      </c>
      <c r="AF98" s="6">
        <f t="shared" si="69"/>
        <v>9395997.3000000026</v>
      </c>
      <c r="AG98" s="6">
        <f t="shared" si="69"/>
        <v>9395997.3000000007</v>
      </c>
    </row>
    <row r="99" spans="1:33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2" spans="1:33" x14ac:dyDescent="0.25">
      <c r="A102" s="9" t="s">
        <v>110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</sheetData>
  <mergeCells count="20">
    <mergeCell ref="AF5:AG5"/>
    <mergeCell ref="A102:AG102"/>
    <mergeCell ref="A1:AG1"/>
    <mergeCell ref="A2:AG2"/>
    <mergeCell ref="A3:AG3"/>
    <mergeCell ref="V5:W5"/>
    <mergeCell ref="X5:Y5"/>
    <mergeCell ref="Z5:AA5"/>
    <mergeCell ref="AB5:AC5"/>
    <mergeCell ref="AD5:AE5"/>
    <mergeCell ref="L5:M5"/>
    <mergeCell ref="N5:O5"/>
    <mergeCell ref="P5:Q5"/>
    <mergeCell ref="R5:S5"/>
    <mergeCell ref="T5:U5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Shawn Dinkelman</cp:lastModifiedBy>
  <dcterms:created xsi:type="dcterms:W3CDTF">2023-05-24T13:41:18Z</dcterms:created>
  <dcterms:modified xsi:type="dcterms:W3CDTF">2023-05-24T13:42:40Z</dcterms:modified>
</cp:coreProperties>
</file>