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65" windowWidth="28800" windowHeight="16305"/>
  </bookViews>
  <sheets>
    <sheet name="Data Collection Form" sheetId="1" r:id="rId1"/>
    <sheet name="Surgeon Consent" sheetId="2" r:id="rId2"/>
    <sheet name="Sheet3"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Y16" i="1"/>
  <c r="Z13"/>
  <c r="Y13"/>
  <c r="Y12"/>
  <c r="Z11"/>
  <c r="Y11"/>
  <c r="Z10"/>
  <c r="Y10"/>
  <c r="Z8"/>
  <c r="Y8"/>
  <c r="Y7"/>
  <c r="Z7"/>
  <c r="Z6"/>
  <c r="Y6"/>
  <c r="Z5"/>
  <c r="Y5"/>
  <c r="D29"/>
  <c r="T19"/>
  <c r="T13"/>
  <c r="T11"/>
  <c r="T10"/>
  <c r="T9"/>
  <c r="T8"/>
  <c r="T7"/>
  <c r="T6"/>
  <c r="T5"/>
  <c r="R13"/>
  <c r="R11"/>
  <c r="R10"/>
  <c r="R9"/>
  <c r="R8"/>
  <c r="R7"/>
  <c r="R6"/>
  <c r="P16"/>
  <c r="P13"/>
  <c r="P6"/>
  <c r="Z19"/>
  <c r="AA19"/>
  <c r="Z16"/>
  <c r="AA16"/>
  <c r="AA11"/>
  <c r="Z12"/>
  <c r="AA12"/>
  <c r="AA13"/>
  <c r="AA10"/>
  <c r="AA6"/>
  <c r="AA7"/>
  <c r="AA8"/>
  <c r="AA5"/>
  <c r="Y19"/>
  <c r="J3" i="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2"/>
</calcChain>
</file>

<file path=xl/sharedStrings.xml><?xml version="1.0" encoding="utf-8"?>
<sst xmlns="http://schemas.openxmlformats.org/spreadsheetml/2006/main" count="241" uniqueCount="132">
  <si>
    <t>Step</t>
  </si>
  <si>
    <t>Appendix B: Data Collection Form for the Time Flow Study</t>
  </si>
  <si>
    <t>Time Flow Study Data Collection Form V-1 27-Oct-2016</t>
  </si>
  <si>
    <t>Surgery:</t>
  </si>
  <si>
    <t xml:space="preserve"> </t>
  </si>
  <si>
    <t xml:space="preserve"> Study Number: XXXXX</t>
  </si>
  <si>
    <t>Study Number: XXXXX</t>
  </si>
  <si>
    <t>Tympanoplasty</t>
  </si>
  <si>
    <t>Date/notes</t>
  </si>
  <si>
    <t>Time (min)</t>
  </si>
  <si>
    <t>Cleaning Out Ear canal</t>
  </si>
  <si>
    <t>Injecting Anaesthesia</t>
  </si>
  <si>
    <t>Hair Trimming</t>
  </si>
  <si>
    <t>Cleaning Edges of Perforation</t>
  </si>
  <si>
    <t>Making Skin Incision</t>
  </si>
  <si>
    <t>Raising Flap</t>
  </si>
  <si>
    <t>Preparing Graft</t>
  </si>
  <si>
    <t>Placing Graft</t>
  </si>
  <si>
    <t>Replacing Flap</t>
  </si>
  <si>
    <t>Packing Ear Canal</t>
  </si>
  <si>
    <t>Cholesteatoma Removal</t>
  </si>
  <si>
    <t>Surgeon Consent</t>
  </si>
  <si>
    <t>Surgeon</t>
  </si>
  <si>
    <t xml:space="preserve">Consent Obtained? </t>
  </si>
  <si>
    <t>Dr. Adrian James</t>
  </si>
  <si>
    <t>Dr. Sharon Cushing</t>
  </si>
  <si>
    <t>Dr. Blake Papsin</t>
  </si>
  <si>
    <t>Dr. David Pothier</t>
  </si>
  <si>
    <t>Y</t>
  </si>
  <si>
    <t xml:space="preserve"> Study Number: 65209</t>
  </si>
  <si>
    <t>N/A</t>
  </si>
  <si>
    <t>gel foam, Rosen</t>
  </si>
  <si>
    <t>Very few hairs
small and large scissors</t>
  </si>
  <si>
    <t>knife, Rosen needle, forceps, scissors, 19Ga sucker, scissors (switched between scissors and sucker 3-4 times)</t>
  </si>
  <si>
    <t>Panetti round knife, adrenaline ball, left/right Panetti sucker (primarily used. There was more bleeding in this case), forceps,thomassin</t>
  </si>
  <si>
    <t>Panetti round knife</t>
  </si>
  <si>
    <t>scissors, biodesign
cut the biodesign then placed it on the end of a syringe pump to shape it</t>
  </si>
  <si>
    <t>thomassin</t>
  </si>
  <si>
    <t>forceps, Rosen, panetti left, Rosen, thomassin, panetti left, Rosen to unfold and place the graft</t>
  </si>
  <si>
    <t>Study Number: 30918</t>
  </si>
  <si>
    <t>Ages</t>
  </si>
  <si>
    <t>Cholesteatoma</t>
  </si>
  <si>
    <t>Right tympanoplasty 04-Apr-2017 8:00 am, Dr. James, biodesign, underlay
CONSENT: yes in patient chart
didn't time cleaning out ear canal</t>
  </si>
  <si>
    <t>Study Number: 91745</t>
  </si>
  <si>
    <t>Study Number: 11773</t>
  </si>
  <si>
    <t xml:space="preserve">Study Number: </t>
  </si>
  <si>
    <t>*trainee</t>
  </si>
  <si>
    <t>18 sucker, adrenaline ball used because the kid was so young cleaning with the sucker would cause bleeding of the ear drum, rosen</t>
  </si>
  <si>
    <r>
      <rPr>
        <sz val="9"/>
        <color rgb="FF00B050"/>
        <rFont val="Arial"/>
        <family val="2"/>
      </rPr>
      <t>*trainee</t>
    </r>
    <r>
      <rPr>
        <sz val="9"/>
        <color rgb="FF000000"/>
        <rFont val="Arial"/>
        <family val="2"/>
      </rPr>
      <t xml:space="preserve">
panetti round knife </t>
    </r>
  </si>
  <si>
    <r>
      <rPr>
        <sz val="9"/>
        <color rgb="FF00B050"/>
        <rFont val="Arial"/>
        <family val="2"/>
      </rPr>
      <t xml:space="preserve">*trainee </t>
    </r>
    <r>
      <rPr>
        <sz val="9"/>
        <color rgb="FF000000"/>
        <rFont val="Arial"/>
        <family val="2"/>
      </rPr>
      <t xml:space="preserve">
cutting edge of perforation, removed one cholesteatoma on the ear drum</t>
    </r>
  </si>
  <si>
    <r>
      <rPr>
        <sz val="9"/>
        <color rgb="FF00B050"/>
        <rFont val="Arial"/>
        <family val="2"/>
      </rPr>
      <t xml:space="preserve">*trainee </t>
    </r>
    <r>
      <rPr>
        <sz val="9"/>
        <color rgb="FF000000"/>
        <rFont val="Arial"/>
        <family val="2"/>
      </rPr>
      <t xml:space="preserve">
scissors (big and small)</t>
    </r>
  </si>
  <si>
    <t>was teaching/supervising during this step
used syringe plug top to shape the graft</t>
  </si>
  <si>
    <t xml:space="preserve">gel foam </t>
  </si>
  <si>
    <r>
      <rPr>
        <sz val="9"/>
        <color rgb="FF00B050"/>
        <rFont val="Arial"/>
        <family val="2"/>
      </rPr>
      <t>*trainee + Dr. James</t>
    </r>
    <r>
      <rPr>
        <sz val="9"/>
        <color rgb="FF000000"/>
        <rFont val="Arial"/>
        <family val="2"/>
      </rPr>
      <t xml:space="preserve">
30deg scope
forceps to introduce graft, Rosen</t>
    </r>
  </si>
  <si>
    <t>Left tympanoplasty 11-Apr-2017 11:00 am, Dr. James, biodesign, interlay
CONSENT: yes in patient chart</t>
  </si>
  <si>
    <t>used single handed ear hair trimmer but it didn't get the hairs at the lateral part of the ear canal because trimmer would have to be oriented sideways 
middle ear scissors</t>
  </si>
  <si>
    <t>suction, forceps, knife, suction, forceps, adrenaline ball</t>
  </si>
  <si>
    <t>while teaching/showing how to do this step
P. Round knife</t>
  </si>
  <si>
    <t>scissors</t>
  </si>
  <si>
    <r>
      <rPr>
        <sz val="9"/>
        <color rgb="FF00B050"/>
        <rFont val="Arial"/>
        <family val="2"/>
      </rPr>
      <t>*trainee + Dr. James</t>
    </r>
    <r>
      <rPr>
        <sz val="9"/>
        <color rgb="FF000000"/>
        <rFont val="Arial"/>
        <family val="2"/>
      </rPr>
      <t xml:space="preserve">
alligator forceps, Rosen, Derlacki, Rosen, 18 sucker, Derlacki</t>
    </r>
  </si>
  <si>
    <r>
      <rPr>
        <sz val="9"/>
        <color rgb="FF00B050"/>
        <rFont val="Arial"/>
        <family val="2"/>
      </rPr>
      <t>*trainee + Dr. James</t>
    </r>
    <r>
      <rPr>
        <sz val="9"/>
        <color rgb="FF000000"/>
        <rFont val="Arial"/>
        <family val="2"/>
      </rPr>
      <t xml:space="preserve">
Derlacki, 18 sucker</t>
    </r>
  </si>
  <si>
    <r>
      <rPr>
        <sz val="9"/>
        <color rgb="FF00B050"/>
        <rFont val="Arial"/>
        <family val="2"/>
      </rPr>
      <t>*trainee + Dr. James</t>
    </r>
    <r>
      <rPr>
        <sz val="9"/>
        <color rgb="FF000000"/>
        <rFont val="Arial"/>
        <family val="2"/>
      </rPr>
      <t xml:space="preserve">
P. Round knife, P. Left, adrenaline ball, P. Left, P. Right
Dr. James took over at 10:10 then at 27:00
sometimes need a different angle to properly approach the flap and raise it - sometimes need a steep angle, sometimes flat therefore a bendable tip with the round knife tip might help achieving the appropriate angle for different anatomy BUT the tip needs to be stiff </t>
    </r>
  </si>
  <si>
    <r>
      <rPr>
        <sz val="9"/>
        <color rgb="FF00B050"/>
        <rFont val="Arial"/>
        <family val="2"/>
      </rPr>
      <t>*trainee + Dr. James</t>
    </r>
    <r>
      <rPr>
        <sz val="9"/>
        <color rgb="FF000000"/>
        <rFont val="Arial"/>
        <family val="2"/>
      </rPr>
      <t xml:space="preserve">
gel foam</t>
    </r>
  </si>
  <si>
    <t>Right tympanoplasty 11-Apr-2017 9:00 am, Dr. James, biodesign, overlay, 2 cholesteatomas on the ear drum, short ear canal
CONSENT: yes in patient chart</t>
  </si>
  <si>
    <t>*trainee
scissors, sucker</t>
  </si>
  <si>
    <t>*trainee + Dr. James
Rosen, 19 sucker</t>
  </si>
  <si>
    <t>*trainee 
P. Round knife</t>
  </si>
  <si>
    <t xml:space="preserve">*trainee + Dr. James
P. Left, scissors, P. Right, round knife, p. Right, Beales elecator, p. Left, hughes, round knife, hughes, thomassin
v. Narrow ear canal </t>
  </si>
  <si>
    <t>wasn't the right size, so did it twice 
scissors, syringe cap</t>
  </si>
  <si>
    <t xml:space="preserve">*trainee + Dr. James
aligator forceps, derlacki, Rosen, had to re-cut the graft, took three tries to place it </t>
  </si>
  <si>
    <t>*trainee + Dr. James
straight suction</t>
  </si>
  <si>
    <t>Time (sec)</t>
  </si>
  <si>
    <r>
      <rPr>
        <sz val="9"/>
        <color rgb="FF00B050"/>
        <rFont val="Arial"/>
        <family val="2"/>
      </rPr>
      <t>*trainee</t>
    </r>
    <r>
      <rPr>
        <sz val="9"/>
        <color rgb="FF000000"/>
        <rFont val="Arial"/>
        <family val="2"/>
      </rPr>
      <t xml:space="preserve">
P. round knife, P. right to lift the flap, Dr. James took over at 3:00, adrenaline ball, P. Left , P. Right
removed the other cholesteaoma which is not a normal part of the procedure therefore delayed timing for this step </t>
    </r>
    <r>
      <rPr>
        <sz val="9"/>
        <color rgb="FFFF0000"/>
        <rFont val="Arial"/>
        <family val="2"/>
      </rPr>
      <t>(another 371sec (6:11))</t>
    </r>
  </si>
  <si>
    <t>Average</t>
  </si>
  <si>
    <t>a) Cleaning out ear canal</t>
  </si>
  <si>
    <t>b) Injecting anaesthesia</t>
  </si>
  <si>
    <t>c) Hair trimming</t>
  </si>
  <si>
    <t>d) Cleaning edges of perforation</t>
  </si>
  <si>
    <t>e) Making skin incision</t>
  </si>
  <si>
    <t>f) Raising flap</t>
  </si>
  <si>
    <t>g) Preparing graft</t>
  </si>
  <si>
    <t>h) Placing graft</t>
  </si>
  <si>
    <t>i) Replacing flap</t>
  </si>
  <si>
    <t>j) Packing ear canal</t>
  </si>
  <si>
    <t>Median (min)</t>
  </si>
  <si>
    <t>Median (s)</t>
  </si>
  <si>
    <t>Right tympanoplasty 11-Apr-2017 2:30 pm, Dr. James, biodesign, underlay narrow ear canal
more ear wax in this ear
CONSENT: yes in patient chart</t>
  </si>
  <si>
    <t>Left tympanoplasty 18-Apr-2017 11:30am, Dr. James, biodesign, interlay, adult sized ear canal
CONSENT: yes in patient chart
*trainee 
lots of ear wax
sucker, wash out, then more sucking</t>
  </si>
  <si>
    <t xml:space="preserve">*trainee </t>
  </si>
  <si>
    <t>*trainee + Dr. James
longer, thicker, more hairs than normal peds patient
scissors, ear hair trimmer -&gt; doesn't work well</t>
  </si>
  <si>
    <t>Rosen, knife, forceps to grab excised tissue</t>
  </si>
  <si>
    <t>*trainee
PRK, Dr. James was teaching/showing where to cut and then trainee cut</t>
  </si>
  <si>
    <t>*trainee + Dr. James
PRK, P. right, P. left, adrenaline ball, P. left, forceps, P. left, P. right, ball, P. left, Thomassin, P. left (or right), Thomassin, adrenaline ball
raised it bery slowly to ensure skin didn't rip
at 33:15, reached ear drum then started dissecting the layer off of it
cleaned up edges of perforation from 39:00-48:00 
Dr. James at 24:30-26:30, 33:15-end</t>
  </si>
  <si>
    <t>syringe + scissors</t>
  </si>
  <si>
    <t>*trainee + Dr. James
aligators to introduce Rosen to push in, Derlacki, took out to reposistion into era canal, aligator, Derlacki, Rosen, Derlacki, ball, sucker, P. sucker</t>
  </si>
  <si>
    <t xml:space="preserve">*trainee + Dr. James
P. left, Derlacki, sucker </t>
  </si>
  <si>
    <t xml:space="preserve">Right tympanoplasty live surgery demo from IWGEES course in Oct, 2016, Dr. James
Inlay, biodesign
sucker, round knife, was teaching and explaining </t>
  </si>
  <si>
    <t>scissors + ear hair trimmer (2-handed), scissors</t>
  </si>
  <si>
    <t>knife, Rosen, forceps, scissors, sucker, forceps, sucker</t>
  </si>
  <si>
    <t xml:space="preserve">PRK </t>
  </si>
  <si>
    <t>PRK, round knife, adren ball, PRK, Thomassin, P.R, adren ball, PR, PL, thomassin, adren ball, aligators, Thomassin, PL, forceps, PRK, adren ball, PL, Thomassin, PR, forceps, adren ball</t>
  </si>
  <si>
    <t>scalpel + block, was teaching during this step</t>
  </si>
  <si>
    <t>aligator, rosen, PL</t>
  </si>
  <si>
    <t>sucker, derlacki, PL</t>
  </si>
  <si>
    <t>Right tympanoplasty 16-May-2017 8:00am, Dr. James
biodesign, hole cut into graft to put over the handle of the malleus
CONSENT: yes in patient chart
sucker, aligator, curette</t>
  </si>
  <si>
    <t>*trainee
scissors</t>
  </si>
  <si>
    <t>Rosen, sucker, knife</t>
  </si>
  <si>
    <t>left ear - knife, forceps, sucker</t>
  </si>
  <si>
    <t>aligator, Rosen, PR, Rosen</t>
  </si>
  <si>
    <t>Rosen, derlacki, PR, derlacki, adren ball, PR, aligator, Rosen, derlacki, scissors, derlacki</t>
  </si>
  <si>
    <t>Right tympanoplasty 16-May-2017 10:30am, Dr. James
biodesign
CONSENT: yes in patient chart
sucker</t>
  </si>
  <si>
    <t>knife, Rosen, sucker, forceps</t>
  </si>
  <si>
    <t>rosen, knife, forceps, PL</t>
  </si>
  <si>
    <t>*trainee
PRK</t>
  </si>
  <si>
    <t xml:space="preserve">*trainee + Dr. James, was teaching
PRK, PL, </t>
  </si>
  <si>
    <t>*trainee + Dr. James</t>
  </si>
  <si>
    <t>***check video on memory stick - 10:30 on 16-may-2017</t>
  </si>
  <si>
    <t>Right tympanoplasty 16-May-2017 1:00 pm, Dr. James
cartilage for ossiculoplasty, biodesign
narrow canal
CONSENT: yes in patient chart
sucker</t>
  </si>
  <si>
    <t>*trainee
scissors, middle ear scissors</t>
  </si>
  <si>
    <t>round knife, sucker, adren ball, Rosen, sucker,</t>
  </si>
  <si>
    <t>*trainee irrigation, Thomassin, round knife, rosen, forceps, difficult to freshen the edges</t>
  </si>
  <si>
    <t>*trainee
PRK, adren ball, PR, incldues looking at ossicles (~17/18 mins to raise flap) ** look at video</t>
  </si>
  <si>
    <t>cartilage graft - harvesting requires open and closing of incision, trainee - 15:00
biodesign</t>
  </si>
  <si>
    <t>PL</t>
  </si>
  <si>
    <t>derlacki</t>
  </si>
  <si>
    <t>knife, rosen, forceps, removing white tissue (maybe cholesteatoma?), sucker, scissors, forceps</t>
  </si>
  <si>
    <t xml:space="preserve">PRK,  </t>
  </si>
  <si>
    <t>from a patient video - anonymized - 05142017_164947
sucker</t>
  </si>
  <si>
    <t>Thomassin, derlacki</t>
  </si>
  <si>
    <t>Removing Cholesteatoma</t>
  </si>
  <si>
    <t xml:space="preserve">PRK,  had to use curette to cut away bone lateral to the ear drum, 
</t>
  </si>
  <si>
    <t xml:space="preserve">using forceps, PL, PR to remove white cholesteatoma: 0-10:30, 0-6:13, </t>
  </si>
</sst>
</file>

<file path=xl/styles.xml><?xml version="1.0" encoding="utf-8"?>
<styleSheet xmlns="http://schemas.openxmlformats.org/spreadsheetml/2006/main">
  <fonts count="12">
    <font>
      <sz val="11"/>
      <color theme="1"/>
      <name val="Calibri"/>
      <family val="2"/>
      <scheme val="minor"/>
    </font>
    <font>
      <b/>
      <sz val="11"/>
      <color rgb="FF000000"/>
      <name val="Arial"/>
      <family val="2"/>
    </font>
    <font>
      <i/>
      <sz val="11"/>
      <color rgb="FF000000"/>
      <name val="Arial"/>
      <family val="2"/>
    </font>
    <font>
      <sz val="9"/>
      <color rgb="FFFFFFFF"/>
      <name val="Arial"/>
      <family val="2"/>
    </font>
    <font>
      <sz val="9"/>
      <color rgb="FF000000"/>
      <name val="Arial"/>
      <family val="2"/>
    </font>
    <font>
      <b/>
      <sz val="11"/>
      <color theme="0"/>
      <name val="Calibri"/>
      <family val="2"/>
      <scheme val="minor"/>
    </font>
    <font>
      <sz val="14"/>
      <color theme="0"/>
      <name val="Calibri"/>
      <family val="2"/>
      <scheme val="minor"/>
    </font>
    <font>
      <sz val="9"/>
      <color rgb="FFFF0000"/>
      <name val="Arial"/>
      <family val="2"/>
    </font>
    <font>
      <sz val="9"/>
      <color rgb="FF00B050"/>
      <name val="Arial"/>
      <family val="2"/>
    </font>
    <font>
      <sz val="9"/>
      <color theme="0"/>
      <name val="Arial"/>
      <family val="2"/>
    </font>
    <font>
      <u/>
      <sz val="11"/>
      <color theme="10"/>
      <name val="Calibri"/>
      <family val="2"/>
      <scheme val="minor"/>
    </font>
    <font>
      <u/>
      <sz val="11"/>
      <color theme="11"/>
      <name val="Calibri"/>
      <family val="2"/>
      <scheme val="minor"/>
    </font>
  </fonts>
  <fills count="8">
    <fill>
      <patternFill patternType="none"/>
    </fill>
    <fill>
      <patternFill patternType="gray125"/>
    </fill>
    <fill>
      <patternFill patternType="solid">
        <fgColor rgb="FF000000"/>
        <bgColor indexed="64"/>
      </patternFill>
    </fill>
    <fill>
      <patternFill patternType="solid">
        <fgColor theme="1"/>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s>
  <borders count="1">
    <border>
      <left/>
      <right/>
      <top/>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43">
    <xf numFmtId="0" fontId="0" fillId="0" borderId="0" xfId="0"/>
    <xf numFmtId="0" fontId="0" fillId="0" borderId="0" xfId="0" applyAlignment="1">
      <alignment wrapText="1"/>
    </xf>
    <xf numFmtId="0" fontId="5" fillId="3" borderId="0" xfId="0" applyFont="1" applyFill="1" applyAlignment="1">
      <alignment wrapText="1"/>
    </xf>
    <xf numFmtId="0" fontId="5" fillId="3" borderId="0" xfId="0" applyFont="1" applyFill="1"/>
    <xf numFmtId="0" fontId="6" fillId="3" borderId="0" xfId="0" applyFont="1" applyFill="1" applyAlignment="1"/>
    <xf numFmtId="0" fontId="4" fillId="0" borderId="0" xfId="0" quotePrefix="1" applyNumberFormat="1" applyFont="1" applyBorder="1" applyAlignment="1">
      <alignment wrapText="1"/>
    </xf>
    <xf numFmtId="0" fontId="3" fillId="2" borderId="0" xfId="0" applyFont="1" applyFill="1" applyBorder="1" applyAlignment="1">
      <alignment wrapText="1"/>
    </xf>
    <xf numFmtId="0" fontId="0" fillId="0" borderId="0" xfId="0" applyBorder="1"/>
    <xf numFmtId="0" fontId="4" fillId="4" borderId="0" xfId="0" applyFont="1" applyFill="1" applyBorder="1" applyAlignment="1">
      <alignment wrapText="1"/>
    </xf>
    <xf numFmtId="0" fontId="4" fillId="0" borderId="0" xfId="0" applyFont="1" applyBorder="1" applyAlignment="1">
      <alignment wrapText="1"/>
    </xf>
    <xf numFmtId="0" fontId="4" fillId="0" borderId="0" xfId="0" applyNumberFormat="1" applyFont="1" applyBorder="1" applyAlignment="1">
      <alignment wrapText="1"/>
    </xf>
    <xf numFmtId="0" fontId="9" fillId="5" borderId="0" xfId="0" applyFont="1" applyFill="1" applyBorder="1" applyAlignment="1">
      <alignment wrapText="1"/>
    </xf>
    <xf numFmtId="0" fontId="8" fillId="0" borderId="0" xfId="0" applyFont="1" applyBorder="1" applyAlignment="1">
      <alignment wrapText="1"/>
    </xf>
    <xf numFmtId="0" fontId="4" fillId="6" borderId="0" xfId="0" applyFont="1" applyFill="1" applyBorder="1" applyAlignment="1">
      <alignment wrapText="1"/>
    </xf>
    <xf numFmtId="0" fontId="4" fillId="6" borderId="0" xfId="0" applyNumberFormat="1" applyFont="1" applyFill="1" applyBorder="1" applyAlignment="1">
      <alignment wrapText="1"/>
    </xf>
    <xf numFmtId="0" fontId="0" fillId="6" borderId="0" xfId="0" applyNumberFormat="1" applyFill="1" applyBorder="1"/>
    <xf numFmtId="0" fontId="0" fillId="6" borderId="0" xfId="0" applyFill="1" applyBorder="1"/>
    <xf numFmtId="0" fontId="0" fillId="0" borderId="0" xfId="0" applyNumberFormat="1" applyBorder="1"/>
    <xf numFmtId="0" fontId="4" fillId="6" borderId="0" xfId="0" quotePrefix="1" applyNumberFormat="1" applyFont="1" applyFill="1" applyBorder="1" applyAlignment="1">
      <alignment wrapText="1"/>
    </xf>
    <xf numFmtId="0" fontId="4" fillId="4" borderId="0" xfId="0" applyFont="1" applyFill="1" applyBorder="1" applyAlignment="1"/>
    <xf numFmtId="0" fontId="4" fillId="0" borderId="0" xfId="0" applyNumberFormat="1" applyFont="1" applyBorder="1" applyAlignment="1"/>
    <xf numFmtId="0" fontId="4" fillId="0" borderId="0" xfId="0" applyFont="1" applyBorder="1" applyAlignment="1"/>
    <xf numFmtId="0" fontId="0" fillId="0" borderId="0" xfId="0" applyAlignment="1"/>
    <xf numFmtId="0" fontId="4" fillId="6" borderId="0" xfId="0" applyFont="1" applyFill="1" applyBorder="1" applyAlignment="1"/>
    <xf numFmtId="0" fontId="4" fillId="6" borderId="0" xfId="0" applyNumberFormat="1" applyFont="1" applyFill="1" applyBorder="1" applyAlignment="1"/>
    <xf numFmtId="0" fontId="0" fillId="6" borderId="0" xfId="0" applyNumberFormat="1" applyFill="1" applyBorder="1" applyAlignment="1"/>
    <xf numFmtId="0" fontId="4" fillId="0" borderId="0" xfId="0" quotePrefix="1" applyNumberFormat="1" applyFont="1" applyBorder="1" applyAlignment="1"/>
    <xf numFmtId="0" fontId="4" fillId="6" borderId="0" xfId="0" quotePrefix="1" applyNumberFormat="1" applyFont="1" applyFill="1" applyBorder="1" applyAlignment="1"/>
    <xf numFmtId="0" fontId="0" fillId="0" borderId="0" xfId="0" applyNumberFormat="1" applyBorder="1" applyAlignment="1"/>
    <xf numFmtId="0" fontId="4" fillId="0" borderId="0" xfId="0" applyFont="1" applyFill="1" applyBorder="1" applyAlignment="1"/>
    <xf numFmtId="0" fontId="4" fillId="0" borderId="0" xfId="0" applyNumberFormat="1" applyFont="1" applyFill="1" applyBorder="1" applyAlignment="1"/>
    <xf numFmtId="15" fontId="4" fillId="0" borderId="0" xfId="0" applyNumberFormat="1" applyFont="1" applyBorder="1" applyAlignment="1">
      <alignment wrapText="1"/>
    </xf>
    <xf numFmtId="0" fontId="4" fillId="7" borderId="0" xfId="0" applyFont="1" applyFill="1" applyBorder="1" applyAlignment="1">
      <alignment wrapText="1"/>
    </xf>
    <xf numFmtId="0" fontId="4" fillId="0" borderId="0" xfId="0" applyFont="1" applyFill="1" applyBorder="1" applyAlignment="1">
      <alignment wrapText="1"/>
    </xf>
    <xf numFmtId="0" fontId="3" fillId="2" borderId="0" xfId="0" applyFont="1" applyFill="1" applyBorder="1" applyAlignment="1"/>
    <xf numFmtId="0" fontId="0" fillId="0" borderId="0" xfId="0" applyBorder="1" applyAlignment="1"/>
    <xf numFmtId="0" fontId="0" fillId="0" borderId="0" xfId="0" applyBorder="1" applyAlignment="1">
      <alignment wrapText="1"/>
    </xf>
    <xf numFmtId="0" fontId="4" fillId="0" borderId="0" xfId="0" applyFont="1" applyBorder="1" applyAlignment="1">
      <alignment vertical="top" wrapText="1"/>
    </xf>
    <xf numFmtId="0" fontId="1" fillId="0" borderId="0" xfId="0" applyFont="1" applyBorder="1" applyAlignment="1">
      <alignment horizontal="left"/>
    </xf>
    <xf numFmtId="0" fontId="2" fillId="0" borderId="0" xfId="0" applyFont="1" applyBorder="1" applyAlignment="1">
      <alignment horizontal="left"/>
    </xf>
    <xf numFmtId="0" fontId="3" fillId="2" borderId="0" xfId="0" applyFont="1" applyFill="1" applyBorder="1" applyAlignment="1">
      <alignment wrapText="1"/>
    </xf>
    <xf numFmtId="0" fontId="4" fillId="4" borderId="0" xfId="0" applyFont="1" applyFill="1" applyBorder="1" applyAlignment="1">
      <alignment vertical="top" wrapText="1"/>
    </xf>
    <xf numFmtId="0" fontId="3" fillId="2" borderId="0" xfId="0" applyFont="1" applyFill="1" applyBorder="1" applyAlignment="1"/>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lang val="en-CA"/>
  <c:chart>
    <c:title>
      <c:layout/>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plotArea>
      <c:layout/>
      <c:barChart>
        <c:barDir val="col"/>
        <c:grouping val="clustered"/>
        <c:ser>
          <c:idx val="0"/>
          <c:order val="0"/>
          <c:tx>
            <c:strRef>
              <c:f>'Data Collection Form'!$AA$4</c:f>
              <c:strCache>
                <c:ptCount val="1"/>
                <c:pt idx="0">
                  <c:v>Median (min)</c:v>
                </c:pt>
              </c:strCache>
            </c:strRef>
          </c:tx>
          <c:spPr>
            <a:solidFill>
              <a:schemeClr val="accent1"/>
            </a:solidFill>
            <a:ln>
              <a:noFill/>
            </a:ln>
            <a:effectLst/>
          </c:spPr>
          <c:cat>
            <c:strRef>
              <c:f>'Data Collection Form'!$B$5:$B$19</c:f>
              <c:strCache>
                <c:ptCount val="15"/>
                <c:pt idx="0">
                  <c:v>Cleaning Out Ear canal</c:v>
                </c:pt>
                <c:pt idx="1">
                  <c:v>Injecting Anaesthesia</c:v>
                </c:pt>
                <c:pt idx="2">
                  <c:v>Hair Trimming</c:v>
                </c:pt>
                <c:pt idx="3">
                  <c:v>Cleaning Edges of Perforation</c:v>
                </c:pt>
                <c:pt idx="5">
                  <c:v>Making Skin Incision</c:v>
                </c:pt>
                <c:pt idx="6">
                  <c:v>Raising Flap</c:v>
                </c:pt>
                <c:pt idx="7">
                  <c:v>Preparing Graft</c:v>
                </c:pt>
                <c:pt idx="8">
                  <c:v>Placing Graft</c:v>
                </c:pt>
                <c:pt idx="11">
                  <c:v>Replacing Flap</c:v>
                </c:pt>
                <c:pt idx="14">
                  <c:v>Packing Ear Canal</c:v>
                </c:pt>
              </c:strCache>
            </c:strRef>
          </c:cat>
          <c:val>
            <c:numRef>
              <c:f>'Data Collection Form'!$AA$5:$AA$19</c:f>
              <c:numCache>
                <c:formatCode>General</c:formatCode>
                <c:ptCount val="15"/>
                <c:pt idx="0">
                  <c:v>2.3333333333333335</c:v>
                </c:pt>
                <c:pt idx="1">
                  <c:v>2.9</c:v>
                </c:pt>
                <c:pt idx="2">
                  <c:v>2.5166666666666666</c:v>
                </c:pt>
                <c:pt idx="3">
                  <c:v>3.5</c:v>
                </c:pt>
                <c:pt idx="5">
                  <c:v>1.8666666666666667</c:v>
                </c:pt>
                <c:pt idx="6">
                  <c:v>23.5</c:v>
                </c:pt>
                <c:pt idx="7">
                  <c:v>2.5499999999999998</c:v>
                </c:pt>
                <c:pt idx="8">
                  <c:v>10</c:v>
                </c:pt>
                <c:pt idx="11">
                  <c:v>2.625</c:v>
                </c:pt>
                <c:pt idx="14">
                  <c:v>4.3666666666666663</c:v>
                </c:pt>
              </c:numCache>
            </c:numRef>
          </c:val>
        </c:ser>
        <c:dLbls/>
        <c:gapWidth val="219"/>
        <c:overlap val="-27"/>
        <c:axId val="100428800"/>
        <c:axId val="100446976"/>
      </c:barChart>
      <c:catAx>
        <c:axId val="100428800"/>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46976"/>
        <c:crosses val="autoZero"/>
        <c:auto val="1"/>
        <c:lblAlgn val="ctr"/>
        <c:lblOffset val="100"/>
      </c:catAx>
      <c:valAx>
        <c:axId val="100446976"/>
        <c:scaling>
          <c:orientation val="minMax"/>
        </c:scaling>
        <c:axPos val="l"/>
        <c:majorGridlines>
          <c:spPr>
            <a:ln w="9525" cap="flat" cmpd="sng" algn="ctr">
              <a:solidFill>
                <a:schemeClr val="tx1">
                  <a:lumMod val="15000"/>
                  <a:lumOff val="85000"/>
                </a:schemeClr>
              </a:solidFill>
              <a:round/>
            </a:ln>
            <a:effectLst/>
          </c:spPr>
        </c:majorGridlines>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28800"/>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28</xdr:col>
      <xdr:colOff>86591</xdr:colOff>
      <xdr:row>6</xdr:row>
      <xdr:rowOff>175491</xdr:rowOff>
    </xdr:from>
    <xdr:to>
      <xdr:col>36</xdr:col>
      <xdr:colOff>127000</xdr:colOff>
      <xdr:row>10</xdr:row>
      <xdr:rowOff>1238250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AA38"/>
  <sheetViews>
    <sheetView tabSelected="1" topLeftCell="P4" zoomScale="110" zoomScaleNormal="110" zoomScalePageLayoutView="110" workbookViewId="0">
      <selection activeCell="AD13" sqref="AD13"/>
    </sheetView>
  </sheetViews>
  <sheetFormatPr defaultColWidth="8.85546875" defaultRowHeight="15"/>
  <cols>
    <col min="1" max="1" width="16.28515625" style="7" customWidth="1"/>
    <col min="2" max="2" width="15.7109375" style="7" customWidth="1"/>
    <col min="3" max="3" width="30.42578125" style="7" hidden="1" customWidth="1"/>
    <col min="4" max="4" width="6.7109375" style="17" customWidth="1"/>
    <col min="5" max="5" width="34.42578125" style="7" hidden="1" customWidth="1"/>
    <col min="6" max="6" width="7.7109375" style="7" customWidth="1"/>
    <col min="7" max="7" width="43" style="7" hidden="1" customWidth="1"/>
    <col min="8" max="8" width="8.42578125" style="7" customWidth="1"/>
    <col min="9" max="9" width="39.85546875" style="7" hidden="1" customWidth="1"/>
    <col min="10" max="10" width="7.28515625" style="7" customWidth="1"/>
    <col min="11" max="11" width="42.42578125" style="7" hidden="1" customWidth="1"/>
    <col min="12" max="12" width="9.140625" style="7" customWidth="1"/>
    <col min="13" max="13" width="42.42578125" style="7" hidden="1" customWidth="1"/>
    <col min="14" max="14" width="9.140625" style="7" customWidth="1"/>
    <col min="15" max="15" width="42.42578125" style="7" hidden="1" customWidth="1"/>
    <col min="16" max="16" width="9.140625" style="7" customWidth="1"/>
    <col min="17" max="17" width="42.42578125" style="7" hidden="1" customWidth="1"/>
    <col min="18" max="18" width="9.140625" style="7" customWidth="1"/>
    <col min="19" max="19" width="42.42578125" style="7" hidden="1" customWidth="1"/>
    <col min="20" max="20" width="9.140625" style="7" customWidth="1"/>
    <col min="21" max="21" width="42.42578125" style="7" customWidth="1"/>
    <col min="22" max="22" width="9.140625" style="17" customWidth="1"/>
    <col min="23" max="24" width="8.85546875" style="7" customWidth="1"/>
    <col min="25" max="16384" width="8.85546875" style="7"/>
  </cols>
  <sheetData>
    <row r="1" spans="1:27" s="38" customFormat="1">
      <c r="A1" s="38" t="s">
        <v>1</v>
      </c>
    </row>
    <row r="2" spans="1:27" s="39" customFormat="1" ht="15" customHeight="1">
      <c r="A2" s="39" t="s">
        <v>2</v>
      </c>
    </row>
    <row r="3" spans="1:27">
      <c r="A3" s="6" t="s">
        <v>3</v>
      </c>
      <c r="B3" s="6" t="s">
        <v>4</v>
      </c>
      <c r="C3" s="40" t="s">
        <v>29</v>
      </c>
      <c r="D3" s="40"/>
      <c r="E3" s="40" t="s">
        <v>39</v>
      </c>
      <c r="F3" s="40"/>
      <c r="G3" s="40" t="s">
        <v>43</v>
      </c>
      <c r="H3" s="40"/>
      <c r="I3" s="40" t="s">
        <v>44</v>
      </c>
      <c r="J3" s="40"/>
      <c r="K3" s="40" t="s">
        <v>45</v>
      </c>
      <c r="L3" s="40"/>
      <c r="M3" s="40" t="s">
        <v>45</v>
      </c>
      <c r="N3" s="40"/>
      <c r="O3" s="40" t="s">
        <v>45</v>
      </c>
      <c r="P3" s="40"/>
      <c r="Q3" s="40" t="s">
        <v>45</v>
      </c>
      <c r="R3" s="40"/>
      <c r="S3" s="40" t="s">
        <v>45</v>
      </c>
      <c r="T3" s="40"/>
      <c r="U3" s="40" t="s">
        <v>45</v>
      </c>
      <c r="V3" s="40"/>
    </row>
    <row r="4" spans="1:27" ht="24.75">
      <c r="A4" s="41" t="s">
        <v>7</v>
      </c>
      <c r="B4" s="8" t="s">
        <v>0</v>
      </c>
      <c r="C4" s="9" t="s">
        <v>8</v>
      </c>
      <c r="D4" s="10" t="s">
        <v>71</v>
      </c>
      <c r="E4" s="9" t="s">
        <v>8</v>
      </c>
      <c r="F4" s="9" t="s">
        <v>71</v>
      </c>
      <c r="G4" s="9" t="s">
        <v>8</v>
      </c>
      <c r="H4" s="9" t="s">
        <v>71</v>
      </c>
      <c r="I4" s="9" t="s">
        <v>8</v>
      </c>
      <c r="J4" s="9" t="s">
        <v>71</v>
      </c>
      <c r="K4" s="9" t="s">
        <v>8</v>
      </c>
      <c r="L4" s="9" t="s">
        <v>71</v>
      </c>
      <c r="M4" s="9" t="s">
        <v>8</v>
      </c>
      <c r="N4" s="9" t="s">
        <v>71</v>
      </c>
      <c r="O4" s="9" t="s">
        <v>8</v>
      </c>
      <c r="P4" s="9" t="s">
        <v>71</v>
      </c>
      <c r="Q4" s="9" t="s">
        <v>8</v>
      </c>
      <c r="R4" s="9" t="s">
        <v>71</v>
      </c>
      <c r="S4" s="9" t="s">
        <v>8</v>
      </c>
      <c r="T4" s="9" t="s">
        <v>71</v>
      </c>
      <c r="U4" s="9" t="s">
        <v>8</v>
      </c>
      <c r="V4" s="10" t="s">
        <v>71</v>
      </c>
      <c r="Y4" s="11" t="s">
        <v>73</v>
      </c>
      <c r="Z4" s="11" t="s">
        <v>85</v>
      </c>
      <c r="AA4" s="11" t="s">
        <v>84</v>
      </c>
    </row>
    <row r="5" spans="1:27" ht="72.75">
      <c r="A5" s="41"/>
      <c r="B5" s="8" t="s">
        <v>10</v>
      </c>
      <c r="C5" s="9" t="s">
        <v>42</v>
      </c>
      <c r="D5" s="10" t="s">
        <v>30</v>
      </c>
      <c r="E5" s="9" t="s">
        <v>63</v>
      </c>
      <c r="F5" s="10">
        <v>183</v>
      </c>
      <c r="G5" s="9" t="s">
        <v>54</v>
      </c>
      <c r="H5" s="10">
        <v>20</v>
      </c>
      <c r="I5" s="9" t="s">
        <v>86</v>
      </c>
      <c r="J5" s="10">
        <v>210</v>
      </c>
      <c r="K5" s="31" t="s">
        <v>87</v>
      </c>
      <c r="L5" s="9">
        <v>374</v>
      </c>
      <c r="M5" s="31" t="s">
        <v>96</v>
      </c>
      <c r="N5" s="9">
        <v>160</v>
      </c>
      <c r="O5" s="31" t="s">
        <v>104</v>
      </c>
      <c r="P5" s="9">
        <v>120</v>
      </c>
      <c r="Q5" s="31" t="s">
        <v>110</v>
      </c>
      <c r="R5" s="9">
        <v>50</v>
      </c>
      <c r="S5" s="31" t="s">
        <v>117</v>
      </c>
      <c r="T5" s="9">
        <f>60+15</f>
        <v>75</v>
      </c>
      <c r="U5" s="31"/>
      <c r="V5" s="10"/>
      <c r="Y5" s="7">
        <f>AVERAGE(F5:T5)</f>
        <v>149</v>
      </c>
      <c r="Z5" s="7">
        <f>MEDIAN(F5:T5)</f>
        <v>140</v>
      </c>
      <c r="AA5" s="7">
        <f>Z5/60</f>
        <v>2.3333333333333335</v>
      </c>
    </row>
    <row r="6" spans="1:27" ht="24.75">
      <c r="A6" s="41"/>
      <c r="B6" s="8" t="s">
        <v>11</v>
      </c>
      <c r="C6" s="9"/>
      <c r="D6" s="10">
        <v>140</v>
      </c>
      <c r="E6" s="12" t="s">
        <v>46</v>
      </c>
      <c r="F6" s="10">
        <v>240</v>
      </c>
      <c r="G6" s="9"/>
      <c r="H6" s="10">
        <v>105</v>
      </c>
      <c r="I6" s="9" t="s">
        <v>46</v>
      </c>
      <c r="J6" s="10">
        <v>155</v>
      </c>
      <c r="K6" s="9" t="s">
        <v>88</v>
      </c>
      <c r="L6" s="9">
        <v>187</v>
      </c>
      <c r="M6" s="9"/>
      <c r="N6" s="9">
        <v>120</v>
      </c>
      <c r="O6" s="9" t="s">
        <v>46</v>
      </c>
      <c r="P6" s="9">
        <f>6*60+14</f>
        <v>374</v>
      </c>
      <c r="Q6" s="9" t="s">
        <v>46</v>
      </c>
      <c r="R6" s="9">
        <f>2*60+54</f>
        <v>174</v>
      </c>
      <c r="S6" s="9" t="s">
        <v>46</v>
      </c>
      <c r="T6" s="9">
        <f>4*60+30</f>
        <v>270</v>
      </c>
      <c r="V6" s="10"/>
      <c r="Y6" s="7">
        <f>AVERAGE(D6:T6)</f>
        <v>196.11111111111111</v>
      </c>
      <c r="Z6" s="7">
        <f>MEDIAN(D6:T6)</f>
        <v>174</v>
      </c>
      <c r="AA6" s="7">
        <f>Z6/60</f>
        <v>2.9</v>
      </c>
    </row>
    <row r="7" spans="1:27" ht="48.75">
      <c r="A7" s="41"/>
      <c r="B7" s="8" t="s">
        <v>12</v>
      </c>
      <c r="C7" s="9" t="s">
        <v>32</v>
      </c>
      <c r="D7" s="10">
        <v>80</v>
      </c>
      <c r="E7" s="9" t="s">
        <v>50</v>
      </c>
      <c r="F7" s="10">
        <v>350</v>
      </c>
      <c r="G7" s="9" t="s">
        <v>55</v>
      </c>
      <c r="H7" s="10">
        <v>151</v>
      </c>
      <c r="I7" s="9" t="s">
        <v>64</v>
      </c>
      <c r="J7" s="10">
        <v>210</v>
      </c>
      <c r="K7" s="9" t="s">
        <v>89</v>
      </c>
      <c r="L7" s="9">
        <v>615</v>
      </c>
      <c r="M7" s="9" t="s">
        <v>97</v>
      </c>
      <c r="N7" s="9">
        <v>110</v>
      </c>
      <c r="O7" s="9" t="s">
        <v>58</v>
      </c>
      <c r="P7" s="9">
        <v>57</v>
      </c>
      <c r="Q7" s="9" t="s">
        <v>105</v>
      </c>
      <c r="R7" s="9">
        <f>2*60+30</f>
        <v>150</v>
      </c>
      <c r="S7" s="9" t="s">
        <v>118</v>
      </c>
      <c r="T7" s="9">
        <f>5*60</f>
        <v>300</v>
      </c>
      <c r="Y7" s="7">
        <f>AVERAGE(D7:T7)</f>
        <v>224.77777777777777</v>
      </c>
      <c r="Z7" s="7">
        <f>MEDIAN(D7:T7)</f>
        <v>151</v>
      </c>
      <c r="AA7" s="7">
        <f>Z7/60</f>
        <v>2.5166666666666666</v>
      </c>
    </row>
    <row r="8" spans="1:27" ht="72.75" customHeight="1">
      <c r="A8" s="41"/>
      <c r="B8" s="8" t="s">
        <v>13</v>
      </c>
      <c r="C8" s="9" t="s">
        <v>33</v>
      </c>
      <c r="D8" s="10">
        <v>257</v>
      </c>
      <c r="E8" s="9" t="s">
        <v>47</v>
      </c>
      <c r="F8" s="10">
        <v>162</v>
      </c>
      <c r="G8" s="9" t="s">
        <v>56</v>
      </c>
      <c r="H8" s="10">
        <v>210</v>
      </c>
      <c r="I8" s="9" t="s">
        <v>65</v>
      </c>
      <c r="J8" s="10">
        <v>450</v>
      </c>
      <c r="K8" s="9" t="s">
        <v>90</v>
      </c>
      <c r="L8" s="9">
        <v>190</v>
      </c>
      <c r="M8" s="9" t="s">
        <v>98</v>
      </c>
      <c r="N8" s="9">
        <v>205</v>
      </c>
      <c r="O8" s="9" t="s">
        <v>106</v>
      </c>
      <c r="P8" s="9">
        <v>120</v>
      </c>
      <c r="Q8" s="9" t="s">
        <v>111</v>
      </c>
      <c r="R8" s="9">
        <f>3*60+30</f>
        <v>210</v>
      </c>
      <c r="S8" s="9" t="s">
        <v>119</v>
      </c>
      <c r="T8" s="9">
        <f>3*60+40</f>
        <v>220</v>
      </c>
      <c r="Y8" s="7">
        <f>AVERAGE(D8:T8,F9,P9:T9)</f>
        <v>315.38461538461536</v>
      </c>
      <c r="Z8" s="7">
        <f>MEDIAN(D8:T8,F9,P9:T9)</f>
        <v>210</v>
      </c>
      <c r="AA8" s="7">
        <f>Z8/60</f>
        <v>3.5</v>
      </c>
    </row>
    <row r="9" spans="1:27" s="16" customFormat="1" ht="36.75">
      <c r="A9" s="41"/>
      <c r="B9" s="13"/>
      <c r="C9" s="13"/>
      <c r="D9" s="14"/>
      <c r="E9" s="13" t="s">
        <v>49</v>
      </c>
      <c r="F9" s="14">
        <v>870</v>
      </c>
      <c r="G9" s="13"/>
      <c r="H9" s="15"/>
      <c r="J9" s="15"/>
      <c r="K9" s="13"/>
      <c r="L9" s="13"/>
      <c r="M9" s="13"/>
      <c r="N9" s="13"/>
      <c r="O9" s="13" t="s">
        <v>107</v>
      </c>
      <c r="P9" s="13">
        <v>60</v>
      </c>
      <c r="Q9" s="13" t="s">
        <v>112</v>
      </c>
      <c r="R9" s="13">
        <f>3*60+36</f>
        <v>216</v>
      </c>
      <c r="S9" s="13" t="s">
        <v>120</v>
      </c>
      <c r="T9" s="13">
        <f>15*60+30</f>
        <v>930</v>
      </c>
      <c r="U9" s="13"/>
      <c r="V9" s="14"/>
    </row>
    <row r="10" spans="1:27" ht="36.75">
      <c r="A10" s="41"/>
      <c r="B10" s="8" t="s">
        <v>14</v>
      </c>
      <c r="C10" s="9" t="s">
        <v>35</v>
      </c>
      <c r="D10" s="10">
        <v>78</v>
      </c>
      <c r="E10" s="9" t="s">
        <v>48</v>
      </c>
      <c r="F10" s="10">
        <v>60</v>
      </c>
      <c r="G10" s="9" t="s">
        <v>57</v>
      </c>
      <c r="H10" s="10">
        <v>124</v>
      </c>
      <c r="I10" s="9" t="s">
        <v>66</v>
      </c>
      <c r="J10" s="10">
        <v>220</v>
      </c>
      <c r="K10" s="9" t="s">
        <v>91</v>
      </c>
      <c r="L10" s="9">
        <v>220</v>
      </c>
      <c r="M10" s="9" t="s">
        <v>99</v>
      </c>
      <c r="N10" s="9">
        <v>46</v>
      </c>
      <c r="O10" s="9" t="s">
        <v>46</v>
      </c>
      <c r="P10" s="9"/>
      <c r="Q10" s="9" t="s">
        <v>113</v>
      </c>
      <c r="R10" s="9">
        <f>2*60+35</f>
        <v>155</v>
      </c>
      <c r="S10" s="9" t="s">
        <v>113</v>
      </c>
      <c r="T10" s="9">
        <f>60+40</f>
        <v>100</v>
      </c>
      <c r="Y10" s="7">
        <f>AVERAGE(D10:T10)</f>
        <v>125.375</v>
      </c>
      <c r="Z10" s="7">
        <f>MEDIAN(D10:T10)</f>
        <v>112</v>
      </c>
      <c r="AA10" s="7">
        <f>Z10/60</f>
        <v>1.8666666666666667</v>
      </c>
    </row>
    <row r="11" spans="1:27" ht="120.75">
      <c r="A11" s="41"/>
      <c r="B11" s="8" t="s">
        <v>15</v>
      </c>
      <c r="C11" s="9" t="s">
        <v>34</v>
      </c>
      <c r="D11" s="10">
        <v>1048</v>
      </c>
      <c r="E11" s="9" t="s">
        <v>72</v>
      </c>
      <c r="F11" s="10">
        <v>1140</v>
      </c>
      <c r="G11" s="9" t="s">
        <v>61</v>
      </c>
      <c r="H11" s="5">
        <v>2190</v>
      </c>
      <c r="I11" s="9" t="s">
        <v>67</v>
      </c>
      <c r="J11" s="10">
        <v>3600</v>
      </c>
      <c r="K11" s="9" t="s">
        <v>92</v>
      </c>
      <c r="L11" s="9">
        <v>2880</v>
      </c>
      <c r="M11" s="9" t="s">
        <v>100</v>
      </c>
      <c r="N11" s="9">
        <v>1256</v>
      </c>
      <c r="O11" s="9" t="s">
        <v>46</v>
      </c>
      <c r="P11" s="9"/>
      <c r="Q11" s="9" t="s">
        <v>114</v>
      </c>
      <c r="R11" s="9">
        <f>23*60</f>
        <v>1380</v>
      </c>
      <c r="S11" s="32" t="s">
        <v>121</v>
      </c>
      <c r="T11" s="9">
        <f>24*60</f>
        <v>1440</v>
      </c>
      <c r="Y11" s="7">
        <f>AVERAGE(D11:T11)</f>
        <v>1866.75</v>
      </c>
      <c r="Z11" s="7">
        <f>MEDIAN(D11:T11)</f>
        <v>1410</v>
      </c>
      <c r="AA11" s="7">
        <f>Z11/60</f>
        <v>23.5</v>
      </c>
    </row>
    <row r="12" spans="1:27" ht="48.75">
      <c r="A12" s="41"/>
      <c r="B12" s="8" t="s">
        <v>16</v>
      </c>
      <c r="C12" s="9" t="s">
        <v>36</v>
      </c>
      <c r="D12" s="10">
        <v>240</v>
      </c>
      <c r="E12" s="9" t="s">
        <v>51</v>
      </c>
      <c r="F12" s="10">
        <v>180</v>
      </c>
      <c r="G12" s="9" t="s">
        <v>58</v>
      </c>
      <c r="H12" s="10">
        <v>20</v>
      </c>
      <c r="I12" s="9" t="s">
        <v>68</v>
      </c>
      <c r="J12" s="10">
        <v>126</v>
      </c>
      <c r="K12" s="9" t="s">
        <v>93</v>
      </c>
      <c r="L12" s="9">
        <v>120</v>
      </c>
      <c r="M12" s="9" t="s">
        <v>101</v>
      </c>
      <c r="N12" s="9">
        <v>175</v>
      </c>
      <c r="O12" s="9"/>
      <c r="P12" s="9"/>
      <c r="Q12" s="9"/>
      <c r="R12" s="9"/>
      <c r="S12" s="9" t="s">
        <v>122</v>
      </c>
      <c r="T12" s="9">
        <v>60</v>
      </c>
      <c r="U12" s="9"/>
      <c r="V12" s="10"/>
      <c r="Y12" s="7">
        <f t="shared" ref="Y12" si="0">AVERAGE(D12:T12)</f>
        <v>131.57142857142858</v>
      </c>
      <c r="Z12" s="7">
        <f>MEDIAN(D12,F12,H12,J12)</f>
        <v>153</v>
      </c>
      <c r="AA12" s="7">
        <f>Z12/60</f>
        <v>2.5499999999999998</v>
      </c>
    </row>
    <row r="13" spans="1:27" ht="48.75">
      <c r="A13" s="41"/>
      <c r="B13" s="8" t="s">
        <v>17</v>
      </c>
      <c r="C13" s="9" t="s">
        <v>38</v>
      </c>
      <c r="D13" s="10">
        <v>795</v>
      </c>
      <c r="E13" s="9" t="s">
        <v>53</v>
      </c>
      <c r="F13" s="10">
        <v>1260</v>
      </c>
      <c r="G13" s="9" t="s">
        <v>59</v>
      </c>
      <c r="H13" s="10">
        <v>225</v>
      </c>
      <c r="I13" s="9" t="s">
        <v>69</v>
      </c>
      <c r="J13" s="5">
        <v>1510</v>
      </c>
      <c r="K13" s="9" t="s">
        <v>94</v>
      </c>
      <c r="L13" s="9">
        <v>1035</v>
      </c>
      <c r="M13" s="9" t="s">
        <v>102</v>
      </c>
      <c r="N13" s="9">
        <v>225</v>
      </c>
      <c r="O13" s="9" t="s">
        <v>108</v>
      </c>
      <c r="P13" s="9">
        <f>9*60+10</f>
        <v>550</v>
      </c>
      <c r="Q13" s="9" t="s">
        <v>115</v>
      </c>
      <c r="R13" s="9">
        <f>22*60</f>
        <v>1320</v>
      </c>
      <c r="S13" s="9" t="s">
        <v>123</v>
      </c>
      <c r="T13" s="9">
        <f>4*60+15</f>
        <v>255</v>
      </c>
      <c r="U13" s="9"/>
      <c r="Y13" s="7">
        <f>AVERAGE(D13:T13,J14:J15)</f>
        <v>734.09090909090912</v>
      </c>
      <c r="Z13" s="7">
        <f>MEDIAN(D13:T13,J14:J15)</f>
        <v>600</v>
      </c>
      <c r="AA13" s="7">
        <f>Z13/60</f>
        <v>10</v>
      </c>
    </row>
    <row r="14" spans="1:27" s="16" customFormat="1">
      <c r="A14" s="41"/>
      <c r="B14" s="13"/>
      <c r="C14" s="13"/>
      <c r="D14" s="14"/>
      <c r="E14" s="13"/>
      <c r="F14" s="14"/>
      <c r="G14" s="13"/>
      <c r="H14" s="14"/>
      <c r="I14" s="13"/>
      <c r="J14" s="18">
        <v>600</v>
      </c>
      <c r="K14" s="13"/>
      <c r="L14" s="13"/>
      <c r="M14" s="13"/>
      <c r="N14" s="13"/>
      <c r="O14" s="13"/>
      <c r="P14" s="13"/>
      <c r="Q14" s="13"/>
      <c r="R14" s="13"/>
      <c r="S14" s="13"/>
      <c r="T14" s="13"/>
      <c r="U14" s="13"/>
      <c r="V14" s="14"/>
    </row>
    <row r="15" spans="1:27" s="16" customFormat="1">
      <c r="A15" s="41"/>
      <c r="B15" s="13"/>
      <c r="C15" s="13"/>
      <c r="D15" s="14"/>
      <c r="E15" s="13"/>
      <c r="F15" s="14"/>
      <c r="G15" s="13"/>
      <c r="H15" s="14"/>
      <c r="I15" s="13"/>
      <c r="J15" s="18">
        <v>300</v>
      </c>
      <c r="K15" s="13"/>
      <c r="L15" s="13"/>
      <c r="M15" s="13"/>
      <c r="N15" s="13"/>
      <c r="O15" s="13"/>
      <c r="P15" s="13"/>
      <c r="Q15" s="13"/>
      <c r="R15" s="13"/>
      <c r="S15" s="13"/>
      <c r="T15" s="13"/>
      <c r="U15" s="13"/>
      <c r="V15" s="14"/>
    </row>
    <row r="16" spans="1:27" ht="84.75">
      <c r="A16" s="41"/>
      <c r="B16" s="8" t="s">
        <v>18</v>
      </c>
      <c r="C16" s="9" t="s">
        <v>37</v>
      </c>
      <c r="D16" s="10">
        <v>150</v>
      </c>
      <c r="E16" s="9"/>
      <c r="F16" s="10">
        <v>120</v>
      </c>
      <c r="G16" s="9" t="s">
        <v>60</v>
      </c>
      <c r="H16" s="10">
        <v>165</v>
      </c>
      <c r="I16" s="9" t="s">
        <v>70</v>
      </c>
      <c r="J16" s="17">
        <v>660</v>
      </c>
      <c r="K16" s="9" t="s">
        <v>95</v>
      </c>
      <c r="L16" s="9">
        <v>360</v>
      </c>
      <c r="M16" s="9" t="s">
        <v>103</v>
      </c>
      <c r="N16" s="9">
        <v>150</v>
      </c>
      <c r="O16" s="9" t="s">
        <v>109</v>
      </c>
      <c r="P16" s="9">
        <f>7*60+50</f>
        <v>470</v>
      </c>
      <c r="Q16" s="9"/>
      <c r="R16" s="32" t="s">
        <v>116</v>
      </c>
      <c r="S16" s="9" t="s">
        <v>124</v>
      </c>
      <c r="T16" s="9">
        <v>60</v>
      </c>
      <c r="Y16" s="7">
        <f>AVERAGE(D16:P16,T16,J17:J18)</f>
        <v>279.5</v>
      </c>
      <c r="Z16" s="7">
        <f>MEDIAN(D16,F16,H16,J16,J17:J18)</f>
        <v>157.5</v>
      </c>
      <c r="AA16" s="7">
        <f>Z16/60</f>
        <v>2.625</v>
      </c>
    </row>
    <row r="17" spans="1:27" s="16" customFormat="1">
      <c r="A17" s="41"/>
      <c r="B17" s="13"/>
      <c r="C17" s="13"/>
      <c r="D17" s="14"/>
      <c r="E17" s="13"/>
      <c r="F17" s="14"/>
      <c r="G17" s="13"/>
      <c r="H17" s="14"/>
      <c r="I17" s="13"/>
      <c r="J17" s="14">
        <v>600</v>
      </c>
      <c r="K17" s="13"/>
      <c r="L17" s="13"/>
      <c r="M17" s="13"/>
      <c r="N17" s="13"/>
      <c r="O17" s="13"/>
      <c r="P17" s="13"/>
      <c r="Q17" s="13"/>
      <c r="R17" s="13"/>
      <c r="S17" s="13"/>
      <c r="T17" s="13"/>
      <c r="U17" s="13"/>
      <c r="V17" s="14"/>
    </row>
    <row r="18" spans="1:27" s="16" customFormat="1">
      <c r="A18" s="41"/>
      <c r="B18" s="13"/>
      <c r="C18" s="13"/>
      <c r="D18" s="14"/>
      <c r="E18" s="13"/>
      <c r="F18" s="14"/>
      <c r="G18" s="13"/>
      <c r="H18" s="14"/>
      <c r="I18" s="13"/>
      <c r="J18" s="14">
        <v>60</v>
      </c>
      <c r="K18" s="13"/>
      <c r="L18" s="13"/>
      <c r="M18" s="13"/>
      <c r="N18" s="13"/>
      <c r="O18" s="13"/>
      <c r="P18" s="13"/>
      <c r="Q18" s="13"/>
      <c r="R18" s="13"/>
      <c r="S18" s="13"/>
      <c r="T18" s="13"/>
      <c r="U18" s="13"/>
      <c r="V18" s="14"/>
    </row>
    <row r="19" spans="1:27" ht="24.75">
      <c r="A19" s="41"/>
      <c r="B19" s="8" t="s">
        <v>19</v>
      </c>
      <c r="C19" s="9" t="s">
        <v>31</v>
      </c>
      <c r="D19" s="10" t="s">
        <v>30</v>
      </c>
      <c r="E19" s="9" t="s">
        <v>52</v>
      </c>
      <c r="F19" s="10">
        <v>262</v>
      </c>
      <c r="G19" s="9" t="s">
        <v>62</v>
      </c>
      <c r="H19" s="10">
        <v>355</v>
      </c>
      <c r="I19" s="9"/>
      <c r="J19" s="10">
        <v>180</v>
      </c>
      <c r="K19" s="9"/>
      <c r="L19" s="9">
        <v>120</v>
      </c>
      <c r="M19" s="9"/>
      <c r="N19" s="9">
        <v>120</v>
      </c>
      <c r="O19" s="9"/>
      <c r="P19" s="9">
        <v>120</v>
      </c>
      <c r="Q19" s="9"/>
      <c r="R19" s="9">
        <v>120</v>
      </c>
      <c r="S19" s="9" t="s">
        <v>46</v>
      </c>
      <c r="T19" s="9">
        <f>4*60</f>
        <v>240</v>
      </c>
      <c r="Y19" s="7">
        <f>AVERAGE(F19,H19,J19)</f>
        <v>265.66666666666669</v>
      </c>
      <c r="Z19" s="7">
        <f>MEDIAN(F19,H19,J19)</f>
        <v>262</v>
      </c>
      <c r="AA19" s="7">
        <f>Z19/60</f>
        <v>4.3666666666666663</v>
      </c>
    </row>
    <row r="20" spans="1:27" s="35" customFormat="1">
      <c r="A20" s="34" t="s">
        <v>3</v>
      </c>
      <c r="B20" s="34" t="s">
        <v>4</v>
      </c>
      <c r="C20" s="42" t="s">
        <v>5</v>
      </c>
      <c r="D20" s="42"/>
      <c r="E20" s="42" t="s">
        <v>6</v>
      </c>
      <c r="F20" s="42"/>
      <c r="V20" s="28"/>
    </row>
    <row r="21" spans="1:27" ht="24.75">
      <c r="A21" s="37" t="s">
        <v>20</v>
      </c>
      <c r="B21" s="9" t="s">
        <v>0</v>
      </c>
      <c r="C21" s="9" t="s">
        <v>8</v>
      </c>
      <c r="D21" s="10" t="s">
        <v>9</v>
      </c>
      <c r="E21" s="9" t="s">
        <v>8</v>
      </c>
      <c r="F21" s="9" t="s">
        <v>9</v>
      </c>
    </row>
    <row r="22" spans="1:27" ht="36.75">
      <c r="A22" s="37"/>
      <c r="B22" s="9" t="s">
        <v>10</v>
      </c>
      <c r="C22" s="31" t="s">
        <v>127</v>
      </c>
      <c r="D22" s="10">
        <v>48</v>
      </c>
      <c r="E22" s="9"/>
      <c r="F22" s="9"/>
    </row>
    <row r="23" spans="1:27" ht="24.75">
      <c r="A23" s="37"/>
      <c r="B23" s="9" t="s">
        <v>11</v>
      </c>
      <c r="C23" s="9"/>
      <c r="D23" s="9">
        <v>49</v>
      </c>
      <c r="E23" s="9"/>
      <c r="F23" s="9"/>
    </row>
    <row r="24" spans="1:27">
      <c r="A24" s="37"/>
      <c r="B24" s="9" t="s">
        <v>12</v>
      </c>
      <c r="C24" s="9" t="s">
        <v>58</v>
      </c>
      <c r="D24" s="10">
        <v>104</v>
      </c>
      <c r="E24" s="9"/>
      <c r="F24" s="9"/>
    </row>
    <row r="25" spans="1:27" ht="36.75">
      <c r="A25" s="37"/>
      <c r="B25" s="9" t="s">
        <v>13</v>
      </c>
      <c r="C25" s="9" t="s">
        <v>125</v>
      </c>
      <c r="D25" s="10">
        <v>210</v>
      </c>
      <c r="E25" s="9"/>
      <c r="F25" s="9"/>
    </row>
    <row r="26" spans="1:27" ht="24.75">
      <c r="A26" s="37"/>
      <c r="B26" s="9" t="s">
        <v>14</v>
      </c>
      <c r="C26" s="9" t="s">
        <v>126</v>
      </c>
      <c r="D26" s="10">
        <v>35</v>
      </c>
      <c r="E26" s="9"/>
      <c r="F26" s="9"/>
    </row>
    <row r="27" spans="1:27" ht="36.75">
      <c r="A27" s="37"/>
      <c r="B27" s="9" t="s">
        <v>15</v>
      </c>
      <c r="C27" s="33" t="s">
        <v>130</v>
      </c>
      <c r="D27" s="10">
        <v>525</v>
      </c>
      <c r="E27" s="9"/>
      <c r="F27" s="9"/>
    </row>
    <row r="28" spans="1:27">
      <c r="A28" s="37"/>
      <c r="B28" s="9" t="s">
        <v>16</v>
      </c>
      <c r="C28" s="9"/>
      <c r="D28" s="10"/>
      <c r="E28" s="9"/>
      <c r="F28" s="9"/>
    </row>
    <row r="29" spans="1:27">
      <c r="A29" s="37"/>
      <c r="B29" s="9" t="s">
        <v>17</v>
      </c>
      <c r="C29" s="9"/>
      <c r="D29" s="10">
        <f>27*60+25</f>
        <v>1645</v>
      </c>
      <c r="E29" s="9"/>
      <c r="F29" s="9"/>
    </row>
    <row r="30" spans="1:27">
      <c r="A30" s="37"/>
      <c r="B30" s="9" t="s">
        <v>18</v>
      </c>
      <c r="C30" s="9" t="s">
        <v>128</v>
      </c>
      <c r="D30" s="10">
        <v>239</v>
      </c>
      <c r="E30" s="9"/>
      <c r="F30" s="9"/>
    </row>
    <row r="31" spans="1:27">
      <c r="A31" s="37"/>
      <c r="B31" s="9" t="s">
        <v>19</v>
      </c>
      <c r="C31" s="9"/>
      <c r="D31" s="17">
        <v>186</v>
      </c>
      <c r="E31" s="9"/>
      <c r="F31" s="9"/>
    </row>
    <row r="32" spans="1:27" ht="45">
      <c r="B32" s="33" t="s">
        <v>129</v>
      </c>
      <c r="C32" s="36" t="s">
        <v>131</v>
      </c>
      <c r="D32" s="17">
        <v>1003</v>
      </c>
    </row>
    <row r="37" spans="1:3">
      <c r="A37" s="7" t="s">
        <v>40</v>
      </c>
      <c r="B37" s="7" t="s">
        <v>7</v>
      </c>
      <c r="C37" s="7" t="s">
        <v>41</v>
      </c>
    </row>
    <row r="38" spans="1:3">
      <c r="B38" s="7">
        <v>4</v>
      </c>
    </row>
  </sheetData>
  <mergeCells count="16">
    <mergeCell ref="A21:A31"/>
    <mergeCell ref="A1:XFD1"/>
    <mergeCell ref="A2:XFD2"/>
    <mergeCell ref="C3:D3"/>
    <mergeCell ref="E3:F3"/>
    <mergeCell ref="A4:A19"/>
    <mergeCell ref="C20:D20"/>
    <mergeCell ref="E20:F20"/>
    <mergeCell ref="G3:H3"/>
    <mergeCell ref="I3:J3"/>
    <mergeCell ref="K3:L3"/>
    <mergeCell ref="M3:N3"/>
    <mergeCell ref="O3:P3"/>
    <mergeCell ref="Q3:R3"/>
    <mergeCell ref="S3:T3"/>
    <mergeCell ref="U3:V3"/>
  </mergeCell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dimension ref="A1:C6"/>
  <sheetViews>
    <sheetView workbookViewId="0">
      <selection activeCell="A7" sqref="A7"/>
    </sheetView>
  </sheetViews>
  <sheetFormatPr defaultColWidth="8.85546875" defaultRowHeight="15"/>
  <cols>
    <col min="2" max="2" width="14.140625" style="1" customWidth="1"/>
    <col min="3" max="3" width="14.42578125" customWidth="1"/>
  </cols>
  <sheetData>
    <row r="1" spans="1:3" s="4" customFormat="1" ht="18.75">
      <c r="A1" s="4" t="s">
        <v>21</v>
      </c>
    </row>
    <row r="2" spans="1:3" s="3" customFormat="1" ht="30">
      <c r="B2" s="2" t="s">
        <v>22</v>
      </c>
      <c r="C2" s="2" t="s">
        <v>23</v>
      </c>
    </row>
    <row r="3" spans="1:3" ht="30">
      <c r="A3">
        <v>1</v>
      </c>
      <c r="B3" s="1" t="s">
        <v>24</v>
      </c>
      <c r="C3" t="s">
        <v>28</v>
      </c>
    </row>
    <row r="4" spans="1:3" ht="30">
      <c r="A4">
        <v>2</v>
      </c>
      <c r="B4" s="1" t="s">
        <v>25</v>
      </c>
      <c r="C4" t="s">
        <v>28</v>
      </c>
    </row>
    <row r="5" spans="1:3" ht="30">
      <c r="A5">
        <v>3</v>
      </c>
      <c r="B5" s="1" t="s">
        <v>26</v>
      </c>
    </row>
    <row r="6" spans="1:3" ht="30">
      <c r="A6">
        <v>4</v>
      </c>
      <c r="B6" s="1" t="s">
        <v>27</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Q44"/>
  <sheetViews>
    <sheetView zoomScale="160" zoomScaleNormal="160" zoomScalePageLayoutView="160" workbookViewId="0">
      <selection activeCell="D15" sqref="D15"/>
    </sheetView>
  </sheetViews>
  <sheetFormatPr defaultColWidth="8.85546875" defaultRowHeight="15"/>
  <cols>
    <col min="1" max="7" width="8.85546875" style="22"/>
    <col min="8" max="8" width="18.140625" style="22" customWidth="1"/>
    <col min="9" max="16384" width="8.85546875" style="22"/>
  </cols>
  <sheetData>
    <row r="1" spans="1:17">
      <c r="A1" s="19" t="s">
        <v>0</v>
      </c>
      <c r="B1" s="20" t="s">
        <v>71</v>
      </c>
      <c r="C1" s="21" t="s">
        <v>71</v>
      </c>
      <c r="D1" s="21" t="s">
        <v>71</v>
      </c>
      <c r="E1" s="21" t="s">
        <v>71</v>
      </c>
      <c r="H1" s="19" t="s">
        <v>0</v>
      </c>
      <c r="I1" s="19" t="s">
        <v>71</v>
      </c>
      <c r="J1" s="19" t="s">
        <v>9</v>
      </c>
      <c r="K1" s="19" t="s">
        <v>17</v>
      </c>
      <c r="L1" s="23"/>
      <c r="M1" s="23"/>
      <c r="N1" s="19" t="s">
        <v>18</v>
      </c>
      <c r="O1" s="23"/>
      <c r="P1" s="23"/>
      <c r="Q1" s="19" t="s">
        <v>19</v>
      </c>
    </row>
    <row r="2" spans="1:17">
      <c r="A2" s="19" t="s">
        <v>10</v>
      </c>
      <c r="B2" s="20" t="s">
        <v>30</v>
      </c>
      <c r="C2" s="20">
        <v>183</v>
      </c>
      <c r="D2" s="20">
        <v>20</v>
      </c>
      <c r="E2" s="20">
        <v>210</v>
      </c>
      <c r="H2" s="20" t="s">
        <v>74</v>
      </c>
      <c r="I2" s="20">
        <v>183</v>
      </c>
      <c r="J2" s="22">
        <f>I2/60</f>
        <v>3.05</v>
      </c>
      <c r="L2" s="24"/>
      <c r="M2" s="24"/>
      <c r="N2" s="20">
        <v>150</v>
      </c>
      <c r="O2" s="24"/>
      <c r="P2" s="24"/>
      <c r="Q2" s="20" t="s">
        <v>30</v>
      </c>
    </row>
    <row r="3" spans="1:17">
      <c r="A3" s="19" t="s">
        <v>11</v>
      </c>
      <c r="B3" s="20">
        <v>140</v>
      </c>
      <c r="C3" s="20">
        <v>240</v>
      </c>
      <c r="D3" s="20">
        <v>105</v>
      </c>
      <c r="E3" s="20">
        <v>155</v>
      </c>
      <c r="H3" s="20" t="s">
        <v>74</v>
      </c>
      <c r="I3" s="20">
        <v>20</v>
      </c>
      <c r="J3" s="22">
        <f t="shared" ref="J3:J44" si="0">I3/60</f>
        <v>0.33333333333333331</v>
      </c>
      <c r="L3" s="24"/>
      <c r="M3" s="24"/>
      <c r="N3" s="20">
        <v>120</v>
      </c>
      <c r="O3" s="24"/>
      <c r="P3" s="24"/>
      <c r="Q3" s="20">
        <v>262</v>
      </c>
    </row>
    <row r="4" spans="1:17">
      <c r="A4" s="19" t="s">
        <v>12</v>
      </c>
      <c r="B4" s="20">
        <v>80</v>
      </c>
      <c r="C4" s="20">
        <v>350</v>
      </c>
      <c r="D4" s="20">
        <v>151</v>
      </c>
      <c r="E4" s="20">
        <v>210</v>
      </c>
      <c r="H4" s="20" t="s">
        <v>74</v>
      </c>
      <c r="I4" s="20">
        <v>210</v>
      </c>
      <c r="J4" s="22">
        <f t="shared" si="0"/>
        <v>3.5</v>
      </c>
      <c r="L4" s="24"/>
      <c r="M4" s="24"/>
      <c r="N4" s="20">
        <v>165</v>
      </c>
      <c r="O4" s="24"/>
      <c r="P4" s="24"/>
      <c r="Q4" s="20">
        <v>355</v>
      </c>
    </row>
    <row r="5" spans="1:17">
      <c r="A5" s="19" t="s">
        <v>13</v>
      </c>
      <c r="B5" s="20">
        <v>257</v>
      </c>
      <c r="C5" s="20">
        <v>162</v>
      </c>
      <c r="D5" s="20">
        <v>210</v>
      </c>
      <c r="E5" s="20">
        <v>450</v>
      </c>
      <c r="H5" s="21" t="s">
        <v>75</v>
      </c>
      <c r="I5" s="20">
        <v>140</v>
      </c>
      <c r="J5" s="22">
        <f t="shared" si="0"/>
        <v>2.3333333333333335</v>
      </c>
      <c r="L5" s="27">
        <v>600</v>
      </c>
      <c r="M5" s="27">
        <v>300</v>
      </c>
      <c r="N5" s="28">
        <v>660</v>
      </c>
      <c r="O5" s="24">
        <v>600</v>
      </c>
      <c r="P5" s="24">
        <v>60</v>
      </c>
      <c r="Q5" s="20">
        <v>180</v>
      </c>
    </row>
    <row r="6" spans="1:17">
      <c r="A6" s="23"/>
      <c r="B6" s="24"/>
      <c r="C6" s="24">
        <v>870</v>
      </c>
      <c r="D6" s="25"/>
      <c r="E6" s="25"/>
      <c r="H6" s="21" t="s">
        <v>75</v>
      </c>
      <c r="I6" s="20">
        <v>240</v>
      </c>
      <c r="J6" s="22">
        <f t="shared" si="0"/>
        <v>4</v>
      </c>
    </row>
    <row r="7" spans="1:17">
      <c r="A7" s="19" t="s">
        <v>14</v>
      </c>
      <c r="B7" s="20">
        <v>78</v>
      </c>
      <c r="C7" s="20">
        <v>60</v>
      </c>
      <c r="D7" s="20">
        <v>124</v>
      </c>
      <c r="E7" s="20">
        <v>220</v>
      </c>
      <c r="H7" s="21" t="s">
        <v>75</v>
      </c>
      <c r="I7" s="20">
        <v>105</v>
      </c>
      <c r="J7" s="22">
        <f t="shared" si="0"/>
        <v>1.75</v>
      </c>
    </row>
    <row r="8" spans="1:17">
      <c r="A8" s="19" t="s">
        <v>15</v>
      </c>
      <c r="B8" s="20">
        <v>1048</v>
      </c>
      <c r="C8" s="20">
        <v>1140</v>
      </c>
      <c r="D8" s="26">
        <v>2190</v>
      </c>
      <c r="E8" s="20">
        <v>3600</v>
      </c>
      <c r="H8" s="21" t="s">
        <v>75</v>
      </c>
      <c r="I8" s="20">
        <v>155</v>
      </c>
      <c r="J8" s="22">
        <f t="shared" si="0"/>
        <v>2.5833333333333335</v>
      </c>
    </row>
    <row r="9" spans="1:17">
      <c r="A9" s="19" t="s">
        <v>16</v>
      </c>
      <c r="B9" s="20">
        <v>240</v>
      </c>
      <c r="C9" s="20">
        <v>180</v>
      </c>
      <c r="D9" s="20">
        <v>20</v>
      </c>
      <c r="E9" s="20">
        <v>126</v>
      </c>
      <c r="H9" s="29" t="s">
        <v>76</v>
      </c>
      <c r="I9" s="20">
        <v>80</v>
      </c>
      <c r="J9" s="22">
        <f t="shared" si="0"/>
        <v>1.3333333333333333</v>
      </c>
    </row>
    <row r="10" spans="1:17">
      <c r="A10" s="19" t="s">
        <v>17</v>
      </c>
      <c r="B10" s="20">
        <v>795</v>
      </c>
      <c r="C10" s="20">
        <v>1260</v>
      </c>
      <c r="D10" s="20">
        <v>225</v>
      </c>
      <c r="E10" s="26">
        <v>1510</v>
      </c>
      <c r="H10" s="29" t="s">
        <v>76</v>
      </c>
      <c r="I10" s="20">
        <v>350</v>
      </c>
      <c r="J10" s="22">
        <f t="shared" si="0"/>
        <v>5.833333333333333</v>
      </c>
    </row>
    <row r="11" spans="1:17">
      <c r="A11" s="23"/>
      <c r="B11" s="24"/>
      <c r="C11" s="24"/>
      <c r="D11" s="24"/>
      <c r="E11" s="27">
        <v>600</v>
      </c>
      <c r="H11" s="29" t="s">
        <v>76</v>
      </c>
      <c r="I11" s="20">
        <v>151</v>
      </c>
      <c r="J11" s="22">
        <f t="shared" si="0"/>
        <v>2.5166666666666666</v>
      </c>
    </row>
    <row r="12" spans="1:17">
      <c r="A12" s="23"/>
      <c r="B12" s="24"/>
      <c r="C12" s="24"/>
      <c r="D12" s="24"/>
      <c r="E12" s="27">
        <v>300</v>
      </c>
      <c r="H12" s="29" t="s">
        <v>76</v>
      </c>
      <c r="I12" s="20">
        <v>210</v>
      </c>
      <c r="J12" s="22">
        <f t="shared" si="0"/>
        <v>3.5</v>
      </c>
    </row>
    <row r="13" spans="1:17">
      <c r="A13" s="19" t="s">
        <v>18</v>
      </c>
      <c r="B13" s="20">
        <v>150</v>
      </c>
      <c r="C13" s="20">
        <v>120</v>
      </c>
      <c r="D13" s="20">
        <v>165</v>
      </c>
      <c r="E13" s="28">
        <v>660</v>
      </c>
      <c r="H13" s="29" t="s">
        <v>77</v>
      </c>
      <c r="I13" s="20">
        <v>257</v>
      </c>
      <c r="J13" s="22">
        <f t="shared" si="0"/>
        <v>4.2833333333333332</v>
      </c>
    </row>
    <row r="14" spans="1:17">
      <c r="A14" s="23"/>
      <c r="B14" s="24"/>
      <c r="C14" s="24"/>
      <c r="D14" s="24"/>
      <c r="E14" s="24">
        <v>600</v>
      </c>
      <c r="H14" s="29" t="s">
        <v>77</v>
      </c>
      <c r="I14" s="20">
        <v>162</v>
      </c>
      <c r="J14" s="22">
        <f t="shared" si="0"/>
        <v>2.7</v>
      </c>
    </row>
    <row r="15" spans="1:17">
      <c r="A15" s="23"/>
      <c r="B15" s="24"/>
      <c r="C15" s="24"/>
      <c r="D15" s="24"/>
      <c r="E15" s="24">
        <v>60</v>
      </c>
      <c r="H15" s="29" t="s">
        <v>77</v>
      </c>
      <c r="I15" s="20">
        <v>210</v>
      </c>
      <c r="J15" s="22">
        <f t="shared" si="0"/>
        <v>3.5</v>
      </c>
    </row>
    <row r="16" spans="1:17">
      <c r="A16" s="19" t="s">
        <v>19</v>
      </c>
      <c r="B16" s="20" t="s">
        <v>30</v>
      </c>
      <c r="C16" s="20">
        <v>262</v>
      </c>
      <c r="D16" s="20">
        <v>355</v>
      </c>
      <c r="E16" s="20">
        <v>180</v>
      </c>
      <c r="H16" s="29" t="s">
        <v>77</v>
      </c>
      <c r="I16" s="20">
        <v>450</v>
      </c>
      <c r="J16" s="22">
        <f t="shared" si="0"/>
        <v>7.5</v>
      </c>
    </row>
    <row r="17" spans="8:10">
      <c r="H17" s="29" t="s">
        <v>77</v>
      </c>
      <c r="I17" s="24">
        <v>870</v>
      </c>
      <c r="J17" s="22">
        <f t="shared" si="0"/>
        <v>14.5</v>
      </c>
    </row>
    <row r="18" spans="8:10">
      <c r="H18" s="29" t="s">
        <v>78</v>
      </c>
      <c r="I18" s="20">
        <v>78</v>
      </c>
      <c r="J18" s="22">
        <f t="shared" si="0"/>
        <v>1.3</v>
      </c>
    </row>
    <row r="19" spans="8:10">
      <c r="H19" s="29" t="s">
        <v>78</v>
      </c>
      <c r="I19" s="20">
        <v>60</v>
      </c>
      <c r="J19" s="22">
        <f t="shared" si="0"/>
        <v>1</v>
      </c>
    </row>
    <row r="20" spans="8:10">
      <c r="H20" s="29" t="s">
        <v>78</v>
      </c>
      <c r="I20" s="20">
        <v>124</v>
      </c>
      <c r="J20" s="22">
        <f t="shared" si="0"/>
        <v>2.0666666666666669</v>
      </c>
    </row>
    <row r="21" spans="8:10">
      <c r="H21" s="29" t="s">
        <v>78</v>
      </c>
      <c r="I21" s="20">
        <v>220</v>
      </c>
      <c r="J21" s="22">
        <f t="shared" si="0"/>
        <v>3.6666666666666665</v>
      </c>
    </row>
    <row r="22" spans="8:10">
      <c r="H22" s="29" t="s">
        <v>79</v>
      </c>
      <c r="I22" s="20">
        <v>1048</v>
      </c>
      <c r="J22" s="22">
        <f t="shared" si="0"/>
        <v>17.466666666666665</v>
      </c>
    </row>
    <row r="23" spans="8:10">
      <c r="H23" s="29" t="s">
        <v>79</v>
      </c>
      <c r="I23" s="20">
        <v>1140</v>
      </c>
      <c r="J23" s="22">
        <f t="shared" si="0"/>
        <v>19</v>
      </c>
    </row>
    <row r="24" spans="8:10">
      <c r="H24" s="29" t="s">
        <v>79</v>
      </c>
      <c r="I24" s="26">
        <v>2190</v>
      </c>
      <c r="J24" s="22">
        <f t="shared" si="0"/>
        <v>36.5</v>
      </c>
    </row>
    <row r="25" spans="8:10">
      <c r="H25" s="29" t="s">
        <v>79</v>
      </c>
      <c r="I25" s="20">
        <v>3600</v>
      </c>
      <c r="J25" s="22">
        <f t="shared" si="0"/>
        <v>60</v>
      </c>
    </row>
    <row r="26" spans="8:10">
      <c r="H26" s="29" t="s">
        <v>80</v>
      </c>
      <c r="I26" s="20">
        <v>240</v>
      </c>
      <c r="J26" s="22">
        <f t="shared" si="0"/>
        <v>4</v>
      </c>
    </row>
    <row r="27" spans="8:10">
      <c r="H27" s="29" t="s">
        <v>80</v>
      </c>
      <c r="I27" s="20">
        <v>180</v>
      </c>
      <c r="J27" s="22">
        <f t="shared" si="0"/>
        <v>3</v>
      </c>
    </row>
    <row r="28" spans="8:10">
      <c r="H28" s="29" t="s">
        <v>80</v>
      </c>
      <c r="I28" s="20">
        <v>20</v>
      </c>
      <c r="J28" s="22">
        <f t="shared" si="0"/>
        <v>0.33333333333333331</v>
      </c>
    </row>
    <row r="29" spans="8:10">
      <c r="H29" s="29" t="s">
        <v>80</v>
      </c>
      <c r="I29" s="20">
        <v>126</v>
      </c>
      <c r="J29" s="22">
        <f t="shared" si="0"/>
        <v>2.1</v>
      </c>
    </row>
    <row r="30" spans="8:10">
      <c r="H30" s="29" t="s">
        <v>81</v>
      </c>
      <c r="I30" s="20">
        <v>795</v>
      </c>
      <c r="J30" s="22">
        <f t="shared" si="0"/>
        <v>13.25</v>
      </c>
    </row>
    <row r="31" spans="8:10">
      <c r="H31" s="29" t="s">
        <v>81</v>
      </c>
      <c r="I31" s="20">
        <v>1260</v>
      </c>
      <c r="J31" s="22">
        <f t="shared" si="0"/>
        <v>21</v>
      </c>
    </row>
    <row r="32" spans="8:10">
      <c r="H32" s="29" t="s">
        <v>81</v>
      </c>
      <c r="I32" s="20">
        <v>225</v>
      </c>
      <c r="J32" s="22">
        <f t="shared" si="0"/>
        <v>3.75</v>
      </c>
    </row>
    <row r="33" spans="8:10">
      <c r="H33" s="29" t="s">
        <v>81</v>
      </c>
      <c r="I33" s="26">
        <v>1510</v>
      </c>
      <c r="J33" s="22">
        <f t="shared" si="0"/>
        <v>25.166666666666668</v>
      </c>
    </row>
    <row r="34" spans="8:10">
      <c r="H34" s="29" t="s">
        <v>81</v>
      </c>
      <c r="I34" s="30">
        <v>600</v>
      </c>
      <c r="J34" s="22">
        <f t="shared" si="0"/>
        <v>10</v>
      </c>
    </row>
    <row r="35" spans="8:10">
      <c r="H35" s="29" t="s">
        <v>81</v>
      </c>
      <c r="I35" s="30">
        <v>300</v>
      </c>
      <c r="J35" s="22">
        <f t="shared" si="0"/>
        <v>5</v>
      </c>
    </row>
    <row r="36" spans="8:10">
      <c r="H36" s="29" t="s">
        <v>82</v>
      </c>
      <c r="I36" s="20">
        <v>150</v>
      </c>
      <c r="J36" s="22">
        <f t="shared" si="0"/>
        <v>2.5</v>
      </c>
    </row>
    <row r="37" spans="8:10">
      <c r="H37" s="29" t="s">
        <v>82</v>
      </c>
      <c r="I37" s="20">
        <v>120</v>
      </c>
      <c r="J37" s="22">
        <f t="shared" si="0"/>
        <v>2</v>
      </c>
    </row>
    <row r="38" spans="8:10">
      <c r="H38" s="29" t="s">
        <v>82</v>
      </c>
      <c r="I38" s="20">
        <v>165</v>
      </c>
      <c r="J38" s="22">
        <f t="shared" si="0"/>
        <v>2.75</v>
      </c>
    </row>
    <row r="39" spans="8:10">
      <c r="H39" s="29" t="s">
        <v>82</v>
      </c>
      <c r="I39" s="28">
        <v>660</v>
      </c>
      <c r="J39" s="22">
        <f t="shared" si="0"/>
        <v>11</v>
      </c>
    </row>
    <row r="40" spans="8:10">
      <c r="H40" s="29" t="s">
        <v>82</v>
      </c>
      <c r="I40" s="30">
        <v>600</v>
      </c>
      <c r="J40" s="22">
        <f t="shared" si="0"/>
        <v>10</v>
      </c>
    </row>
    <row r="41" spans="8:10">
      <c r="H41" s="29" t="s">
        <v>82</v>
      </c>
      <c r="I41" s="30">
        <v>60</v>
      </c>
      <c r="J41" s="22">
        <f t="shared" si="0"/>
        <v>1</v>
      </c>
    </row>
    <row r="42" spans="8:10">
      <c r="H42" s="29" t="s">
        <v>83</v>
      </c>
      <c r="I42" s="20">
        <v>262</v>
      </c>
      <c r="J42" s="22">
        <f t="shared" si="0"/>
        <v>4.3666666666666663</v>
      </c>
    </row>
    <row r="43" spans="8:10">
      <c r="H43" s="29" t="s">
        <v>83</v>
      </c>
      <c r="I43" s="20">
        <v>355</v>
      </c>
      <c r="J43" s="22">
        <f t="shared" si="0"/>
        <v>5.916666666666667</v>
      </c>
    </row>
    <row r="44" spans="8:10">
      <c r="H44" s="29" t="s">
        <v>83</v>
      </c>
      <c r="I44" s="20">
        <v>180</v>
      </c>
      <c r="J44" s="22">
        <f t="shared" si="0"/>
        <v>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Collection Form</vt:lpstr>
      <vt:lpstr>Surgeon Consent</vt:lpstr>
      <vt:lpstr>Sheet3</vt:lpstr>
    </vt:vector>
  </TitlesOfParts>
  <Company>HSC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Arushri Swarup</dc:creator>
  <cp:lastModifiedBy>Arushri Swarup</cp:lastModifiedBy>
  <cp:lastPrinted>2017-04-04T11:29:01Z</cp:lastPrinted>
  <dcterms:created xsi:type="dcterms:W3CDTF">2016-10-11T23:40:50Z</dcterms:created>
  <dcterms:modified xsi:type="dcterms:W3CDTF">2017-06-12T00:57:35Z</dcterms:modified>
</cp:coreProperties>
</file>