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uate-School/Time Flow Study/"/>
    </mc:Choice>
  </mc:AlternateContent>
  <bookViews>
    <workbookView xWindow="0" yWindow="460" windowWidth="28800" windowHeight="16300"/>
  </bookViews>
  <sheets>
    <sheet name="Data Collection Form" sheetId="1" r:id="rId1"/>
    <sheet name="Surgeon Consent" sheetId="2" r:id="rId2"/>
    <sheet name="Sheet3"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16" i="1" l="1"/>
  <c r="Z13" i="1"/>
  <c r="Y13" i="1"/>
  <c r="Y12" i="1"/>
  <c r="Z11" i="1"/>
  <c r="Y11" i="1"/>
  <c r="Z10" i="1"/>
  <c r="Y10" i="1"/>
  <c r="Z8" i="1"/>
  <c r="Y8" i="1"/>
  <c r="Y7" i="1"/>
  <c r="Z7" i="1"/>
  <c r="Z6" i="1"/>
  <c r="Y6" i="1"/>
  <c r="Z5" i="1"/>
  <c r="Y5" i="1"/>
  <c r="D29" i="1"/>
  <c r="T19" i="1"/>
  <c r="T13" i="1"/>
  <c r="T11" i="1"/>
  <c r="T10" i="1"/>
  <c r="T9" i="1"/>
  <c r="T8" i="1"/>
  <c r="T7" i="1"/>
  <c r="T6" i="1"/>
  <c r="T5" i="1"/>
  <c r="R13" i="1"/>
  <c r="R11" i="1"/>
  <c r="R10" i="1"/>
  <c r="R9" i="1"/>
  <c r="R8" i="1"/>
  <c r="R7" i="1"/>
  <c r="R6" i="1"/>
  <c r="P16" i="1"/>
  <c r="P13" i="1"/>
  <c r="P6" i="1"/>
  <c r="Z19" i="1"/>
  <c r="AA19" i="1"/>
  <c r="Z16" i="1"/>
  <c r="AA16" i="1"/>
  <c r="AA11" i="1"/>
  <c r="Z12" i="1"/>
  <c r="AA12" i="1"/>
  <c r="AA13" i="1"/>
  <c r="AA10" i="1"/>
  <c r="AA6" i="1"/>
  <c r="AA7" i="1"/>
  <c r="AA8" i="1"/>
  <c r="AA5" i="1"/>
  <c r="Y19" i="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2" i="3"/>
</calcChain>
</file>

<file path=xl/sharedStrings.xml><?xml version="1.0" encoding="utf-8"?>
<sst xmlns="http://schemas.openxmlformats.org/spreadsheetml/2006/main" count="241" uniqueCount="132">
  <si>
    <t>Step</t>
  </si>
  <si>
    <t>Appendix B: Data Collection Form for the Time Flow Study</t>
  </si>
  <si>
    <t>Time Flow Study Data Collection Form V-1 27-Oct-2016</t>
  </si>
  <si>
    <t>Surgery:</t>
  </si>
  <si>
    <t xml:space="preserve"> </t>
  </si>
  <si>
    <t xml:space="preserve"> Study Number: XXXXX</t>
  </si>
  <si>
    <t>Study Number: XXXXX</t>
  </si>
  <si>
    <t>Tympanoplasty</t>
  </si>
  <si>
    <t>Date/notes</t>
  </si>
  <si>
    <t>Time (min)</t>
  </si>
  <si>
    <t>Cleaning Out Ear canal</t>
  </si>
  <si>
    <t>Injecting Anaesthesia</t>
  </si>
  <si>
    <t>Hair Trimming</t>
  </si>
  <si>
    <t>Cleaning Edges of Perforation</t>
  </si>
  <si>
    <t>Making Skin Incision</t>
  </si>
  <si>
    <t>Raising Flap</t>
  </si>
  <si>
    <t>Preparing Graft</t>
  </si>
  <si>
    <t>Placing Graft</t>
  </si>
  <si>
    <t>Replacing Flap</t>
  </si>
  <si>
    <t>Packing Ear Canal</t>
  </si>
  <si>
    <t>Cholesteatoma Removal</t>
  </si>
  <si>
    <t>Surgeon Consent</t>
  </si>
  <si>
    <t>Surgeon</t>
  </si>
  <si>
    <t xml:space="preserve">Consent Obtained? </t>
  </si>
  <si>
    <t>Dr. Adrian James</t>
  </si>
  <si>
    <t>Dr. Sharon Cushing</t>
  </si>
  <si>
    <t>Dr. Blake Papsin</t>
  </si>
  <si>
    <t>Dr. David Pothier</t>
  </si>
  <si>
    <t>Y</t>
  </si>
  <si>
    <t xml:space="preserve"> Study Number: 65209</t>
  </si>
  <si>
    <t>N/A</t>
  </si>
  <si>
    <t>gel foam, Rosen</t>
  </si>
  <si>
    <t>Very few hairs
small and large scissors</t>
  </si>
  <si>
    <t>knife, Rosen needle, forceps, scissors, 19Ga sucker, scissors (switched between scissors and sucker 3-4 times)</t>
  </si>
  <si>
    <t>Panetti round knife, adrenaline ball, left/right Panetti sucker (primarily used. There was more bleeding in this case), forceps,thomassin</t>
  </si>
  <si>
    <t>Panetti round knife</t>
  </si>
  <si>
    <t>scissors, biodesign
cut the biodesign then placed it on the end of a syringe pump to shape it</t>
  </si>
  <si>
    <t>thomassin</t>
  </si>
  <si>
    <t>forceps, Rosen, panetti left, Rosen, thomassin, panetti left, Rosen to unfold and place the graft</t>
  </si>
  <si>
    <t>Study Number: 30918</t>
  </si>
  <si>
    <t>Ages</t>
  </si>
  <si>
    <t>Cholesteatoma</t>
  </si>
  <si>
    <t>Right tympanoplasty 04-Apr-2017 8:00 am, Dr. James, biodesign, underlay
CONSENT: yes in patient chart
didn't time cleaning out ear canal</t>
  </si>
  <si>
    <t>Study Number: 91745</t>
  </si>
  <si>
    <t>Study Number: 11773</t>
  </si>
  <si>
    <t xml:space="preserve">Study Number: </t>
  </si>
  <si>
    <t>*trainee</t>
  </si>
  <si>
    <t>18 sucker, adrenaline ball used because the kid was so young cleaning with the sucker would cause bleeding of the ear drum, rosen</t>
  </si>
  <si>
    <r>
      <rPr>
        <sz val="9"/>
        <color rgb="FF00B050"/>
        <rFont val="Arial"/>
        <family val="2"/>
      </rPr>
      <t>*trainee</t>
    </r>
    <r>
      <rPr>
        <sz val="9"/>
        <color rgb="FF000000"/>
        <rFont val="Arial"/>
        <family val="2"/>
      </rPr>
      <t xml:space="preserve">
panetti round knife </t>
    </r>
  </si>
  <si>
    <r>
      <rPr>
        <sz val="9"/>
        <color rgb="FF00B050"/>
        <rFont val="Arial"/>
        <family val="2"/>
      </rPr>
      <t xml:space="preserve">*trainee </t>
    </r>
    <r>
      <rPr>
        <sz val="9"/>
        <color rgb="FF000000"/>
        <rFont val="Arial"/>
        <family val="2"/>
      </rPr>
      <t xml:space="preserve">
cutting edge of perforation, removed one cholesteatoma on the ear drum</t>
    </r>
  </si>
  <si>
    <r>
      <rPr>
        <sz val="9"/>
        <color rgb="FF00B050"/>
        <rFont val="Arial"/>
        <family val="2"/>
      </rPr>
      <t xml:space="preserve">*trainee </t>
    </r>
    <r>
      <rPr>
        <sz val="9"/>
        <color rgb="FF000000"/>
        <rFont val="Arial"/>
        <family val="2"/>
      </rPr>
      <t xml:space="preserve">
scissors (big and small)</t>
    </r>
  </si>
  <si>
    <t>was teaching/supervising during this step
used syringe plug top to shape the graft</t>
  </si>
  <si>
    <t xml:space="preserve">gel foam </t>
  </si>
  <si>
    <r>
      <rPr>
        <sz val="9"/>
        <color rgb="FF00B050"/>
        <rFont val="Arial"/>
        <family val="2"/>
      </rPr>
      <t>*trainee + Dr. James</t>
    </r>
    <r>
      <rPr>
        <sz val="9"/>
        <color rgb="FF000000"/>
        <rFont val="Arial"/>
        <family val="2"/>
      </rPr>
      <t xml:space="preserve">
30deg scope
forceps to introduce graft, Rosen</t>
    </r>
  </si>
  <si>
    <t>Left tympanoplasty 11-Apr-2017 11:00 am, Dr. James, biodesign, interlay
CONSENT: yes in patient chart</t>
  </si>
  <si>
    <t>used single handed ear hair trimmer but it didn't get the hairs at the lateral part of the ear canal because trimmer would have to be oriented sideways 
middle ear scissors</t>
  </si>
  <si>
    <t>suction, forceps, knife, suction, forceps, adrenaline ball</t>
  </si>
  <si>
    <t>while teaching/showing how to do this step
P. Round knife</t>
  </si>
  <si>
    <t>scissors</t>
  </si>
  <si>
    <r>
      <rPr>
        <sz val="9"/>
        <color rgb="FF00B050"/>
        <rFont val="Arial"/>
        <family val="2"/>
      </rPr>
      <t>*trainee + Dr. James</t>
    </r>
    <r>
      <rPr>
        <sz val="9"/>
        <color rgb="FF000000"/>
        <rFont val="Arial"/>
        <family val="2"/>
      </rPr>
      <t xml:space="preserve">
alligator forceps, Rosen, Derlacki, Rosen, 18 sucker, Derlacki</t>
    </r>
  </si>
  <si>
    <r>
      <rPr>
        <sz val="9"/>
        <color rgb="FF00B050"/>
        <rFont val="Arial"/>
        <family val="2"/>
      </rPr>
      <t>*trainee + Dr. James</t>
    </r>
    <r>
      <rPr>
        <sz val="9"/>
        <color rgb="FF000000"/>
        <rFont val="Arial"/>
        <family val="2"/>
      </rPr>
      <t xml:space="preserve">
Derlacki, 18 sucker</t>
    </r>
  </si>
  <si>
    <r>
      <rPr>
        <sz val="9"/>
        <color rgb="FF00B050"/>
        <rFont val="Arial"/>
        <family val="2"/>
      </rPr>
      <t>*trainee + Dr. James</t>
    </r>
    <r>
      <rPr>
        <sz val="9"/>
        <color rgb="FF000000"/>
        <rFont val="Arial"/>
        <family val="2"/>
      </rPr>
      <t xml:space="preserve">
P. Round knife, P. Left, adrenaline ball, P. Left, P. Right
Dr. James took over at 10:10 then at 27:00
sometimes need a different angle to properly approach the flap and raise it - sometimes need a steep angle, sometimes flat therefore a bendable tip with the round knife tip might help achieving the appropriate angle for different anatomy BUT the tip needs to be stiff </t>
    </r>
  </si>
  <si>
    <r>
      <rPr>
        <sz val="9"/>
        <color rgb="FF00B050"/>
        <rFont val="Arial"/>
        <family val="2"/>
      </rPr>
      <t>*trainee + Dr. James</t>
    </r>
    <r>
      <rPr>
        <sz val="9"/>
        <color rgb="FF000000"/>
        <rFont val="Arial"/>
        <family val="2"/>
      </rPr>
      <t xml:space="preserve">
gel foam</t>
    </r>
  </si>
  <si>
    <t>Right tympanoplasty 11-Apr-2017 9:00 am, Dr. James, biodesign, overlay, 2 cholesteatomas on the ear drum, short ear canal
CONSENT: yes in patient chart</t>
  </si>
  <si>
    <t>*trainee
scissors, sucker</t>
  </si>
  <si>
    <t>*trainee + Dr. James
Rosen, 19 sucker</t>
  </si>
  <si>
    <t>*trainee 
P. Round knife</t>
  </si>
  <si>
    <t xml:space="preserve">*trainee + Dr. James
P. Left, scissors, P. Right, round knife, p. Right, Beales elecator, p. Left, hughes, round knife, hughes, thomassin
v. Narrow ear canal </t>
  </si>
  <si>
    <t>wasn't the right size, so did it twice 
scissors, syringe cap</t>
  </si>
  <si>
    <t xml:space="preserve">*trainee + Dr. James
aligator forceps, derlacki, Rosen, had to re-cut the graft, took three tries to place it </t>
  </si>
  <si>
    <t>*trainee + Dr. James
straight suction</t>
  </si>
  <si>
    <t>Time (sec)</t>
  </si>
  <si>
    <r>
      <rPr>
        <sz val="9"/>
        <color rgb="FF00B050"/>
        <rFont val="Arial"/>
        <family val="2"/>
      </rPr>
      <t>*trainee</t>
    </r>
    <r>
      <rPr>
        <sz val="9"/>
        <color rgb="FF000000"/>
        <rFont val="Arial"/>
        <family val="2"/>
      </rPr>
      <t xml:space="preserve">
P. round knife, P. right to lift the flap, Dr. James took over at 3:00, adrenaline ball, P. Left , P. Right
removed the other cholesteaoma which is not a normal part of the procedure therefore delayed timing for this step </t>
    </r>
    <r>
      <rPr>
        <sz val="9"/>
        <color rgb="FFFF0000"/>
        <rFont val="Arial"/>
        <family val="2"/>
      </rPr>
      <t>(another 371sec (6:11))</t>
    </r>
  </si>
  <si>
    <t>Average</t>
  </si>
  <si>
    <t>a) Cleaning out ear canal</t>
  </si>
  <si>
    <t>b) Injecting anaesthesia</t>
  </si>
  <si>
    <t>c) Hair trimming</t>
  </si>
  <si>
    <t>d) Cleaning edges of perforation</t>
  </si>
  <si>
    <t>e) Making skin incision</t>
  </si>
  <si>
    <t>f) Raising flap</t>
  </si>
  <si>
    <t>g) Preparing graft</t>
  </si>
  <si>
    <t>h) Placing graft</t>
  </si>
  <si>
    <t>i) Replacing flap</t>
  </si>
  <si>
    <t>j) Packing ear canal</t>
  </si>
  <si>
    <t>Median (min)</t>
  </si>
  <si>
    <t>Median (s)</t>
  </si>
  <si>
    <t>Right tympanoplasty 11-Apr-2017 2:30 pm, Dr. James, biodesign, underlay narrow ear canal
more ear wax in this ear
CONSENT: yes in patient chart</t>
  </si>
  <si>
    <t>Left tympanoplasty 18-Apr-2017 11:30am, Dr. James, biodesign, interlay, adult sized ear canal
CONSENT: yes in patient chart
*trainee 
lots of ear wax
sucker, wash out, then more sucking</t>
  </si>
  <si>
    <t xml:space="preserve">*trainee </t>
  </si>
  <si>
    <t>*trainee + Dr. James
longer, thicker, more hairs than normal peds patient
scissors, ear hair trimmer -&gt; doesn't work well</t>
  </si>
  <si>
    <t>Rosen, knife, forceps to grab excised tissue</t>
  </si>
  <si>
    <t>*trainee
PRK, Dr. James was teaching/showing where to cut and then trainee cut</t>
  </si>
  <si>
    <t>*trainee + Dr. James
PRK, P. right, P. left, adrenaline ball, P. left, forceps, P. left, P. right, ball, P. left, Thomassin, P. left (or right), Thomassin, adrenaline ball
raised it bery slowly to ensure skin didn't rip
at 33:15, reached ear drum then started dissecting the layer off of it
cleaned up edges of perforation from 39:00-48:00 
Dr. James at 24:30-26:30, 33:15-end</t>
  </si>
  <si>
    <t>syringe + scissors</t>
  </si>
  <si>
    <t>*trainee + Dr. James
aligators to introduce Rosen to push in, Derlacki, took out to reposistion into era canal, aligator, Derlacki, Rosen, Derlacki, ball, sucker, P. sucker</t>
  </si>
  <si>
    <t xml:space="preserve">*trainee + Dr. James
P. left, Derlacki, sucker </t>
  </si>
  <si>
    <t xml:space="preserve">Right tympanoplasty live surgery demo from IWGEES course in Oct, 2016, Dr. James
Inlay, biodesign
sucker, round knife, was teaching and explaining </t>
  </si>
  <si>
    <t>scissors + ear hair trimmer (2-handed), scissors</t>
  </si>
  <si>
    <t>knife, Rosen, forceps, scissors, sucker, forceps, sucker</t>
  </si>
  <si>
    <t xml:space="preserve">PRK </t>
  </si>
  <si>
    <t>PRK, round knife, adren ball, PRK, Thomassin, P.R, adren ball, PR, PL, thomassin, adren ball, aligators, Thomassin, PL, forceps, PRK, adren ball, PL, Thomassin, PR, forceps, adren ball</t>
  </si>
  <si>
    <t>scalpel + block, was teaching during this step</t>
  </si>
  <si>
    <t>aligator, rosen, PL</t>
  </si>
  <si>
    <t>sucker, derlacki, PL</t>
  </si>
  <si>
    <t>Right tympanoplasty 16-May-2017 8:00am, Dr. James
biodesign, hole cut into graft to put over the handle of the malleus
CONSENT: yes in patient chart
sucker, aligator, curette</t>
  </si>
  <si>
    <t>*trainee
scissors</t>
  </si>
  <si>
    <t>Rosen, sucker, knife</t>
  </si>
  <si>
    <t>left ear - knife, forceps, sucker</t>
  </si>
  <si>
    <t>aligator, Rosen, PR, Rosen</t>
  </si>
  <si>
    <t>Rosen, derlacki, PR, derlacki, adren ball, PR, aligator, Rosen, derlacki, scissors, derlacki</t>
  </si>
  <si>
    <t>Right tympanoplasty 16-May-2017 10:30am, Dr. James
biodesign
CONSENT: yes in patient chart
sucker</t>
  </si>
  <si>
    <t>knife, Rosen, sucker, forceps</t>
  </si>
  <si>
    <t>rosen, knife, forceps, PL</t>
  </si>
  <si>
    <t>*trainee
PRK</t>
  </si>
  <si>
    <t xml:space="preserve">*trainee + Dr. James, was teaching
PRK, PL, </t>
  </si>
  <si>
    <t>*trainee + Dr. James</t>
  </si>
  <si>
    <t>***check video on memory stick - 10:30 on 16-may-2017</t>
  </si>
  <si>
    <t>Right tympanoplasty 16-May-2017 1:00 pm, Dr. James
cartilage for ossiculoplasty, biodesign
narrow canal
CONSENT: yes in patient chart
sucker</t>
  </si>
  <si>
    <t>*trainee
scissors, middle ear scissors</t>
  </si>
  <si>
    <t>round knife, sucker, adren ball, Rosen, sucker,</t>
  </si>
  <si>
    <t>*trainee irrigation, Thomassin, round knife, rosen, forceps, difficult to freshen the edges</t>
  </si>
  <si>
    <t>*trainee
PRK, adren ball, PR, incldues looking at ossicles (~17/18 mins to raise flap) ** look at video</t>
  </si>
  <si>
    <t>cartilage graft - harvesting requires open and closing of incision, trainee - 15:00
biodesign</t>
  </si>
  <si>
    <t>PL</t>
  </si>
  <si>
    <t>derlacki</t>
  </si>
  <si>
    <t>knife, rosen, forceps, removing white tissue (maybe cholesteatoma?), sucker, scissors, forceps</t>
  </si>
  <si>
    <t xml:space="preserve">PRK,  </t>
  </si>
  <si>
    <t>from a patient video - anonymized - 05142017_164947
sucker</t>
  </si>
  <si>
    <t>Thomassin, derlacki</t>
  </si>
  <si>
    <t>Removing Cholesteatoma</t>
  </si>
  <si>
    <t xml:space="preserve">PRK,  had to use curette to cut away bone lateral to the ear drum, 
</t>
  </si>
  <si>
    <t xml:space="preserve">using forceps, PL, PR to remove white cholesteatoma: 0-10:30, 0-6:13,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</si>
</sst>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rgb="FF000000"/>
      <name val="Arial"/>
      <family val="2"/>
    </font>
    <font>
      <i/>
      <sz val="11"/>
      <color rgb="FF000000"/>
      <name val="Arial"/>
      <family val="2"/>
    </font>
    <font>
      <sz val="9"/>
      <color rgb="FFFFFFFF"/>
      <name val="Arial"/>
      <family val="2"/>
    </font>
    <font>
      <sz val="9"/>
      <color rgb="FF000000"/>
      <name val="Arial"/>
      <family val="2"/>
    </font>
    <font>
      <b/>
      <sz val="11"/>
      <color theme="0"/>
      <name val="Calibri"/>
      <family val="2"/>
      <scheme val="minor"/>
    </font>
    <font>
      <sz val="14"/>
      <color theme="0"/>
      <name val="Calibri"/>
      <family val="2"/>
      <scheme val="minor"/>
    </font>
    <font>
      <sz val="9"/>
      <color rgb="FFFF0000"/>
      <name val="Arial"/>
      <family val="2"/>
    </font>
    <font>
      <sz val="9"/>
      <color rgb="FF00B050"/>
      <name val="Arial"/>
      <family val="2"/>
    </font>
    <font>
      <sz val="9"/>
      <color theme="0"/>
      <name val="Arial"/>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0" fillId="0" borderId="0" xfId="0"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applyAlignment="1"/>
    <xf numFmtId="0" fontId="4" fillId="0" borderId="0" xfId="0" quotePrefix="1" applyNumberFormat="1" applyFont="1" applyBorder="1" applyAlignment="1">
      <alignment wrapText="1"/>
    </xf>
    <xf numFmtId="0" fontId="3" fillId="2" borderId="0" xfId="0" applyFont="1" applyFill="1" applyBorder="1" applyAlignment="1">
      <alignment wrapText="1"/>
    </xf>
    <xf numFmtId="0" fontId="0" fillId="0" borderId="0" xfId="0" applyBorder="1"/>
    <xf numFmtId="0" fontId="4" fillId="4" borderId="0" xfId="0" applyFont="1" applyFill="1" applyBorder="1" applyAlignment="1">
      <alignment wrapText="1"/>
    </xf>
    <xf numFmtId="0" fontId="4" fillId="0" borderId="0" xfId="0" applyFont="1" applyBorder="1" applyAlignment="1">
      <alignment wrapText="1"/>
    </xf>
    <xf numFmtId="0" fontId="4" fillId="0" borderId="0" xfId="0" applyNumberFormat="1" applyFont="1" applyBorder="1" applyAlignment="1">
      <alignment wrapText="1"/>
    </xf>
    <xf numFmtId="0" fontId="9" fillId="5" borderId="0" xfId="0" applyFont="1" applyFill="1" applyBorder="1" applyAlignment="1">
      <alignment wrapText="1"/>
    </xf>
    <xf numFmtId="0" fontId="8" fillId="0" borderId="0" xfId="0" applyFont="1" applyBorder="1" applyAlignment="1">
      <alignment wrapText="1"/>
    </xf>
    <xf numFmtId="0" fontId="4" fillId="6" borderId="0" xfId="0" applyFont="1" applyFill="1" applyBorder="1" applyAlignment="1">
      <alignment wrapText="1"/>
    </xf>
    <xf numFmtId="0" fontId="4" fillId="6" borderId="0" xfId="0" applyNumberFormat="1" applyFont="1" applyFill="1" applyBorder="1" applyAlignment="1">
      <alignment wrapText="1"/>
    </xf>
    <xf numFmtId="0" fontId="0" fillId="6" borderId="0" xfId="0" applyNumberFormat="1" applyFill="1" applyBorder="1"/>
    <xf numFmtId="0" fontId="0" fillId="6" borderId="0" xfId="0" applyFill="1" applyBorder="1"/>
    <xf numFmtId="0" fontId="0" fillId="0" borderId="0" xfId="0" applyNumberFormat="1" applyBorder="1"/>
    <xf numFmtId="0" fontId="4" fillId="6" borderId="0" xfId="0" quotePrefix="1" applyNumberFormat="1" applyFont="1" applyFill="1" applyBorder="1" applyAlignment="1">
      <alignment wrapText="1"/>
    </xf>
    <xf numFmtId="0" fontId="4" fillId="4" borderId="0" xfId="0" applyFont="1" applyFill="1" applyBorder="1" applyAlignment="1"/>
    <xf numFmtId="0" fontId="4" fillId="0" borderId="0" xfId="0" applyNumberFormat="1" applyFont="1" applyBorder="1" applyAlignment="1"/>
    <xf numFmtId="0" fontId="4" fillId="0" borderId="0" xfId="0" applyFont="1" applyBorder="1" applyAlignment="1"/>
    <xf numFmtId="0" fontId="0" fillId="0" borderId="0" xfId="0" applyAlignment="1"/>
    <xf numFmtId="0" fontId="4" fillId="6" borderId="0" xfId="0" applyFont="1" applyFill="1" applyBorder="1" applyAlignment="1"/>
    <xf numFmtId="0" fontId="4" fillId="6" borderId="0" xfId="0" applyNumberFormat="1" applyFont="1" applyFill="1" applyBorder="1" applyAlignment="1"/>
    <xf numFmtId="0" fontId="0" fillId="6" borderId="0" xfId="0" applyNumberFormat="1" applyFill="1" applyBorder="1" applyAlignment="1"/>
    <xf numFmtId="0" fontId="4" fillId="0" borderId="0" xfId="0" quotePrefix="1" applyNumberFormat="1" applyFont="1" applyBorder="1" applyAlignment="1"/>
    <xf numFmtId="0" fontId="4" fillId="6" borderId="0" xfId="0" quotePrefix="1" applyNumberFormat="1" applyFont="1" applyFill="1" applyBorder="1" applyAlignment="1"/>
    <xf numFmtId="0" fontId="0" fillId="0" borderId="0" xfId="0" applyNumberFormat="1" applyBorder="1" applyAlignment="1"/>
    <xf numFmtId="0" fontId="4" fillId="0" borderId="0" xfId="0" applyFont="1" applyFill="1" applyBorder="1" applyAlignment="1"/>
    <xf numFmtId="0" fontId="4" fillId="0" borderId="0" xfId="0" applyNumberFormat="1" applyFont="1" applyFill="1" applyBorder="1" applyAlignment="1"/>
    <xf numFmtId="15" fontId="4" fillId="0" borderId="0" xfId="0" applyNumberFormat="1" applyFont="1" applyBorder="1" applyAlignment="1">
      <alignment wrapText="1"/>
    </xf>
    <xf numFmtId="0" fontId="4" fillId="7" borderId="0" xfId="0" applyFont="1" applyFill="1" applyBorder="1" applyAlignment="1">
      <alignment wrapText="1"/>
    </xf>
    <xf numFmtId="0" fontId="4" fillId="0" borderId="0" xfId="0" applyFont="1" applyFill="1" applyBorder="1" applyAlignment="1">
      <alignment wrapText="1"/>
    </xf>
    <xf numFmtId="0" fontId="3" fillId="2" borderId="0" xfId="0" applyFont="1" applyFill="1" applyBorder="1" applyAlignment="1"/>
    <xf numFmtId="0" fontId="0" fillId="0" borderId="0" xfId="0" applyBorder="1" applyAlignment="1"/>
    <xf numFmtId="0" fontId="0" fillId="0" borderId="0" xfId="0" applyBorder="1" applyAlignment="1">
      <alignment wrapText="1"/>
    </xf>
    <xf numFmtId="0" fontId="4" fillId="0" borderId="0" xfId="0" applyFont="1" applyBorder="1" applyAlignment="1">
      <alignment vertical="top" wrapText="1"/>
    </xf>
    <xf numFmtId="0" fontId="1" fillId="0" borderId="0" xfId="0" applyFont="1" applyBorder="1" applyAlignment="1">
      <alignment horizontal="left"/>
    </xf>
    <xf numFmtId="0" fontId="2" fillId="0" borderId="0" xfId="0" applyFont="1" applyBorder="1" applyAlignment="1">
      <alignment horizontal="left"/>
    </xf>
    <xf numFmtId="0" fontId="3" fillId="2" borderId="0" xfId="0" applyFont="1" applyFill="1" applyBorder="1" applyAlignment="1">
      <alignment wrapText="1"/>
    </xf>
    <xf numFmtId="0" fontId="4" fillId="4" borderId="0" xfId="0" applyFont="1" applyFill="1" applyBorder="1" applyAlignment="1">
      <alignment vertical="top" wrapText="1"/>
    </xf>
    <xf numFmtId="0" fontId="3" fillId="2" borderId="0" xfId="0" applyFont="1" applyFill="1" applyBorder="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Collection Form'!$AA$4</c:f>
              <c:strCache>
                <c:ptCount val="1"/>
                <c:pt idx="0">
                  <c:v>Median (min)</c:v>
                </c:pt>
              </c:strCache>
            </c:strRef>
          </c:tx>
          <c:spPr>
            <a:solidFill>
              <a:schemeClr val="accent1"/>
            </a:solidFill>
            <a:ln>
              <a:noFill/>
            </a:ln>
            <a:effectLst/>
          </c:spPr>
          <c:invertIfNegative val="0"/>
          <c:cat>
            <c:strRef>
              <c:f>'Data Collection Form'!$B$5:$B$19</c:f>
              <c:strCache>
                <c:ptCount val="15"/>
                <c:pt idx="0">
                  <c:v>Cleaning Out Ear canal</c:v>
                </c:pt>
                <c:pt idx="1">
                  <c:v>Injecting Anaesthesia</c:v>
                </c:pt>
                <c:pt idx="2">
                  <c:v>Hair Trimming</c:v>
                </c:pt>
                <c:pt idx="3">
                  <c:v>Cleaning Edges of Perforation</c:v>
                </c:pt>
                <c:pt idx="5">
                  <c:v>Making Skin Incision</c:v>
                </c:pt>
                <c:pt idx="6">
                  <c:v>Raising Flap</c:v>
                </c:pt>
                <c:pt idx="7">
                  <c:v>Preparing Graft</c:v>
                </c:pt>
                <c:pt idx="8">
                  <c:v>Placing Graft</c:v>
                </c:pt>
                <c:pt idx="11">
                  <c:v>Replacing Flap</c:v>
                </c:pt>
                <c:pt idx="14">
                  <c:v>Packing Ear Canal</c:v>
                </c:pt>
              </c:strCache>
            </c:strRef>
          </c:cat>
          <c:val>
            <c:numRef>
              <c:f>'Data Collection Form'!$AA$5:$AA$19</c:f>
              <c:numCache>
                <c:formatCode>General</c:formatCode>
                <c:ptCount val="15"/>
                <c:pt idx="0">
                  <c:v>2.333333333333333</c:v>
                </c:pt>
                <c:pt idx="1">
                  <c:v>2.9</c:v>
                </c:pt>
                <c:pt idx="2">
                  <c:v>2.516666666666667</c:v>
                </c:pt>
                <c:pt idx="3">
                  <c:v>3.5</c:v>
                </c:pt>
                <c:pt idx="5">
                  <c:v>1.866666666666667</c:v>
                </c:pt>
                <c:pt idx="6">
                  <c:v>23.5</c:v>
                </c:pt>
                <c:pt idx="7">
                  <c:v>2.55</c:v>
                </c:pt>
                <c:pt idx="8">
                  <c:v>10.0</c:v>
                </c:pt>
                <c:pt idx="11">
                  <c:v>2.625</c:v>
                </c:pt>
                <c:pt idx="14">
                  <c:v>4.366666666666666</c:v>
                </c:pt>
              </c:numCache>
            </c:numRef>
          </c:val>
        </c:ser>
        <c:dLbls>
          <c:showLegendKey val="0"/>
          <c:showVal val="0"/>
          <c:showCatName val="0"/>
          <c:showSerName val="0"/>
          <c:showPercent val="0"/>
          <c:showBubbleSize val="0"/>
        </c:dLbls>
        <c:gapWidth val="219"/>
        <c:overlap val="-27"/>
        <c:axId val="-2111823168"/>
        <c:axId val="-2112729152"/>
      </c:barChart>
      <c:catAx>
        <c:axId val="-21118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29152"/>
        <c:crosses val="autoZero"/>
        <c:auto val="1"/>
        <c:lblAlgn val="ctr"/>
        <c:lblOffset val="100"/>
        <c:noMultiLvlLbl val="0"/>
      </c:catAx>
      <c:valAx>
        <c:axId val="-21127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2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242454</xdr:colOff>
      <xdr:row>6</xdr:row>
      <xdr:rowOff>175491</xdr:rowOff>
    </xdr:from>
    <xdr:to>
      <xdr:col>36</xdr:col>
      <xdr:colOff>127000</xdr:colOff>
      <xdr:row>10</xdr:row>
      <xdr:rowOff>436418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tabSelected="1" zoomScale="110" zoomScaleNormal="110" zoomScalePageLayoutView="110" workbookViewId="0">
      <selection activeCell="F9" sqref="F9"/>
    </sheetView>
  </sheetViews>
  <sheetFormatPr baseColWidth="10" defaultColWidth="8.83203125" defaultRowHeight="15" x14ac:dyDescent="0.2"/>
  <cols>
    <col min="1" max="1" width="16.33203125" style="7" customWidth="1"/>
    <col min="2" max="2" width="15.6640625" style="7" customWidth="1"/>
    <col min="3" max="3" width="30.5" style="7" customWidth="1"/>
    <col min="4" max="4" width="6.6640625" style="17" customWidth="1"/>
    <col min="5" max="5" width="34.5" style="7" customWidth="1"/>
    <col min="6" max="6" width="7.6640625" style="7" customWidth="1"/>
    <col min="7" max="7" width="43" style="7" customWidth="1"/>
    <col min="8" max="8" width="8.5" style="7" customWidth="1"/>
    <col min="9" max="9" width="39.83203125" style="7" customWidth="1"/>
    <col min="10" max="10" width="7.33203125" style="7" customWidth="1"/>
    <col min="11" max="11" width="42.5" style="7" customWidth="1"/>
    <col min="12" max="12" width="9.1640625" style="7" customWidth="1"/>
    <col min="13" max="13" width="42.5" style="7" customWidth="1"/>
    <col min="14" max="14" width="9.1640625" style="7" customWidth="1"/>
    <col min="15" max="15" width="42.5" style="7" customWidth="1"/>
    <col min="16" max="16" width="9.1640625" style="7" customWidth="1"/>
    <col min="17" max="17" width="42.5" style="7" customWidth="1"/>
    <col min="18" max="18" width="9.1640625" style="7" customWidth="1"/>
    <col min="19" max="19" width="42.5" style="7" customWidth="1"/>
    <col min="20" max="20" width="9.1640625" style="7" customWidth="1"/>
    <col min="21" max="21" width="42.5" style="7" customWidth="1"/>
    <col min="22" max="22" width="9.1640625" style="17" customWidth="1"/>
    <col min="23" max="24" width="8.83203125" style="7" customWidth="1"/>
    <col min="25" max="16384" width="8.83203125" style="7"/>
  </cols>
  <sheetData>
    <row r="1" spans="1:27" s="38" customFormat="1" ht="14" x14ac:dyDescent="0.15">
      <c r="A1" s="38" t="s">
        <v>1</v>
      </c>
    </row>
    <row r="2" spans="1:27" s="39" customFormat="1" ht="15" customHeight="1" x14ac:dyDescent="0.15">
      <c r="A2" s="39" t="s">
        <v>2</v>
      </c>
    </row>
    <row r="3" spans="1:27" x14ac:dyDescent="0.2">
      <c r="A3" s="6" t="s">
        <v>3</v>
      </c>
      <c r="B3" s="6" t="s">
        <v>4</v>
      </c>
      <c r="C3" s="40" t="s">
        <v>29</v>
      </c>
      <c r="D3" s="40"/>
      <c r="E3" s="40" t="s">
        <v>39</v>
      </c>
      <c r="F3" s="40"/>
      <c r="G3" s="40" t="s">
        <v>43</v>
      </c>
      <c r="H3" s="40"/>
      <c r="I3" s="40" t="s">
        <v>44</v>
      </c>
      <c r="J3" s="40"/>
      <c r="K3" s="40" t="s">
        <v>45</v>
      </c>
      <c r="L3" s="40"/>
      <c r="M3" s="40" t="s">
        <v>45</v>
      </c>
      <c r="N3" s="40"/>
      <c r="O3" s="40" t="s">
        <v>45</v>
      </c>
      <c r="P3" s="40"/>
      <c r="Q3" s="40" t="s">
        <v>45</v>
      </c>
      <c r="R3" s="40"/>
      <c r="S3" s="40" t="s">
        <v>45</v>
      </c>
      <c r="T3" s="40"/>
      <c r="U3" s="40" t="s">
        <v>45</v>
      </c>
      <c r="V3" s="40"/>
    </row>
    <row r="4" spans="1:27" ht="25" x14ac:dyDescent="0.2">
      <c r="A4" s="41" t="s">
        <v>7</v>
      </c>
      <c r="B4" s="8" t="s">
        <v>0</v>
      </c>
      <c r="C4" s="9" t="s">
        <v>8</v>
      </c>
      <c r="D4" s="10" t="s">
        <v>71</v>
      </c>
      <c r="E4" s="9" t="s">
        <v>8</v>
      </c>
      <c r="F4" s="9" t="s">
        <v>71</v>
      </c>
      <c r="G4" s="9" t="s">
        <v>8</v>
      </c>
      <c r="H4" s="9" t="s">
        <v>71</v>
      </c>
      <c r="I4" s="9" t="s">
        <v>8</v>
      </c>
      <c r="J4" s="9" t="s">
        <v>71</v>
      </c>
      <c r="K4" s="9" t="s">
        <v>8</v>
      </c>
      <c r="L4" s="9" t="s">
        <v>71</v>
      </c>
      <c r="M4" s="9" t="s">
        <v>8</v>
      </c>
      <c r="N4" s="9" t="s">
        <v>71</v>
      </c>
      <c r="O4" s="9" t="s">
        <v>8</v>
      </c>
      <c r="P4" s="9" t="s">
        <v>71</v>
      </c>
      <c r="Q4" s="9" t="s">
        <v>8</v>
      </c>
      <c r="R4" s="9" t="s">
        <v>71</v>
      </c>
      <c r="S4" s="9" t="s">
        <v>8</v>
      </c>
      <c r="T4" s="9" t="s">
        <v>71</v>
      </c>
      <c r="U4" s="9" t="s">
        <v>8</v>
      </c>
      <c r="V4" s="10" t="s">
        <v>71</v>
      </c>
      <c r="Y4" s="11" t="s">
        <v>73</v>
      </c>
      <c r="Z4" s="11" t="s">
        <v>85</v>
      </c>
      <c r="AA4" s="11" t="s">
        <v>84</v>
      </c>
    </row>
    <row r="5" spans="1:27" ht="73" x14ac:dyDescent="0.2">
      <c r="A5" s="41"/>
      <c r="B5" s="8" t="s">
        <v>10</v>
      </c>
      <c r="C5" s="9" t="s">
        <v>42</v>
      </c>
      <c r="D5" s="10" t="s">
        <v>30</v>
      </c>
      <c r="E5" s="9" t="s">
        <v>63</v>
      </c>
      <c r="F5" s="10">
        <v>183</v>
      </c>
      <c r="G5" s="9" t="s">
        <v>54</v>
      </c>
      <c r="H5" s="10">
        <v>20</v>
      </c>
      <c r="I5" s="9" t="s">
        <v>86</v>
      </c>
      <c r="J5" s="10">
        <v>210</v>
      </c>
      <c r="K5" s="31" t="s">
        <v>87</v>
      </c>
      <c r="L5" s="9">
        <v>374</v>
      </c>
      <c r="M5" s="31" t="s">
        <v>96</v>
      </c>
      <c r="N5" s="9">
        <v>160</v>
      </c>
      <c r="O5" s="31" t="s">
        <v>104</v>
      </c>
      <c r="P5" s="9">
        <v>120</v>
      </c>
      <c r="Q5" s="31" t="s">
        <v>110</v>
      </c>
      <c r="R5" s="9">
        <v>50</v>
      </c>
      <c r="S5" s="31" t="s">
        <v>117</v>
      </c>
      <c r="T5" s="9">
        <f>60+15</f>
        <v>75</v>
      </c>
      <c r="U5" s="31"/>
      <c r="V5" s="10"/>
      <c r="Y5" s="7">
        <f>AVERAGE(F5:T5)</f>
        <v>149</v>
      </c>
      <c r="Z5" s="7">
        <f>MEDIAN(F5:T5)</f>
        <v>140</v>
      </c>
      <c r="AA5" s="7">
        <f>Z5/60</f>
        <v>2.3333333333333335</v>
      </c>
    </row>
    <row r="6" spans="1:27" x14ac:dyDescent="0.2">
      <c r="A6" s="41"/>
      <c r="B6" s="8" t="s">
        <v>11</v>
      </c>
      <c r="C6" s="9"/>
      <c r="D6" s="10">
        <v>140</v>
      </c>
      <c r="E6" s="12" t="s">
        <v>46</v>
      </c>
      <c r="F6" s="10">
        <v>240</v>
      </c>
      <c r="G6" s="9"/>
      <c r="H6" s="10">
        <v>105</v>
      </c>
      <c r="I6" s="9" t="s">
        <v>46</v>
      </c>
      <c r="J6" s="10">
        <v>155</v>
      </c>
      <c r="K6" s="9" t="s">
        <v>88</v>
      </c>
      <c r="L6" s="9">
        <v>187</v>
      </c>
      <c r="M6" s="9"/>
      <c r="N6" s="9">
        <v>120</v>
      </c>
      <c r="O6" s="9" t="s">
        <v>46</v>
      </c>
      <c r="P6" s="9">
        <f>6*60+14</f>
        <v>374</v>
      </c>
      <c r="Q6" s="9" t="s">
        <v>46</v>
      </c>
      <c r="R6" s="9">
        <f>2*60+54</f>
        <v>174</v>
      </c>
      <c r="S6" s="9" t="s">
        <v>46</v>
      </c>
      <c r="T6" s="9">
        <f>4*60+30</f>
        <v>270</v>
      </c>
      <c r="V6" s="10"/>
      <c r="Y6" s="7">
        <f>AVERAGE(D6:T6)</f>
        <v>196.11111111111111</v>
      </c>
      <c r="Z6" s="7">
        <f>MEDIAN(D6:T6)</f>
        <v>174</v>
      </c>
      <c r="AA6" s="7">
        <f>Z6/60</f>
        <v>2.9</v>
      </c>
    </row>
    <row r="7" spans="1:27" ht="49" x14ac:dyDescent="0.2">
      <c r="A7" s="41"/>
      <c r="B7" s="8" t="s">
        <v>12</v>
      </c>
      <c r="C7" s="9" t="s">
        <v>32</v>
      </c>
      <c r="D7" s="10">
        <v>80</v>
      </c>
      <c r="E7" s="9" t="s">
        <v>50</v>
      </c>
      <c r="F7" s="10">
        <v>350</v>
      </c>
      <c r="G7" s="9" t="s">
        <v>55</v>
      </c>
      <c r="H7" s="10">
        <v>151</v>
      </c>
      <c r="I7" s="9" t="s">
        <v>64</v>
      </c>
      <c r="J7" s="10">
        <v>210</v>
      </c>
      <c r="K7" s="9" t="s">
        <v>89</v>
      </c>
      <c r="L7" s="9">
        <v>615</v>
      </c>
      <c r="M7" s="9" t="s">
        <v>97</v>
      </c>
      <c r="N7" s="9">
        <v>110</v>
      </c>
      <c r="O7" s="9" t="s">
        <v>58</v>
      </c>
      <c r="P7" s="9">
        <v>57</v>
      </c>
      <c r="Q7" s="9" t="s">
        <v>105</v>
      </c>
      <c r="R7" s="9">
        <f>2*60+30</f>
        <v>150</v>
      </c>
      <c r="S7" s="9" t="s">
        <v>118</v>
      </c>
      <c r="T7" s="9">
        <f>5*60</f>
        <v>300</v>
      </c>
      <c r="Y7" s="7">
        <f>AVERAGE(D7:T7)</f>
        <v>224.77777777777777</v>
      </c>
      <c r="Z7" s="7">
        <f>MEDIAN(D7:T7)</f>
        <v>151</v>
      </c>
      <c r="AA7" s="7">
        <f>Z7/60</f>
        <v>2.5166666666666666</v>
      </c>
    </row>
    <row r="8" spans="1:27" ht="72.75" customHeight="1" x14ac:dyDescent="0.2">
      <c r="A8" s="41"/>
      <c r="B8" s="8" t="s">
        <v>13</v>
      </c>
      <c r="C8" s="9" t="s">
        <v>33</v>
      </c>
      <c r="D8" s="10">
        <v>257</v>
      </c>
      <c r="E8" s="9" t="s">
        <v>47</v>
      </c>
      <c r="F8" s="10">
        <v>162</v>
      </c>
      <c r="G8" s="9" t="s">
        <v>56</v>
      </c>
      <c r="H8" s="10">
        <v>210</v>
      </c>
      <c r="I8" s="9" t="s">
        <v>65</v>
      </c>
      <c r="J8" s="10">
        <v>450</v>
      </c>
      <c r="K8" s="9" t="s">
        <v>90</v>
      </c>
      <c r="L8" s="9">
        <v>190</v>
      </c>
      <c r="M8" s="9" t="s">
        <v>98</v>
      </c>
      <c r="N8" s="9">
        <v>205</v>
      </c>
      <c r="O8" s="9" t="s">
        <v>106</v>
      </c>
      <c r="P8" s="9">
        <v>120</v>
      </c>
      <c r="Q8" s="9" t="s">
        <v>111</v>
      </c>
      <c r="R8" s="9">
        <f>3*60+30</f>
        <v>210</v>
      </c>
      <c r="S8" s="9" t="s">
        <v>119</v>
      </c>
      <c r="T8" s="9">
        <f>3*60+40</f>
        <v>220</v>
      </c>
      <c r="Y8" s="7">
        <f>AVERAGE(D8:T8,F9,P9:T9)</f>
        <v>315.38461538461536</v>
      </c>
      <c r="Z8" s="7">
        <f>MEDIAN(D8:T8,F9,P9:T9)</f>
        <v>210</v>
      </c>
      <c r="AA8" s="7">
        <f>Z8/60</f>
        <v>3.5</v>
      </c>
    </row>
    <row r="9" spans="1:27" s="16" customFormat="1" ht="37" x14ac:dyDescent="0.2">
      <c r="A9" s="41"/>
      <c r="B9" s="13"/>
      <c r="C9" s="13"/>
      <c r="D9" s="14"/>
      <c r="E9" s="13" t="s">
        <v>49</v>
      </c>
      <c r="F9" s="14">
        <v>870</v>
      </c>
      <c r="G9" s="13"/>
      <c r="H9" s="15"/>
      <c r="J9" s="15"/>
      <c r="K9" s="13"/>
      <c r="L9" s="13"/>
      <c r="M9" s="13"/>
      <c r="N9" s="13"/>
      <c r="O9" s="13" t="s">
        <v>107</v>
      </c>
      <c r="P9" s="13">
        <v>60</v>
      </c>
      <c r="Q9" s="13" t="s">
        <v>112</v>
      </c>
      <c r="R9" s="13">
        <f>3*60+36</f>
        <v>216</v>
      </c>
      <c r="S9" s="13" t="s">
        <v>120</v>
      </c>
      <c r="T9" s="13">
        <f>15*60+30</f>
        <v>930</v>
      </c>
      <c r="U9" s="13"/>
      <c r="V9" s="14"/>
    </row>
    <row r="10" spans="1:27" ht="37" x14ac:dyDescent="0.2">
      <c r="A10" s="41"/>
      <c r="B10" s="8" t="s">
        <v>14</v>
      </c>
      <c r="C10" s="9" t="s">
        <v>35</v>
      </c>
      <c r="D10" s="10">
        <v>78</v>
      </c>
      <c r="E10" s="9" t="s">
        <v>48</v>
      </c>
      <c r="F10" s="10">
        <v>60</v>
      </c>
      <c r="G10" s="9" t="s">
        <v>57</v>
      </c>
      <c r="H10" s="10">
        <v>124</v>
      </c>
      <c r="I10" s="9" t="s">
        <v>66</v>
      </c>
      <c r="J10" s="10">
        <v>220</v>
      </c>
      <c r="K10" s="9" t="s">
        <v>91</v>
      </c>
      <c r="L10" s="9">
        <v>220</v>
      </c>
      <c r="M10" s="9" t="s">
        <v>99</v>
      </c>
      <c r="N10" s="9">
        <v>46</v>
      </c>
      <c r="O10" s="9" t="s">
        <v>46</v>
      </c>
      <c r="P10" s="9"/>
      <c r="Q10" s="9" t="s">
        <v>113</v>
      </c>
      <c r="R10" s="9">
        <f>2*60+35</f>
        <v>155</v>
      </c>
      <c r="S10" s="9" t="s">
        <v>113</v>
      </c>
      <c r="T10" s="9">
        <f>60+40</f>
        <v>100</v>
      </c>
      <c r="Y10" s="7">
        <f>AVERAGE(D10:T10)</f>
        <v>125.375</v>
      </c>
      <c r="Z10" s="7">
        <f>MEDIAN(D10:T10)</f>
        <v>112</v>
      </c>
      <c r="AA10" s="7">
        <f>Z10/60</f>
        <v>1.8666666666666667</v>
      </c>
    </row>
    <row r="11" spans="1:27" ht="109" x14ac:dyDescent="0.2">
      <c r="A11" s="41"/>
      <c r="B11" s="8" t="s">
        <v>15</v>
      </c>
      <c r="C11" s="9" t="s">
        <v>34</v>
      </c>
      <c r="D11" s="10">
        <v>1048</v>
      </c>
      <c r="E11" s="9" t="s">
        <v>72</v>
      </c>
      <c r="F11" s="10">
        <v>1140</v>
      </c>
      <c r="G11" s="9" t="s">
        <v>61</v>
      </c>
      <c r="H11" s="5">
        <v>2190</v>
      </c>
      <c r="I11" s="9" t="s">
        <v>67</v>
      </c>
      <c r="J11" s="10">
        <v>3600</v>
      </c>
      <c r="K11" s="9" t="s">
        <v>92</v>
      </c>
      <c r="L11" s="9">
        <v>2880</v>
      </c>
      <c r="M11" s="9" t="s">
        <v>100</v>
      </c>
      <c r="N11" s="9">
        <v>1256</v>
      </c>
      <c r="O11" s="9" t="s">
        <v>46</v>
      </c>
      <c r="P11" s="9"/>
      <c r="Q11" s="9" t="s">
        <v>114</v>
      </c>
      <c r="R11" s="9">
        <f>23*60</f>
        <v>1380</v>
      </c>
      <c r="S11" s="32" t="s">
        <v>121</v>
      </c>
      <c r="T11" s="9">
        <f>24*60</f>
        <v>1440</v>
      </c>
      <c r="Y11" s="7">
        <f>AVERAGE(D11:T11)</f>
        <v>1866.75</v>
      </c>
      <c r="Z11" s="7">
        <f>MEDIAN(D11:T11)</f>
        <v>1410</v>
      </c>
      <c r="AA11" s="7">
        <f>Z11/60</f>
        <v>23.5</v>
      </c>
    </row>
    <row r="12" spans="1:27" ht="37" x14ac:dyDescent="0.2">
      <c r="A12" s="41"/>
      <c r="B12" s="8" t="s">
        <v>16</v>
      </c>
      <c r="C12" s="9" t="s">
        <v>36</v>
      </c>
      <c r="D12" s="10">
        <v>240</v>
      </c>
      <c r="E12" s="9" t="s">
        <v>51</v>
      </c>
      <c r="F12" s="10">
        <v>180</v>
      </c>
      <c r="G12" s="9" t="s">
        <v>58</v>
      </c>
      <c r="H12" s="10">
        <v>20</v>
      </c>
      <c r="I12" s="9" t="s">
        <v>68</v>
      </c>
      <c r="J12" s="10">
        <v>126</v>
      </c>
      <c r="K12" s="9" t="s">
        <v>93</v>
      </c>
      <c r="L12" s="9">
        <v>120</v>
      </c>
      <c r="M12" s="9" t="s">
        <v>101</v>
      </c>
      <c r="N12" s="9">
        <v>175</v>
      </c>
      <c r="O12" s="9"/>
      <c r="P12" s="9"/>
      <c r="Q12" s="9"/>
      <c r="R12" s="9"/>
      <c r="S12" s="9" t="s">
        <v>122</v>
      </c>
      <c r="T12" s="9">
        <v>60</v>
      </c>
      <c r="U12" s="9"/>
      <c r="V12" s="10"/>
      <c r="Y12" s="7">
        <f t="shared" ref="Y12" si="0">AVERAGE(D12:T12)</f>
        <v>131.57142857142858</v>
      </c>
      <c r="Z12" s="7">
        <f>MEDIAN(D12,F12,H12,J12)</f>
        <v>153</v>
      </c>
      <c r="AA12" s="7">
        <f>Z12/60</f>
        <v>2.5499999999999998</v>
      </c>
    </row>
    <row r="13" spans="1:27" ht="49" x14ac:dyDescent="0.2">
      <c r="A13" s="41"/>
      <c r="B13" s="8" t="s">
        <v>17</v>
      </c>
      <c r="C13" s="9" t="s">
        <v>38</v>
      </c>
      <c r="D13" s="10">
        <v>795</v>
      </c>
      <c r="E13" s="9" t="s">
        <v>53</v>
      </c>
      <c r="F13" s="10">
        <v>1260</v>
      </c>
      <c r="G13" s="9" t="s">
        <v>59</v>
      </c>
      <c r="H13" s="10">
        <v>225</v>
      </c>
      <c r="I13" s="9" t="s">
        <v>69</v>
      </c>
      <c r="J13" s="5">
        <v>1510</v>
      </c>
      <c r="K13" s="9" t="s">
        <v>94</v>
      </c>
      <c r="L13" s="9">
        <v>1035</v>
      </c>
      <c r="M13" s="9" t="s">
        <v>102</v>
      </c>
      <c r="N13" s="9">
        <v>225</v>
      </c>
      <c r="O13" s="9" t="s">
        <v>108</v>
      </c>
      <c r="P13" s="9">
        <f>9*60+10</f>
        <v>550</v>
      </c>
      <c r="Q13" s="9" t="s">
        <v>115</v>
      </c>
      <c r="R13" s="9">
        <f>22*60</f>
        <v>1320</v>
      </c>
      <c r="S13" s="9" t="s">
        <v>123</v>
      </c>
      <c r="T13" s="9">
        <f>4*60+15</f>
        <v>255</v>
      </c>
      <c r="U13" s="9"/>
      <c r="Y13" s="7">
        <f>AVERAGE(D13:T13,J14:J15)</f>
        <v>734.09090909090912</v>
      </c>
      <c r="Z13" s="7">
        <f>MEDIAN(D13:T13,J14:J15)</f>
        <v>600</v>
      </c>
      <c r="AA13" s="7">
        <f>Z13/60</f>
        <v>10</v>
      </c>
    </row>
    <row r="14" spans="1:27" s="16" customFormat="1" x14ac:dyDescent="0.2">
      <c r="A14" s="41"/>
      <c r="B14" s="13"/>
      <c r="C14" s="13"/>
      <c r="D14" s="14"/>
      <c r="E14" s="13"/>
      <c r="F14" s="14"/>
      <c r="G14" s="13"/>
      <c r="H14" s="14"/>
      <c r="I14" s="13"/>
      <c r="J14" s="18">
        <v>600</v>
      </c>
      <c r="K14" s="13"/>
      <c r="L14" s="13"/>
      <c r="M14" s="13"/>
      <c r="N14" s="13"/>
      <c r="O14" s="13"/>
      <c r="P14" s="13"/>
      <c r="Q14" s="13"/>
      <c r="R14" s="13"/>
      <c r="S14" s="13"/>
      <c r="T14" s="13"/>
      <c r="U14" s="13"/>
      <c r="V14" s="14"/>
    </row>
    <row r="15" spans="1:27" s="16" customFormat="1" x14ac:dyDescent="0.2">
      <c r="A15" s="41"/>
      <c r="B15" s="13"/>
      <c r="C15" s="13"/>
      <c r="D15" s="14"/>
      <c r="E15" s="13"/>
      <c r="F15" s="14"/>
      <c r="G15" s="13"/>
      <c r="H15" s="14"/>
      <c r="I15" s="13"/>
      <c r="J15" s="18">
        <v>300</v>
      </c>
      <c r="K15" s="13"/>
      <c r="L15" s="13"/>
      <c r="M15" s="13"/>
      <c r="N15" s="13"/>
      <c r="O15" s="13"/>
      <c r="P15" s="13"/>
      <c r="Q15" s="13"/>
      <c r="R15" s="13"/>
      <c r="S15" s="13"/>
      <c r="T15" s="13"/>
      <c r="U15" s="13"/>
      <c r="V15" s="14"/>
    </row>
    <row r="16" spans="1:27" ht="73" x14ac:dyDescent="0.2">
      <c r="A16" s="41"/>
      <c r="B16" s="8" t="s">
        <v>18</v>
      </c>
      <c r="C16" s="9" t="s">
        <v>37</v>
      </c>
      <c r="D16" s="10">
        <v>150</v>
      </c>
      <c r="E16" s="9"/>
      <c r="F16" s="10">
        <v>120</v>
      </c>
      <c r="G16" s="9" t="s">
        <v>60</v>
      </c>
      <c r="H16" s="10">
        <v>165</v>
      </c>
      <c r="I16" s="9" t="s">
        <v>70</v>
      </c>
      <c r="J16" s="17">
        <v>660</v>
      </c>
      <c r="K16" s="9" t="s">
        <v>95</v>
      </c>
      <c r="L16" s="9">
        <v>360</v>
      </c>
      <c r="M16" s="9" t="s">
        <v>103</v>
      </c>
      <c r="N16" s="9">
        <v>150</v>
      </c>
      <c r="O16" s="9" t="s">
        <v>109</v>
      </c>
      <c r="P16" s="9">
        <f>7*60+50</f>
        <v>470</v>
      </c>
      <c r="Q16" s="9"/>
      <c r="R16" s="32" t="s">
        <v>116</v>
      </c>
      <c r="S16" s="9" t="s">
        <v>124</v>
      </c>
      <c r="T16" s="9">
        <v>60</v>
      </c>
      <c r="Y16" s="7">
        <f>AVERAGE(D16:P16,T16,J17:J18)</f>
        <v>279.5</v>
      </c>
      <c r="Z16" s="7">
        <f>MEDIAN(D16,F16,H16,J16,J17:J18)</f>
        <v>157.5</v>
      </c>
      <c r="AA16" s="7">
        <f>Z16/60</f>
        <v>2.625</v>
      </c>
    </row>
    <row r="17" spans="1:27" s="16" customFormat="1" x14ac:dyDescent="0.2">
      <c r="A17" s="41"/>
      <c r="B17" s="13"/>
      <c r="C17" s="13"/>
      <c r="D17" s="14"/>
      <c r="E17" s="13"/>
      <c r="F17" s="14"/>
      <c r="G17" s="13"/>
      <c r="H17" s="14"/>
      <c r="I17" s="13"/>
      <c r="J17" s="14">
        <v>600</v>
      </c>
      <c r="K17" s="13"/>
      <c r="L17" s="13"/>
      <c r="M17" s="13"/>
      <c r="N17" s="13"/>
      <c r="O17" s="13"/>
      <c r="P17" s="13"/>
      <c r="Q17" s="13"/>
      <c r="R17" s="13"/>
      <c r="S17" s="13"/>
      <c r="T17" s="13"/>
      <c r="U17" s="13"/>
      <c r="V17" s="14"/>
    </row>
    <row r="18" spans="1:27" s="16" customFormat="1" x14ac:dyDescent="0.2">
      <c r="A18" s="41"/>
      <c r="B18" s="13"/>
      <c r="C18" s="13"/>
      <c r="D18" s="14"/>
      <c r="E18" s="13"/>
      <c r="F18" s="14"/>
      <c r="G18" s="13"/>
      <c r="H18" s="14"/>
      <c r="I18" s="13"/>
      <c r="J18" s="14">
        <v>60</v>
      </c>
      <c r="K18" s="13"/>
      <c r="L18" s="13"/>
      <c r="M18" s="13"/>
      <c r="N18" s="13"/>
      <c r="O18" s="13"/>
      <c r="P18" s="13"/>
      <c r="Q18" s="13"/>
      <c r="R18" s="13"/>
      <c r="S18" s="13"/>
      <c r="T18" s="13"/>
      <c r="U18" s="13"/>
      <c r="V18" s="14"/>
    </row>
    <row r="19" spans="1:27" ht="25" x14ac:dyDescent="0.2">
      <c r="A19" s="41"/>
      <c r="B19" s="8" t="s">
        <v>19</v>
      </c>
      <c r="C19" s="9" t="s">
        <v>31</v>
      </c>
      <c r="D19" s="10" t="s">
        <v>30</v>
      </c>
      <c r="E19" s="9" t="s">
        <v>52</v>
      </c>
      <c r="F19" s="10">
        <v>262</v>
      </c>
      <c r="G19" s="9" t="s">
        <v>62</v>
      </c>
      <c r="H19" s="10">
        <v>355</v>
      </c>
      <c r="I19" s="9"/>
      <c r="J19" s="10">
        <v>180</v>
      </c>
      <c r="K19" s="9"/>
      <c r="L19" s="9">
        <v>120</v>
      </c>
      <c r="M19" s="9"/>
      <c r="N19" s="9">
        <v>120</v>
      </c>
      <c r="O19" s="9"/>
      <c r="P19" s="9">
        <v>120</v>
      </c>
      <c r="Q19" s="9"/>
      <c r="R19" s="9">
        <v>120</v>
      </c>
      <c r="S19" s="9" t="s">
        <v>46</v>
      </c>
      <c r="T19" s="9">
        <f>4*60</f>
        <v>240</v>
      </c>
      <c r="Y19" s="7">
        <f>AVERAGE(F19,H19,J19)</f>
        <v>265.66666666666669</v>
      </c>
      <c r="Z19" s="7">
        <f>MEDIAN(F19,H19,J19)</f>
        <v>262</v>
      </c>
      <c r="AA19" s="7">
        <f>Z19/60</f>
        <v>4.3666666666666663</v>
      </c>
    </row>
    <row r="20" spans="1:27" s="35" customFormat="1" x14ac:dyDescent="0.2">
      <c r="A20" s="34" t="s">
        <v>3</v>
      </c>
      <c r="B20" s="34" t="s">
        <v>4</v>
      </c>
      <c r="C20" s="42" t="s">
        <v>5</v>
      </c>
      <c r="D20" s="42"/>
      <c r="E20" s="42" t="s">
        <v>6</v>
      </c>
      <c r="F20" s="42"/>
      <c r="V20" s="28"/>
    </row>
    <row r="21" spans="1:27" ht="25" x14ac:dyDescent="0.2">
      <c r="A21" s="37" t="s">
        <v>20</v>
      </c>
      <c r="B21" s="9" t="s">
        <v>0</v>
      </c>
      <c r="C21" s="9" t="s">
        <v>8</v>
      </c>
      <c r="D21" s="10" t="s">
        <v>9</v>
      </c>
      <c r="E21" s="9" t="s">
        <v>8</v>
      </c>
      <c r="F21" s="9" t="s">
        <v>9</v>
      </c>
    </row>
    <row r="22" spans="1:27" ht="37" x14ac:dyDescent="0.2">
      <c r="A22" s="37"/>
      <c r="B22" s="9" t="s">
        <v>10</v>
      </c>
      <c r="C22" s="31" t="s">
        <v>127</v>
      </c>
      <c r="D22" s="10">
        <v>48</v>
      </c>
      <c r="E22" s="9"/>
      <c r="F22" s="9"/>
    </row>
    <row r="23" spans="1:27" x14ac:dyDescent="0.2">
      <c r="A23" s="37"/>
      <c r="B23" s="9" t="s">
        <v>11</v>
      </c>
      <c r="C23" s="9"/>
      <c r="D23" s="9">
        <v>49</v>
      </c>
      <c r="E23" s="9"/>
      <c r="F23" s="9"/>
    </row>
    <row r="24" spans="1:27" x14ac:dyDescent="0.2">
      <c r="A24" s="37"/>
      <c r="B24" s="9" t="s">
        <v>12</v>
      </c>
      <c r="C24" s="9" t="s">
        <v>58</v>
      </c>
      <c r="D24" s="10">
        <v>104</v>
      </c>
      <c r="E24" s="9"/>
      <c r="F24" s="9"/>
    </row>
    <row r="25" spans="1:27" ht="37" x14ac:dyDescent="0.2">
      <c r="A25" s="37"/>
      <c r="B25" s="9" t="s">
        <v>13</v>
      </c>
      <c r="C25" s="9" t="s">
        <v>125</v>
      </c>
      <c r="D25" s="10">
        <v>210</v>
      </c>
      <c r="E25" s="9"/>
      <c r="F25" s="9"/>
    </row>
    <row r="26" spans="1:27" x14ac:dyDescent="0.2">
      <c r="A26" s="37"/>
      <c r="B26" s="9" t="s">
        <v>14</v>
      </c>
      <c r="C26" s="9" t="s">
        <v>126</v>
      </c>
      <c r="D26" s="10">
        <v>35</v>
      </c>
      <c r="E26" s="9"/>
      <c r="F26" s="9"/>
    </row>
    <row r="27" spans="1:27" ht="37" x14ac:dyDescent="0.2">
      <c r="A27" s="37"/>
      <c r="B27" s="9" t="s">
        <v>15</v>
      </c>
      <c r="C27" s="33" t="s">
        <v>130</v>
      </c>
      <c r="D27" s="10">
        <v>525</v>
      </c>
      <c r="E27" s="9"/>
      <c r="F27" s="9"/>
    </row>
    <row r="28" spans="1:27" x14ac:dyDescent="0.2">
      <c r="A28" s="37"/>
      <c r="B28" s="9" t="s">
        <v>16</v>
      </c>
      <c r="C28" s="9"/>
      <c r="D28" s="10"/>
      <c r="E28" s="9"/>
      <c r="F28" s="9"/>
    </row>
    <row r="29" spans="1:27" x14ac:dyDescent="0.2">
      <c r="A29" s="37"/>
      <c r="B29" s="9" t="s">
        <v>17</v>
      </c>
      <c r="C29" s="9"/>
      <c r="D29" s="10">
        <f>27*60+25</f>
        <v>1645</v>
      </c>
      <c r="E29" s="9"/>
      <c r="F29" s="9"/>
    </row>
    <row r="30" spans="1:27" x14ac:dyDescent="0.2">
      <c r="A30" s="37"/>
      <c r="B30" s="9" t="s">
        <v>18</v>
      </c>
      <c r="C30" s="9" t="s">
        <v>128</v>
      </c>
      <c r="D30" s="10">
        <v>239</v>
      </c>
      <c r="E30" s="9"/>
      <c r="F30" s="9"/>
    </row>
    <row r="31" spans="1:27" x14ac:dyDescent="0.2">
      <c r="A31" s="37"/>
      <c r="B31" s="9" t="s">
        <v>19</v>
      </c>
      <c r="C31" s="9"/>
      <c r="D31" s="17">
        <v>186</v>
      </c>
      <c r="E31" s="9"/>
      <c r="F31" s="9"/>
    </row>
    <row r="32" spans="1:27" ht="30" x14ac:dyDescent="0.2">
      <c r="B32" s="33" t="s">
        <v>129</v>
      </c>
      <c r="C32" s="36" t="s">
        <v>131</v>
      </c>
      <c r="D32" s="17">
        <v>1003</v>
      </c>
    </row>
    <row r="37" spans="1:3" x14ac:dyDescent="0.2">
      <c r="A37" s="7" t="s">
        <v>40</v>
      </c>
      <c r="B37" s="7" t="s">
        <v>7</v>
      </c>
      <c r="C37" s="7" t="s">
        <v>41</v>
      </c>
    </row>
    <row r="38" spans="1:3" x14ac:dyDescent="0.2">
      <c r="B38" s="7">
        <v>4</v>
      </c>
    </row>
  </sheetData>
  <mergeCells count="16">
    <mergeCell ref="A21:A31"/>
    <mergeCell ref="A1:XFD1"/>
    <mergeCell ref="A2:XFD2"/>
    <mergeCell ref="C3:D3"/>
    <mergeCell ref="E3:F3"/>
    <mergeCell ref="A4:A19"/>
    <mergeCell ref="C20:D20"/>
    <mergeCell ref="E20:F20"/>
    <mergeCell ref="G3:H3"/>
    <mergeCell ref="I3:J3"/>
    <mergeCell ref="K3:L3"/>
    <mergeCell ref="M3:N3"/>
    <mergeCell ref="O3:P3"/>
    <mergeCell ref="Q3:R3"/>
    <mergeCell ref="S3:T3"/>
    <mergeCell ref="U3:V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baseColWidth="10" defaultColWidth="8.83203125" defaultRowHeight="15" x14ac:dyDescent="0.2"/>
  <cols>
    <col min="2" max="2" width="14.1640625" style="1" customWidth="1"/>
    <col min="3" max="3" width="14.5" customWidth="1"/>
  </cols>
  <sheetData>
    <row r="1" spans="1:3" s="4" customFormat="1" ht="19" x14ac:dyDescent="0.25">
      <c r="A1" s="4" t="s">
        <v>21</v>
      </c>
    </row>
    <row r="2" spans="1:3" s="3" customFormat="1" ht="30" x14ac:dyDescent="0.2">
      <c r="B2" s="2" t="s">
        <v>22</v>
      </c>
      <c r="C2" s="2" t="s">
        <v>23</v>
      </c>
    </row>
    <row r="3" spans="1:3" x14ac:dyDescent="0.2">
      <c r="A3">
        <v>1</v>
      </c>
      <c r="B3" s="1" t="s">
        <v>24</v>
      </c>
      <c r="C3" t="s">
        <v>28</v>
      </c>
    </row>
    <row r="4" spans="1:3" ht="30" x14ac:dyDescent="0.2">
      <c r="A4">
        <v>2</v>
      </c>
      <c r="B4" s="1" t="s">
        <v>25</v>
      </c>
      <c r="C4" t="s">
        <v>28</v>
      </c>
    </row>
    <row r="5" spans="1:3" x14ac:dyDescent="0.2">
      <c r="A5">
        <v>3</v>
      </c>
      <c r="B5" s="1" t="s">
        <v>26</v>
      </c>
    </row>
    <row r="6" spans="1:3" x14ac:dyDescent="0.2">
      <c r="A6">
        <v>4</v>
      </c>
      <c r="B6" s="1" t="s">
        <v>27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160" zoomScaleNormal="160" zoomScalePageLayoutView="160" workbookViewId="0">
      <selection activeCell="D15" sqref="D15"/>
    </sheetView>
  </sheetViews>
  <sheetFormatPr baseColWidth="10" defaultColWidth="8.83203125" defaultRowHeight="15" x14ac:dyDescent="0.2"/>
  <cols>
    <col min="1" max="7" width="8.83203125" style="22"/>
    <col min="8" max="8" width="18.1640625" style="22" customWidth="1"/>
    <col min="9" max="16384" width="8.83203125" style="22"/>
  </cols>
  <sheetData>
    <row r="1" spans="1:17" x14ac:dyDescent="0.2">
      <c r="A1" s="19" t="s">
        <v>0</v>
      </c>
      <c r="B1" s="20" t="s">
        <v>71</v>
      </c>
      <c r="C1" s="21" t="s">
        <v>71</v>
      </c>
      <c r="D1" s="21" t="s">
        <v>71</v>
      </c>
      <c r="E1" s="21" t="s">
        <v>71</v>
      </c>
      <c r="H1" s="19" t="s">
        <v>0</v>
      </c>
      <c r="I1" s="19" t="s">
        <v>71</v>
      </c>
      <c r="J1" s="19" t="s">
        <v>9</v>
      </c>
      <c r="K1" s="19" t="s">
        <v>17</v>
      </c>
      <c r="L1" s="23"/>
      <c r="M1" s="23"/>
      <c r="N1" s="19" t="s">
        <v>18</v>
      </c>
      <c r="O1" s="23"/>
      <c r="P1" s="23"/>
      <c r="Q1" s="19" t="s">
        <v>19</v>
      </c>
    </row>
    <row r="2" spans="1:17" x14ac:dyDescent="0.2">
      <c r="A2" s="19" t="s">
        <v>10</v>
      </c>
      <c r="B2" s="20" t="s">
        <v>30</v>
      </c>
      <c r="C2" s="20">
        <v>183</v>
      </c>
      <c r="D2" s="20">
        <v>20</v>
      </c>
      <c r="E2" s="20">
        <v>210</v>
      </c>
      <c r="H2" s="20" t="s">
        <v>74</v>
      </c>
      <c r="I2" s="20">
        <v>183</v>
      </c>
      <c r="J2" s="22">
        <f>I2/60</f>
        <v>3.05</v>
      </c>
      <c r="L2" s="24"/>
      <c r="M2" s="24"/>
      <c r="N2" s="20">
        <v>150</v>
      </c>
      <c r="O2" s="24"/>
      <c r="P2" s="24"/>
      <c r="Q2" s="20" t="s">
        <v>30</v>
      </c>
    </row>
    <row r="3" spans="1:17" x14ac:dyDescent="0.2">
      <c r="A3" s="19" t="s">
        <v>11</v>
      </c>
      <c r="B3" s="20">
        <v>140</v>
      </c>
      <c r="C3" s="20">
        <v>240</v>
      </c>
      <c r="D3" s="20">
        <v>105</v>
      </c>
      <c r="E3" s="20">
        <v>155</v>
      </c>
      <c r="H3" s="20" t="s">
        <v>74</v>
      </c>
      <c r="I3" s="20">
        <v>20</v>
      </c>
      <c r="J3" s="22">
        <f t="shared" ref="J3:J44" si="0">I3/60</f>
        <v>0.33333333333333331</v>
      </c>
      <c r="L3" s="24"/>
      <c r="M3" s="24"/>
      <c r="N3" s="20">
        <v>120</v>
      </c>
      <c r="O3" s="24"/>
      <c r="P3" s="24"/>
      <c r="Q3" s="20">
        <v>262</v>
      </c>
    </row>
    <row r="4" spans="1:17" x14ac:dyDescent="0.2">
      <c r="A4" s="19" t="s">
        <v>12</v>
      </c>
      <c r="B4" s="20">
        <v>80</v>
      </c>
      <c r="C4" s="20">
        <v>350</v>
      </c>
      <c r="D4" s="20">
        <v>151</v>
      </c>
      <c r="E4" s="20">
        <v>210</v>
      </c>
      <c r="H4" s="20" t="s">
        <v>74</v>
      </c>
      <c r="I4" s="20">
        <v>210</v>
      </c>
      <c r="J4" s="22">
        <f t="shared" si="0"/>
        <v>3.5</v>
      </c>
      <c r="L4" s="24"/>
      <c r="M4" s="24"/>
      <c r="N4" s="20">
        <v>165</v>
      </c>
      <c r="O4" s="24"/>
      <c r="P4" s="24"/>
      <c r="Q4" s="20">
        <v>355</v>
      </c>
    </row>
    <row r="5" spans="1:17" x14ac:dyDescent="0.2">
      <c r="A5" s="19" t="s">
        <v>13</v>
      </c>
      <c r="B5" s="20">
        <v>257</v>
      </c>
      <c r="C5" s="20">
        <v>162</v>
      </c>
      <c r="D5" s="20">
        <v>210</v>
      </c>
      <c r="E5" s="20">
        <v>450</v>
      </c>
      <c r="H5" s="21" t="s">
        <v>75</v>
      </c>
      <c r="I5" s="20">
        <v>140</v>
      </c>
      <c r="J5" s="22">
        <f t="shared" si="0"/>
        <v>2.3333333333333335</v>
      </c>
      <c r="L5" s="27">
        <v>600</v>
      </c>
      <c r="M5" s="27">
        <v>300</v>
      </c>
      <c r="N5" s="28">
        <v>660</v>
      </c>
      <c r="O5" s="24">
        <v>600</v>
      </c>
      <c r="P5" s="24">
        <v>60</v>
      </c>
      <c r="Q5" s="20">
        <v>180</v>
      </c>
    </row>
    <row r="6" spans="1:17" x14ac:dyDescent="0.2">
      <c r="A6" s="23"/>
      <c r="B6" s="24"/>
      <c r="C6" s="24">
        <v>870</v>
      </c>
      <c r="D6" s="25"/>
      <c r="E6" s="25"/>
      <c r="H6" s="21" t="s">
        <v>75</v>
      </c>
      <c r="I6" s="20">
        <v>240</v>
      </c>
      <c r="J6" s="22">
        <f t="shared" si="0"/>
        <v>4</v>
      </c>
    </row>
    <row r="7" spans="1:17" x14ac:dyDescent="0.2">
      <c r="A7" s="19" t="s">
        <v>14</v>
      </c>
      <c r="B7" s="20">
        <v>78</v>
      </c>
      <c r="C7" s="20">
        <v>60</v>
      </c>
      <c r="D7" s="20">
        <v>124</v>
      </c>
      <c r="E7" s="20">
        <v>220</v>
      </c>
      <c r="H7" s="21" t="s">
        <v>75</v>
      </c>
      <c r="I7" s="20">
        <v>105</v>
      </c>
      <c r="J7" s="22">
        <f t="shared" si="0"/>
        <v>1.75</v>
      </c>
    </row>
    <row r="8" spans="1:17" x14ac:dyDescent="0.2">
      <c r="A8" s="19" t="s">
        <v>15</v>
      </c>
      <c r="B8" s="20">
        <v>1048</v>
      </c>
      <c r="C8" s="20">
        <v>1140</v>
      </c>
      <c r="D8" s="26">
        <v>2190</v>
      </c>
      <c r="E8" s="20">
        <v>3600</v>
      </c>
      <c r="H8" s="21" t="s">
        <v>75</v>
      </c>
      <c r="I8" s="20">
        <v>155</v>
      </c>
      <c r="J8" s="22">
        <f t="shared" si="0"/>
        <v>2.5833333333333335</v>
      </c>
    </row>
    <row r="9" spans="1:17" x14ac:dyDescent="0.2">
      <c r="A9" s="19" t="s">
        <v>16</v>
      </c>
      <c r="B9" s="20">
        <v>240</v>
      </c>
      <c r="C9" s="20">
        <v>180</v>
      </c>
      <c r="D9" s="20">
        <v>20</v>
      </c>
      <c r="E9" s="20">
        <v>126</v>
      </c>
      <c r="H9" s="29" t="s">
        <v>76</v>
      </c>
      <c r="I9" s="20">
        <v>80</v>
      </c>
      <c r="J9" s="22">
        <f t="shared" si="0"/>
        <v>1.3333333333333333</v>
      </c>
    </row>
    <row r="10" spans="1:17" x14ac:dyDescent="0.2">
      <c r="A10" s="19" t="s">
        <v>17</v>
      </c>
      <c r="B10" s="20">
        <v>795</v>
      </c>
      <c r="C10" s="20">
        <v>1260</v>
      </c>
      <c r="D10" s="20">
        <v>225</v>
      </c>
      <c r="E10" s="26">
        <v>1510</v>
      </c>
      <c r="H10" s="29" t="s">
        <v>76</v>
      </c>
      <c r="I10" s="20">
        <v>350</v>
      </c>
      <c r="J10" s="22">
        <f t="shared" si="0"/>
        <v>5.833333333333333</v>
      </c>
    </row>
    <row r="11" spans="1:17" x14ac:dyDescent="0.2">
      <c r="A11" s="23"/>
      <c r="B11" s="24"/>
      <c r="C11" s="24"/>
      <c r="D11" s="24"/>
      <c r="E11" s="27">
        <v>600</v>
      </c>
      <c r="H11" s="29" t="s">
        <v>76</v>
      </c>
      <c r="I11" s="20">
        <v>151</v>
      </c>
      <c r="J11" s="22">
        <f t="shared" si="0"/>
        <v>2.5166666666666666</v>
      </c>
    </row>
    <row r="12" spans="1:17" x14ac:dyDescent="0.2">
      <c r="A12" s="23"/>
      <c r="B12" s="24"/>
      <c r="C12" s="24"/>
      <c r="D12" s="24"/>
      <c r="E12" s="27">
        <v>300</v>
      </c>
      <c r="H12" s="29" t="s">
        <v>76</v>
      </c>
      <c r="I12" s="20">
        <v>210</v>
      </c>
      <c r="J12" s="22">
        <f t="shared" si="0"/>
        <v>3.5</v>
      </c>
    </row>
    <row r="13" spans="1:17" x14ac:dyDescent="0.2">
      <c r="A13" s="19" t="s">
        <v>18</v>
      </c>
      <c r="B13" s="20">
        <v>150</v>
      </c>
      <c r="C13" s="20">
        <v>120</v>
      </c>
      <c r="D13" s="20">
        <v>165</v>
      </c>
      <c r="E13" s="28">
        <v>660</v>
      </c>
      <c r="H13" s="29" t="s">
        <v>77</v>
      </c>
      <c r="I13" s="20">
        <v>257</v>
      </c>
      <c r="J13" s="22">
        <f t="shared" si="0"/>
        <v>4.2833333333333332</v>
      </c>
    </row>
    <row r="14" spans="1:17" x14ac:dyDescent="0.2">
      <c r="A14" s="23"/>
      <c r="B14" s="24"/>
      <c r="C14" s="24"/>
      <c r="D14" s="24"/>
      <c r="E14" s="24">
        <v>600</v>
      </c>
      <c r="H14" s="29" t="s">
        <v>77</v>
      </c>
      <c r="I14" s="20">
        <v>162</v>
      </c>
      <c r="J14" s="22">
        <f t="shared" si="0"/>
        <v>2.7</v>
      </c>
    </row>
    <row r="15" spans="1:17" x14ac:dyDescent="0.2">
      <c r="A15" s="23"/>
      <c r="B15" s="24"/>
      <c r="C15" s="24"/>
      <c r="D15" s="24"/>
      <c r="E15" s="24">
        <v>60</v>
      </c>
      <c r="H15" s="29" t="s">
        <v>77</v>
      </c>
      <c r="I15" s="20">
        <v>210</v>
      </c>
      <c r="J15" s="22">
        <f t="shared" si="0"/>
        <v>3.5</v>
      </c>
    </row>
    <row r="16" spans="1:17" x14ac:dyDescent="0.2">
      <c r="A16" s="19" t="s">
        <v>19</v>
      </c>
      <c r="B16" s="20" t="s">
        <v>30</v>
      </c>
      <c r="C16" s="20">
        <v>262</v>
      </c>
      <c r="D16" s="20">
        <v>355</v>
      </c>
      <c r="E16" s="20">
        <v>180</v>
      </c>
      <c r="H16" s="29" t="s">
        <v>77</v>
      </c>
      <c r="I16" s="20">
        <v>450</v>
      </c>
      <c r="J16" s="22">
        <f t="shared" si="0"/>
        <v>7.5</v>
      </c>
    </row>
    <row r="17" spans="8:10" x14ac:dyDescent="0.2">
      <c r="H17" s="29" t="s">
        <v>77</v>
      </c>
      <c r="I17" s="24">
        <v>870</v>
      </c>
      <c r="J17" s="22">
        <f t="shared" si="0"/>
        <v>14.5</v>
      </c>
    </row>
    <row r="18" spans="8:10" x14ac:dyDescent="0.2">
      <c r="H18" s="29" t="s">
        <v>78</v>
      </c>
      <c r="I18" s="20">
        <v>78</v>
      </c>
      <c r="J18" s="22">
        <f t="shared" si="0"/>
        <v>1.3</v>
      </c>
    </row>
    <row r="19" spans="8:10" x14ac:dyDescent="0.2">
      <c r="H19" s="29" t="s">
        <v>78</v>
      </c>
      <c r="I19" s="20">
        <v>60</v>
      </c>
      <c r="J19" s="22">
        <f t="shared" si="0"/>
        <v>1</v>
      </c>
    </row>
    <row r="20" spans="8:10" x14ac:dyDescent="0.2">
      <c r="H20" s="29" t="s">
        <v>78</v>
      </c>
      <c r="I20" s="20">
        <v>124</v>
      </c>
      <c r="J20" s="22">
        <f t="shared" si="0"/>
        <v>2.0666666666666669</v>
      </c>
    </row>
    <row r="21" spans="8:10" x14ac:dyDescent="0.2">
      <c r="H21" s="29" t="s">
        <v>78</v>
      </c>
      <c r="I21" s="20">
        <v>220</v>
      </c>
      <c r="J21" s="22">
        <f t="shared" si="0"/>
        <v>3.6666666666666665</v>
      </c>
    </row>
    <row r="22" spans="8:10" x14ac:dyDescent="0.2">
      <c r="H22" s="29" t="s">
        <v>79</v>
      </c>
      <c r="I22" s="20">
        <v>1048</v>
      </c>
      <c r="J22" s="22">
        <f t="shared" si="0"/>
        <v>17.466666666666665</v>
      </c>
    </row>
    <row r="23" spans="8:10" x14ac:dyDescent="0.2">
      <c r="H23" s="29" t="s">
        <v>79</v>
      </c>
      <c r="I23" s="20">
        <v>1140</v>
      </c>
      <c r="J23" s="22">
        <f t="shared" si="0"/>
        <v>19</v>
      </c>
    </row>
    <row r="24" spans="8:10" x14ac:dyDescent="0.2">
      <c r="H24" s="29" t="s">
        <v>79</v>
      </c>
      <c r="I24" s="26">
        <v>2190</v>
      </c>
      <c r="J24" s="22">
        <f t="shared" si="0"/>
        <v>36.5</v>
      </c>
    </row>
    <row r="25" spans="8:10" x14ac:dyDescent="0.2">
      <c r="H25" s="29" t="s">
        <v>79</v>
      </c>
      <c r="I25" s="20">
        <v>3600</v>
      </c>
      <c r="J25" s="22">
        <f t="shared" si="0"/>
        <v>60</v>
      </c>
    </row>
    <row r="26" spans="8:10" x14ac:dyDescent="0.2">
      <c r="H26" s="29" t="s">
        <v>80</v>
      </c>
      <c r="I26" s="20">
        <v>240</v>
      </c>
      <c r="J26" s="22">
        <f t="shared" si="0"/>
        <v>4</v>
      </c>
    </row>
    <row r="27" spans="8:10" x14ac:dyDescent="0.2">
      <c r="H27" s="29" t="s">
        <v>80</v>
      </c>
      <c r="I27" s="20">
        <v>180</v>
      </c>
      <c r="J27" s="22">
        <f t="shared" si="0"/>
        <v>3</v>
      </c>
    </row>
    <row r="28" spans="8:10" x14ac:dyDescent="0.2">
      <c r="H28" s="29" t="s">
        <v>80</v>
      </c>
      <c r="I28" s="20">
        <v>20</v>
      </c>
      <c r="J28" s="22">
        <f t="shared" si="0"/>
        <v>0.33333333333333331</v>
      </c>
    </row>
    <row r="29" spans="8:10" x14ac:dyDescent="0.2">
      <c r="H29" s="29" t="s">
        <v>80</v>
      </c>
      <c r="I29" s="20">
        <v>126</v>
      </c>
      <c r="J29" s="22">
        <f t="shared" si="0"/>
        <v>2.1</v>
      </c>
    </row>
    <row r="30" spans="8:10" x14ac:dyDescent="0.2">
      <c r="H30" s="29" t="s">
        <v>81</v>
      </c>
      <c r="I30" s="20">
        <v>795</v>
      </c>
      <c r="J30" s="22">
        <f t="shared" si="0"/>
        <v>13.25</v>
      </c>
    </row>
    <row r="31" spans="8:10" x14ac:dyDescent="0.2">
      <c r="H31" s="29" t="s">
        <v>81</v>
      </c>
      <c r="I31" s="20">
        <v>1260</v>
      </c>
      <c r="J31" s="22">
        <f t="shared" si="0"/>
        <v>21</v>
      </c>
    </row>
    <row r="32" spans="8:10" x14ac:dyDescent="0.2">
      <c r="H32" s="29" t="s">
        <v>81</v>
      </c>
      <c r="I32" s="20">
        <v>225</v>
      </c>
      <c r="J32" s="22">
        <f t="shared" si="0"/>
        <v>3.75</v>
      </c>
    </row>
    <row r="33" spans="8:10" x14ac:dyDescent="0.2">
      <c r="H33" s="29" t="s">
        <v>81</v>
      </c>
      <c r="I33" s="26">
        <v>1510</v>
      </c>
      <c r="J33" s="22">
        <f t="shared" si="0"/>
        <v>25.166666666666668</v>
      </c>
    </row>
    <row r="34" spans="8:10" x14ac:dyDescent="0.2">
      <c r="H34" s="29" t="s">
        <v>81</v>
      </c>
      <c r="I34" s="30">
        <v>600</v>
      </c>
      <c r="J34" s="22">
        <f t="shared" si="0"/>
        <v>10</v>
      </c>
    </row>
    <row r="35" spans="8:10" x14ac:dyDescent="0.2">
      <c r="H35" s="29" t="s">
        <v>81</v>
      </c>
      <c r="I35" s="30">
        <v>300</v>
      </c>
      <c r="J35" s="22">
        <f t="shared" si="0"/>
        <v>5</v>
      </c>
    </row>
    <row r="36" spans="8:10" x14ac:dyDescent="0.2">
      <c r="H36" s="29" t="s">
        <v>82</v>
      </c>
      <c r="I36" s="20">
        <v>150</v>
      </c>
      <c r="J36" s="22">
        <f t="shared" si="0"/>
        <v>2.5</v>
      </c>
    </row>
    <row r="37" spans="8:10" x14ac:dyDescent="0.2">
      <c r="H37" s="29" t="s">
        <v>82</v>
      </c>
      <c r="I37" s="20">
        <v>120</v>
      </c>
      <c r="J37" s="22">
        <f t="shared" si="0"/>
        <v>2</v>
      </c>
    </row>
    <row r="38" spans="8:10" x14ac:dyDescent="0.2">
      <c r="H38" s="29" t="s">
        <v>82</v>
      </c>
      <c r="I38" s="20">
        <v>165</v>
      </c>
      <c r="J38" s="22">
        <f t="shared" si="0"/>
        <v>2.75</v>
      </c>
    </row>
    <row r="39" spans="8:10" x14ac:dyDescent="0.2">
      <c r="H39" s="29" t="s">
        <v>82</v>
      </c>
      <c r="I39" s="28">
        <v>660</v>
      </c>
      <c r="J39" s="22">
        <f t="shared" si="0"/>
        <v>11</v>
      </c>
    </row>
    <row r="40" spans="8:10" x14ac:dyDescent="0.2">
      <c r="H40" s="29" t="s">
        <v>82</v>
      </c>
      <c r="I40" s="30">
        <v>600</v>
      </c>
      <c r="J40" s="22">
        <f t="shared" si="0"/>
        <v>10</v>
      </c>
    </row>
    <row r="41" spans="8:10" x14ac:dyDescent="0.2">
      <c r="H41" s="29" t="s">
        <v>82</v>
      </c>
      <c r="I41" s="30">
        <v>60</v>
      </c>
      <c r="J41" s="22">
        <f t="shared" si="0"/>
        <v>1</v>
      </c>
    </row>
    <row r="42" spans="8:10" x14ac:dyDescent="0.2">
      <c r="H42" s="29" t="s">
        <v>83</v>
      </c>
      <c r="I42" s="20">
        <v>262</v>
      </c>
      <c r="J42" s="22">
        <f t="shared" si="0"/>
        <v>4.3666666666666663</v>
      </c>
    </row>
    <row r="43" spans="8:10" x14ac:dyDescent="0.2">
      <c r="H43" s="29" t="s">
        <v>83</v>
      </c>
      <c r="I43" s="20">
        <v>355</v>
      </c>
      <c r="J43" s="22">
        <f t="shared" si="0"/>
        <v>5.916666666666667</v>
      </c>
    </row>
    <row r="44" spans="8:10" x14ac:dyDescent="0.2">
      <c r="H44" s="29" t="s">
        <v>83</v>
      </c>
      <c r="I44" s="20">
        <v>180</v>
      </c>
      <c r="J44" s="22">
        <f t="shared" si="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Collection Form</vt:lpstr>
      <vt:lpstr>Surgeon Consent</vt:lpstr>
      <vt:lpstr>Sheet3</vt:lpstr>
    </vt:vector>
  </TitlesOfParts>
  <Company>HSC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cp:lastPrinted>2017-04-04T11:29:01Z</cp:lastPrinted>
  <dcterms:created xsi:type="dcterms:W3CDTF">2016-10-11T23:40:50Z</dcterms:created>
  <dcterms:modified xsi:type="dcterms:W3CDTF">2017-05-24T22:22:38Z</dcterms:modified>
</cp:coreProperties>
</file>