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rushriswarup/Documents/Graduate School/Ear Surgery Instruments/"/>
    </mc:Choice>
  </mc:AlternateContent>
  <bookViews>
    <workbookView xWindow="440" yWindow="1580" windowWidth="28360" windowHeight="14080" tabRatio="500" activeTab="1"/>
  </bookViews>
  <sheets>
    <sheet name="Sheet1" sheetId="1" r:id="rId1"/>
    <sheet name="Pusher Device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" i="1" l="1"/>
  <c r="L21" i="1"/>
  <c r="E30" i="1"/>
  <c r="L25" i="1"/>
  <c r="L20" i="1"/>
  <c r="K21" i="1"/>
  <c r="K20" i="1"/>
  <c r="G21" i="1"/>
  <c r="H26" i="1"/>
  <c r="H25" i="1"/>
  <c r="H21" i="1"/>
  <c r="G25" i="1"/>
  <c r="G15" i="1"/>
  <c r="G23" i="1"/>
  <c r="K23" i="1"/>
  <c r="K24" i="1"/>
  <c r="K25" i="1"/>
  <c r="K17" i="1"/>
  <c r="G18" i="1"/>
  <c r="K18" i="1"/>
  <c r="K19" i="1"/>
  <c r="L15" i="1"/>
  <c r="D3" i="1"/>
  <c r="G3" i="1"/>
  <c r="K3" i="1"/>
  <c r="G4" i="1"/>
  <c r="K4" i="1"/>
  <c r="D5" i="1"/>
  <c r="G5" i="1"/>
  <c r="K5" i="1"/>
  <c r="D6" i="1"/>
  <c r="G6" i="1"/>
  <c r="K6" i="1"/>
  <c r="D7" i="1"/>
  <c r="G7" i="1"/>
  <c r="K7" i="1"/>
  <c r="K8" i="1"/>
  <c r="K9" i="1"/>
  <c r="G10" i="1"/>
  <c r="K10" i="1"/>
  <c r="G11" i="1"/>
  <c r="K11" i="1"/>
  <c r="G12" i="1"/>
  <c r="K12" i="1"/>
  <c r="G13" i="1"/>
  <c r="K13" i="1"/>
  <c r="K15" i="1"/>
  <c r="H23" i="1"/>
  <c r="L23" i="1"/>
  <c r="L26" i="1"/>
  <c r="K26" i="1"/>
  <c r="G26" i="1"/>
</calcChain>
</file>

<file path=xl/sharedStrings.xml><?xml version="1.0" encoding="utf-8"?>
<sst xmlns="http://schemas.openxmlformats.org/spreadsheetml/2006/main" count="94" uniqueCount="79">
  <si>
    <t>Description</t>
  </si>
  <si>
    <t>Unit</t>
  </si>
  <si>
    <t>Price/Unit</t>
  </si>
  <si>
    <t>Source</t>
  </si>
  <si>
    <t>Item</t>
  </si>
  <si>
    <t>Inner diameter &gt; 0.039"</t>
  </si>
  <si>
    <t xml:space="preserve">https://shop.nitinol.com/shop/?slug=index.php&amp;cPath=27 </t>
  </si>
  <si>
    <t>ft (min 4 ft)</t>
  </si>
  <si>
    <t>Nitinol Tubing - NDC</t>
  </si>
  <si>
    <t>19 Gauge Suction Cannula</t>
  </si>
  <si>
    <t>T-Tube Inserter</t>
  </si>
  <si>
    <t>3D Printing Budget</t>
  </si>
  <si>
    <t>Proto3000 - Initial thumb piece slider quote = $65.00</t>
  </si>
  <si>
    <t>piece</t>
  </si>
  <si>
    <t>http://www.mytamed.com/Rosen-Suction-Tubes-p/rosen-suction-tubes.htm</t>
  </si>
  <si>
    <t>http://www.re-owned.com/itemcode-308656320-c3#.Vnytmd-rT-Y</t>
  </si>
  <si>
    <t xml:space="preserve">Panetti - 10-800-12 </t>
  </si>
  <si>
    <t>Suction dissector for ear drum single curved, left side, 3 mm</t>
  </si>
  <si>
    <t>Panetti - 10-802-12</t>
  </si>
  <si>
    <t xml:space="preserve">Suction dissector for sinus tympani, double curved, backwards, left side, 6 mm </t>
  </si>
  <si>
    <t>Panetti - 10-850-00</t>
  </si>
  <si>
    <t xml:space="preserve">connector </t>
  </si>
  <si>
    <t>see email from Dr. James - 07-Jan-2016
catalogue: http://entermedkno.mediastorm.nl/bestanden/380/Panetti%20Suction%20Instruments%20Set.pdf</t>
  </si>
  <si>
    <t>Machining Bits</t>
  </si>
  <si>
    <t>to be safe, 1800 budget</t>
  </si>
  <si>
    <t>Instruments</t>
  </si>
  <si>
    <t>Prototyping Materials:</t>
  </si>
  <si>
    <t>Sub-Total</t>
  </si>
  <si>
    <t>Qty</t>
  </si>
  <si>
    <t>Personnel</t>
  </si>
  <si>
    <t>Student Stipend</t>
  </si>
  <si>
    <t>year</t>
  </si>
  <si>
    <t>Solidworks Course</t>
  </si>
  <si>
    <t>one-time</t>
  </si>
  <si>
    <t>Grand Total</t>
  </si>
  <si>
    <t>Sick Kids Quotation - Dr Adrian James - Jan 8 2016.pdf</t>
  </si>
  <si>
    <t>Rosen Needle (small)</t>
  </si>
  <si>
    <t>Rosen Needle (large)</t>
  </si>
  <si>
    <t>MF-18652-011516.18N.pdf</t>
  </si>
  <si>
    <t>KNIFE MCO5D MICROFRANCE SUCTION RND 2MM</t>
  </si>
  <si>
    <t>KNIFE MCO5E MICROFRANCE SUCTION RND 3MM</t>
  </si>
  <si>
    <t>PICK MCO989 180MM CVD MONOPOLAR LEGENT</t>
  </si>
  <si>
    <t>CABLE CP391 1.8M MONOPOLAR</t>
  </si>
  <si>
    <t>as of 17-Jan-2016 the exchange rate is 0.6883 CAD = 1 USD</t>
  </si>
  <si>
    <t>Price (CAD) Year 1</t>
  </si>
  <si>
    <t>Price (USD) Year 1</t>
  </si>
  <si>
    <t>Price (CAD) Year 2</t>
  </si>
  <si>
    <t>Price (USD) Year 2</t>
  </si>
  <si>
    <t>Sub-Total + tax</t>
  </si>
  <si>
    <t>tax (HST)</t>
  </si>
  <si>
    <t>Metal Machining</t>
  </si>
  <si>
    <t>Component</t>
  </si>
  <si>
    <t>Technical Spec</t>
  </si>
  <si>
    <t>Device: Pusher</t>
  </si>
  <si>
    <t>ID = 1mm = 0.039"</t>
  </si>
  <si>
    <t>Thumb Piece</t>
  </si>
  <si>
    <t>ID = 5mm</t>
  </si>
  <si>
    <t>Nitinol tube (metal sheath)</t>
  </si>
  <si>
    <t xml:space="preserve">Thumb Piece Pusher extrusion </t>
  </si>
  <si>
    <t>slot &gt;= 1mm</t>
  </si>
  <si>
    <t>extrusion length = 44.5mm = 1.75"</t>
  </si>
  <si>
    <t>Thumb Piece Length</t>
  </si>
  <si>
    <t>TBD based on ergonomics testing</t>
  </si>
  <si>
    <t>Thumb Piece OD</t>
  </si>
  <si>
    <t>V-2</t>
  </si>
  <si>
    <t xml:space="preserve">Intital - tested on ear cadaver and generally works </t>
  </si>
  <si>
    <t xml:space="preserve">Revision Notes: </t>
  </si>
  <si>
    <t xml:space="preserve">Design Iterations: </t>
  </si>
  <si>
    <t>Version:</t>
  </si>
  <si>
    <t>Desription:</t>
  </si>
  <si>
    <t>V-3</t>
  </si>
  <si>
    <t xml:space="preserve">Link: </t>
  </si>
  <si>
    <t>https://drive.google.com/open?id=0B1QbcJa_MetzNHRONUEwN2RLQkk</t>
  </si>
  <si>
    <t>- ergonomics - thumb piece too long (1"), OD too thick (0.19" - distance from hole to OD)
- size - thumb piece pusher extrusion - sticking out too wide from body of Rosen Needle (0.07")</t>
  </si>
  <si>
    <t>https://drive.google.com/open?id=0B1QbcJa_MetzbzhoUXVwSGRuSlU</t>
  </si>
  <si>
    <t>V-4</t>
  </si>
  <si>
    <t xml:space="preserve">- thumb piece - length = 0.75", distance from hole to OD = 0.07"
- - thumb piece pusher extrusion = 0.07" wide, slot = 0.03" wide </t>
  </si>
  <si>
    <t>- thumb piece - length = 0.75", distance from hole to OD = 0.07"
- thumb piece pusher extrusion = 0.05" wide, slot = 0.025" wide so the walls are not too thin</t>
  </si>
  <si>
    <t>https://drive.google.com/open?id=0B1QbcJa_MetzZ21FMjZ6OTJYM2M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</si>
</sst>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2D53"/>
        <bgColor indexed="64"/>
      </patternFill>
    </fill>
    <fill>
      <patternFill patternType="solid">
        <fgColor rgb="FFFF5AC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Fill="1" applyAlignment="1">
      <alignment wrapText="1"/>
    </xf>
    <xf numFmtId="0" fontId="2" fillId="3" borderId="0" xfId="0" applyFont="1" applyFill="1" applyBorder="1" applyAlignment="1"/>
    <xf numFmtId="0" fontId="3" fillId="3" borderId="0" xfId="0" applyFont="1" applyFill="1" applyAlignment="1"/>
    <xf numFmtId="0" fontId="0" fillId="4" borderId="0" xfId="0" applyFill="1" applyAlignment="1">
      <alignment wrapText="1"/>
    </xf>
    <xf numFmtId="0" fontId="0" fillId="0" borderId="0" xfId="0" applyAlignment="1"/>
    <xf numFmtId="0" fontId="0" fillId="5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wrapText="1"/>
    </xf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3" fillId="7" borderId="0" xfId="0" applyFont="1" applyFill="1"/>
    <xf numFmtId="0" fontId="3" fillId="7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5ACA"/>
      <color rgb="FFFF2D53"/>
      <color rgb="FFF573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.nitinol.com/shop/?slug=index.php&amp;cPath=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pane ySplit="1" topLeftCell="A11" activePane="bottomLeft" state="frozen"/>
      <selection pane="bottomLeft" activeCell="H17" sqref="H17"/>
    </sheetView>
  </sheetViews>
  <sheetFormatPr baseColWidth="10" defaultRowHeight="16" x14ac:dyDescent="0.2"/>
  <cols>
    <col min="1" max="1" width="10.83203125" style="2"/>
    <col min="2" max="2" width="23.6640625" style="2" bestFit="1" customWidth="1"/>
    <col min="3" max="3" width="20.5" style="2" customWidth="1"/>
    <col min="4" max="4" width="10.6640625" style="2" customWidth="1"/>
    <col min="5" max="5" width="10.83203125" style="2" customWidth="1"/>
    <col min="6" max="6" width="6.1640625" style="2" customWidth="1"/>
    <col min="7" max="8" width="10.83203125" style="2" customWidth="1"/>
    <col min="9" max="9" width="56" style="2" customWidth="1"/>
    <col min="10" max="10" width="10.83203125" style="2" customWidth="1"/>
    <col min="11" max="13" width="11.6640625" style="2" bestFit="1" customWidth="1"/>
    <col min="14" max="16384" width="10.83203125" style="2"/>
  </cols>
  <sheetData>
    <row r="1" spans="1:14" s="1" customFormat="1" ht="57" x14ac:dyDescent="0.25">
      <c r="B1" s="1" t="s">
        <v>4</v>
      </c>
      <c r="C1" s="1" t="s">
        <v>0</v>
      </c>
      <c r="D1" s="1" t="s">
        <v>2</v>
      </c>
      <c r="E1" s="1" t="s">
        <v>1</v>
      </c>
      <c r="F1" s="1" t="s">
        <v>28</v>
      </c>
      <c r="G1" s="1" t="s">
        <v>44</v>
      </c>
      <c r="H1" s="1" t="s">
        <v>46</v>
      </c>
      <c r="I1" s="1" t="s">
        <v>3</v>
      </c>
      <c r="K1" s="1" t="s">
        <v>45</v>
      </c>
      <c r="L1" s="1" t="s">
        <v>47</v>
      </c>
    </row>
    <row r="2" spans="1:14" s="5" customFormat="1" ht="19" x14ac:dyDescent="0.25">
      <c r="A2" s="5" t="s">
        <v>25</v>
      </c>
    </row>
    <row r="3" spans="1:14" x14ac:dyDescent="0.2">
      <c r="B3" s="2" t="s">
        <v>36</v>
      </c>
      <c r="D3" s="4">
        <f>75.5</f>
        <v>75.5</v>
      </c>
      <c r="E3" s="2" t="s">
        <v>13</v>
      </c>
      <c r="F3" s="2">
        <v>3</v>
      </c>
      <c r="G3" s="4">
        <f>D3*F3</f>
        <v>226.5</v>
      </c>
      <c r="H3" s="4"/>
      <c r="I3" s="2" t="s">
        <v>35</v>
      </c>
      <c r="K3" s="2">
        <f t="shared" ref="K3:K13" si="0">G3*$M$3</f>
        <v>155.89995000000002</v>
      </c>
      <c r="M3" s="2">
        <v>0.68830000000000002</v>
      </c>
      <c r="N3" s="8" t="s">
        <v>43</v>
      </c>
    </row>
    <row r="4" spans="1:14" x14ac:dyDescent="0.2">
      <c r="B4" s="2" t="s">
        <v>37</v>
      </c>
      <c r="D4" s="4">
        <v>152.6</v>
      </c>
      <c r="E4" s="2" t="s">
        <v>13</v>
      </c>
      <c r="F4" s="2">
        <v>3</v>
      </c>
      <c r="G4" s="4">
        <f>D4*F4</f>
        <v>457.79999999999995</v>
      </c>
      <c r="H4" s="4"/>
      <c r="I4" s="2" t="s">
        <v>35</v>
      </c>
      <c r="K4" s="2">
        <f t="shared" si="0"/>
        <v>315.10373999999996</v>
      </c>
      <c r="M4" s="2">
        <v>1.1299999999999999</v>
      </c>
      <c r="N4" s="2" t="s">
        <v>49</v>
      </c>
    </row>
    <row r="5" spans="1:14" ht="48" x14ac:dyDescent="0.2">
      <c r="B5" s="2" t="s">
        <v>16</v>
      </c>
      <c r="C5" s="2" t="s">
        <v>17</v>
      </c>
      <c r="D5" s="4">
        <f>658</f>
        <v>658</v>
      </c>
      <c r="E5" s="2" t="s">
        <v>13</v>
      </c>
      <c r="F5" s="2">
        <v>1</v>
      </c>
      <c r="G5" s="4">
        <f>D5*F5</f>
        <v>658</v>
      </c>
      <c r="H5" s="4"/>
      <c r="I5" s="10" t="s">
        <v>22</v>
      </c>
      <c r="K5" s="2">
        <f t="shared" si="0"/>
        <v>452.90140000000002</v>
      </c>
    </row>
    <row r="6" spans="1:14" ht="64" x14ac:dyDescent="0.2">
      <c r="B6" s="2" t="s">
        <v>18</v>
      </c>
      <c r="C6" s="2" t="s">
        <v>19</v>
      </c>
      <c r="D6" s="4">
        <f>658</f>
        <v>658</v>
      </c>
      <c r="E6" s="2" t="s">
        <v>13</v>
      </c>
      <c r="F6" s="2">
        <v>1</v>
      </c>
      <c r="G6" s="4">
        <f>D6*F6</f>
        <v>658</v>
      </c>
      <c r="H6" s="4"/>
      <c r="I6" s="10"/>
      <c r="K6" s="2">
        <f t="shared" si="0"/>
        <v>452.90140000000002</v>
      </c>
    </row>
    <row r="7" spans="1:14" x14ac:dyDescent="0.2">
      <c r="B7" s="2" t="s">
        <v>20</v>
      </c>
      <c r="C7" s="2" t="s">
        <v>21</v>
      </c>
      <c r="D7" s="4">
        <f>472</f>
        <v>472</v>
      </c>
      <c r="E7" s="2" t="s">
        <v>13</v>
      </c>
      <c r="F7" s="2">
        <v>1</v>
      </c>
      <c r="G7" s="4">
        <f>D7*F7</f>
        <v>472</v>
      </c>
      <c r="H7" s="4"/>
      <c r="I7" s="10"/>
      <c r="K7" s="2">
        <f t="shared" si="0"/>
        <v>324.87760000000003</v>
      </c>
    </row>
    <row r="8" spans="1:14" ht="32" x14ac:dyDescent="0.2">
      <c r="B8" s="2" t="s">
        <v>9</v>
      </c>
      <c r="D8" s="2">
        <v>30</v>
      </c>
      <c r="E8" s="2" t="s">
        <v>13</v>
      </c>
      <c r="F8" s="2">
        <v>2</v>
      </c>
      <c r="G8" s="2">
        <v>90</v>
      </c>
      <c r="I8" s="2" t="s">
        <v>14</v>
      </c>
      <c r="K8" s="2">
        <f t="shared" si="0"/>
        <v>61.947000000000003</v>
      </c>
    </row>
    <row r="9" spans="1:14" x14ac:dyDescent="0.2">
      <c r="B9" s="2" t="s">
        <v>10</v>
      </c>
      <c r="D9" s="2">
        <v>75</v>
      </c>
      <c r="E9" s="2" t="s">
        <v>13</v>
      </c>
      <c r="F9" s="2">
        <v>1</v>
      </c>
      <c r="G9" s="2">
        <v>110</v>
      </c>
      <c r="I9" s="2" t="s">
        <v>15</v>
      </c>
      <c r="K9" s="2">
        <f t="shared" si="0"/>
        <v>75.713000000000008</v>
      </c>
    </row>
    <row r="10" spans="1:14" ht="48" x14ac:dyDescent="0.2">
      <c r="B10" s="2" t="s">
        <v>39</v>
      </c>
      <c r="D10" s="2">
        <v>274.5</v>
      </c>
      <c r="F10" s="2">
        <v>1</v>
      </c>
      <c r="G10" s="2">
        <f>D10*F10</f>
        <v>274.5</v>
      </c>
      <c r="I10" s="2" t="s">
        <v>38</v>
      </c>
      <c r="K10" s="2">
        <f t="shared" si="0"/>
        <v>188.93835000000001</v>
      </c>
    </row>
    <row r="11" spans="1:14" ht="48" x14ac:dyDescent="0.2">
      <c r="B11" s="2" t="s">
        <v>40</v>
      </c>
      <c r="D11" s="2">
        <v>274.5</v>
      </c>
      <c r="F11" s="2">
        <v>1</v>
      </c>
      <c r="G11" s="2">
        <f>D11*F11</f>
        <v>274.5</v>
      </c>
      <c r="I11" s="2" t="s">
        <v>38</v>
      </c>
      <c r="K11" s="2">
        <f t="shared" si="0"/>
        <v>188.93835000000001</v>
      </c>
    </row>
    <row r="12" spans="1:14" ht="32" x14ac:dyDescent="0.2">
      <c r="B12" s="2" t="s">
        <v>41</v>
      </c>
      <c r="D12" s="2">
        <v>251.1</v>
      </c>
      <c r="F12" s="2">
        <v>1</v>
      </c>
      <c r="G12" s="2">
        <f>D12*F12</f>
        <v>251.1</v>
      </c>
      <c r="I12" s="2" t="s">
        <v>38</v>
      </c>
      <c r="K12" s="2">
        <f t="shared" si="0"/>
        <v>172.83213000000001</v>
      </c>
    </row>
    <row r="13" spans="1:14" ht="32" x14ac:dyDescent="0.2">
      <c r="B13" s="2" t="s">
        <v>42</v>
      </c>
      <c r="D13" s="2">
        <v>51.3</v>
      </c>
      <c r="F13" s="2">
        <v>1</v>
      </c>
      <c r="G13" s="2">
        <f>D13*F13</f>
        <v>51.3</v>
      </c>
      <c r="I13" s="2" t="s">
        <v>38</v>
      </c>
      <c r="K13" s="2">
        <f t="shared" si="0"/>
        <v>35.30979</v>
      </c>
    </row>
    <row r="15" spans="1:14" s="7" customFormat="1" ht="32" x14ac:dyDescent="0.2">
      <c r="A15" s="7" t="s">
        <v>48</v>
      </c>
      <c r="G15" s="7">
        <f>SUM(G3:G13)*$M$4</f>
        <v>3981.7809999999999</v>
      </c>
      <c r="H15" s="7">
        <v>0</v>
      </c>
      <c r="K15" s="7">
        <f>SUM(K3:K13)*1.13</f>
        <v>2740.6598622999995</v>
      </c>
      <c r="L15" s="7">
        <f>SUM(L3:L14)*1.13</f>
        <v>0</v>
      </c>
    </row>
    <row r="16" spans="1:14" s="6" customFormat="1" ht="19" x14ac:dyDescent="0.25">
      <c r="A16" s="6" t="s">
        <v>26</v>
      </c>
    </row>
    <row r="17" spans="1:13" ht="48" x14ac:dyDescent="0.2">
      <c r="B17" s="2" t="s">
        <v>8</v>
      </c>
      <c r="C17" s="2" t="s">
        <v>5</v>
      </c>
      <c r="D17" s="2">
        <v>80</v>
      </c>
      <c r="E17" s="2" t="s">
        <v>7</v>
      </c>
      <c r="F17" s="2">
        <v>12</v>
      </c>
      <c r="G17" s="2">
        <v>1800</v>
      </c>
      <c r="H17" s="2">
        <v>0</v>
      </c>
      <c r="I17" s="3" t="s">
        <v>6</v>
      </c>
      <c r="J17" s="2" t="s">
        <v>24</v>
      </c>
      <c r="K17" s="2">
        <f>G17*$M$3</f>
        <v>1238.94</v>
      </c>
    </row>
    <row r="18" spans="1:13" x14ac:dyDescent="0.2">
      <c r="B18" s="2" t="s">
        <v>11</v>
      </c>
      <c r="D18" s="2">
        <v>40</v>
      </c>
      <c r="E18" s="2" t="s">
        <v>13</v>
      </c>
      <c r="F18" s="2">
        <v>20</v>
      </c>
      <c r="G18" s="2">
        <f>D18*F18</f>
        <v>800</v>
      </c>
      <c r="H18" s="2">
        <v>3000</v>
      </c>
      <c r="I18" s="2" t="s">
        <v>12</v>
      </c>
      <c r="K18" s="2">
        <f>G18*$M$3</f>
        <v>550.64</v>
      </c>
      <c r="L18" s="2">
        <v>2500</v>
      </c>
    </row>
    <row r="19" spans="1:13" x14ac:dyDescent="0.2">
      <c r="B19" s="2" t="s">
        <v>23</v>
      </c>
      <c r="G19" s="2">
        <v>100</v>
      </c>
      <c r="K19" s="2">
        <f>G19*$M$3</f>
        <v>68.83</v>
      </c>
    </row>
    <row r="20" spans="1:13" x14ac:dyDescent="0.2">
      <c r="B20" s="2" t="s">
        <v>50</v>
      </c>
      <c r="G20" s="2">
        <v>3000</v>
      </c>
      <c r="H20" s="2">
        <v>7000</v>
      </c>
      <c r="K20" s="2">
        <f>G20*$M$3</f>
        <v>2064.9</v>
      </c>
      <c r="L20" s="2">
        <f>H20*$M$3</f>
        <v>4818.1000000000004</v>
      </c>
    </row>
    <row r="21" spans="1:13" s="7" customFormat="1" ht="32" x14ac:dyDescent="0.2">
      <c r="A21" s="7" t="s">
        <v>48</v>
      </c>
      <c r="G21" s="7">
        <f>SUM(G17:G20)*$M$4</f>
        <v>6440.9999999999991</v>
      </c>
      <c r="H21" s="7">
        <f>SUM(H17:H20)*1.13</f>
        <v>11299.999999999998</v>
      </c>
      <c r="K21" s="7">
        <f>SUM(K17:K20)*1.13</f>
        <v>4433.3402999999998</v>
      </c>
      <c r="L21" s="7">
        <f>L18+L20*1.13</f>
        <v>7944.4529999999995</v>
      </c>
    </row>
    <row r="22" spans="1:13" s="6" customFormat="1" ht="19" x14ac:dyDescent="0.25">
      <c r="A22" s="6" t="s">
        <v>29</v>
      </c>
    </row>
    <row r="23" spans="1:13" x14ac:dyDescent="0.2">
      <c r="B23" s="2" t="s">
        <v>30</v>
      </c>
      <c r="C23" s="2" t="s">
        <v>5</v>
      </c>
      <c r="D23" s="2">
        <v>23465</v>
      </c>
      <c r="E23" s="2" t="s">
        <v>31</v>
      </c>
      <c r="F23" s="2">
        <v>1</v>
      </c>
      <c r="G23" s="2">
        <f>D23*F23</f>
        <v>23465</v>
      </c>
      <c r="H23" s="2">
        <f>D23*F23</f>
        <v>23465</v>
      </c>
      <c r="I23" s="3"/>
      <c r="K23" s="2">
        <f>G23*$M$3</f>
        <v>16150.959500000001</v>
      </c>
      <c r="L23" s="2">
        <f>H23*$M$3</f>
        <v>16150.959500000001</v>
      </c>
    </row>
    <row r="24" spans="1:13" x14ac:dyDescent="0.2">
      <c r="B24" s="2" t="s">
        <v>32</v>
      </c>
      <c r="C24" s="2" t="s">
        <v>5</v>
      </c>
      <c r="D24" s="2">
        <v>568</v>
      </c>
      <c r="E24" s="2" t="s">
        <v>33</v>
      </c>
      <c r="F24" s="2">
        <v>1</v>
      </c>
      <c r="G24" s="2">
        <v>568</v>
      </c>
      <c r="I24" s="3"/>
      <c r="K24" s="2">
        <f>G24*$M$3</f>
        <v>390.95440000000002</v>
      </c>
    </row>
    <row r="25" spans="1:13" s="7" customFormat="1" x14ac:dyDescent="0.2">
      <c r="A25" s="7" t="s">
        <v>27</v>
      </c>
      <c r="G25" s="7">
        <f>G23+G24*$M$4</f>
        <v>24106.84</v>
      </c>
      <c r="H25" s="7">
        <f>H23</f>
        <v>23465</v>
      </c>
      <c r="K25" s="7">
        <f>K23+K24*1.13</f>
        <v>16592.737972000003</v>
      </c>
      <c r="L25" s="7">
        <f>SUM(L23)</f>
        <v>16150.959500000001</v>
      </c>
    </row>
    <row r="26" spans="1:13" s="9" customFormat="1" x14ac:dyDescent="0.2">
      <c r="A26" s="9" t="s">
        <v>34</v>
      </c>
      <c r="G26" s="9">
        <f>SUM(G15, G21, G25)</f>
        <v>34529.620999999999</v>
      </c>
      <c r="H26" s="9">
        <f>SUM(H15,H21,H25)</f>
        <v>34765</v>
      </c>
      <c r="K26" s="9">
        <f>SUM(K15, K21, K25)</f>
        <v>23766.738134300002</v>
      </c>
      <c r="L26" s="9">
        <f>SUM(L15,L21, L25)</f>
        <v>24095.412499999999</v>
      </c>
      <c r="M26" s="9">
        <f>K26+L26</f>
        <v>47862.1506343</v>
      </c>
    </row>
    <row r="30" spans="1:13" x14ac:dyDescent="0.2">
      <c r="E30" s="2">
        <f>3000*0.69*1.13</f>
        <v>2339.1</v>
      </c>
    </row>
  </sheetData>
  <mergeCells count="1">
    <mergeCell ref="I5:I7"/>
  </mergeCells>
  <hyperlinks>
    <hyperlink ref="I1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7" sqref="D17"/>
    </sheetView>
  </sheetViews>
  <sheetFormatPr baseColWidth="10" defaultRowHeight="16" x14ac:dyDescent="0.2"/>
  <cols>
    <col min="2" max="2" width="26.1640625" bestFit="1" customWidth="1"/>
    <col min="3" max="3" width="39.5" style="2" customWidth="1"/>
    <col min="4" max="4" width="49.1640625" customWidth="1"/>
  </cols>
  <sheetData>
    <row r="1" spans="1:5" s="14" customFormat="1" ht="19" x14ac:dyDescent="0.25">
      <c r="A1" s="14" t="s">
        <v>53</v>
      </c>
      <c r="C1" s="15"/>
    </row>
    <row r="2" spans="1:5" s="12" customFormat="1" x14ac:dyDescent="0.2">
      <c r="B2" s="12" t="s">
        <v>51</v>
      </c>
      <c r="C2" s="13" t="s">
        <v>52</v>
      </c>
    </row>
    <row r="3" spans="1:5" x14ac:dyDescent="0.2">
      <c r="B3" t="s">
        <v>57</v>
      </c>
      <c r="C3" s="2" t="s">
        <v>54</v>
      </c>
    </row>
    <row r="4" spans="1:5" x14ac:dyDescent="0.2">
      <c r="B4" t="s">
        <v>55</v>
      </c>
      <c r="C4" s="2" t="s">
        <v>56</v>
      </c>
    </row>
    <row r="5" spans="1:5" x14ac:dyDescent="0.2">
      <c r="B5" t="s">
        <v>58</v>
      </c>
      <c r="C5" s="2" t="s">
        <v>59</v>
      </c>
      <c r="D5" t="s">
        <v>60</v>
      </c>
    </row>
    <row r="6" spans="1:5" x14ac:dyDescent="0.2">
      <c r="B6" t="s">
        <v>61</v>
      </c>
      <c r="C6" s="2" t="s">
        <v>62</v>
      </c>
    </row>
    <row r="7" spans="1:5" x14ac:dyDescent="0.2">
      <c r="B7" t="s">
        <v>63</v>
      </c>
      <c r="C7" s="2" t="s">
        <v>62</v>
      </c>
    </row>
    <row r="10" spans="1:5" s="12" customFormat="1" x14ac:dyDescent="0.2">
      <c r="A10" s="12" t="s">
        <v>67</v>
      </c>
      <c r="C10" s="13"/>
    </row>
    <row r="11" spans="1:5" s="12" customFormat="1" x14ac:dyDescent="0.2">
      <c r="B11" s="12" t="s">
        <v>68</v>
      </c>
      <c r="C11" s="13" t="s">
        <v>69</v>
      </c>
      <c r="D11" s="12" t="s">
        <v>66</v>
      </c>
      <c r="E11" s="12" t="s">
        <v>71</v>
      </c>
    </row>
    <row r="12" spans="1:5" ht="64" x14ac:dyDescent="0.2">
      <c r="B12" t="s">
        <v>64</v>
      </c>
      <c r="C12" s="2" t="s">
        <v>65</v>
      </c>
      <c r="D12" s="11" t="s">
        <v>73</v>
      </c>
      <c r="E12" t="s">
        <v>72</v>
      </c>
    </row>
    <row r="13" spans="1:5" ht="64" x14ac:dyDescent="0.2">
      <c r="B13" t="s">
        <v>70</v>
      </c>
      <c r="C13" s="11" t="s">
        <v>76</v>
      </c>
      <c r="E13" t="s">
        <v>74</v>
      </c>
    </row>
    <row r="14" spans="1:5" ht="64" x14ac:dyDescent="0.2">
      <c r="B14" t="s">
        <v>75</v>
      </c>
      <c r="C14" s="11" t="s">
        <v>77</v>
      </c>
      <c r="E1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Pusher Device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2015-12-25T02:19:25Z</dcterms:created>
  <dcterms:modified xsi:type="dcterms:W3CDTF">2016-01-25T16:47:04Z</dcterms:modified>
</cp:coreProperties>
</file>