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WN PROJECTS\PERSONAL PROJECTS\Loblaws\"/>
    </mc:Choice>
  </mc:AlternateContent>
  <xr:revisionPtr revIDLastSave="0" documentId="13_ncr:1_{35A85B06-E2C2-4CA2-9A63-3CCE229ACD59}" xr6:coauthVersionLast="47" xr6:coauthVersionMax="47" xr10:uidLastSave="{00000000-0000-0000-0000-000000000000}"/>
  <bookViews>
    <workbookView xWindow="-108" yWindow="-108" windowWidth="23256" windowHeight="12456" firstSheet="2" activeTab="3" xr2:uid="{E32CFCC1-C926-47F4-8BF2-99B2C5912E61}"/>
  </bookViews>
  <sheets>
    <sheet name="Company Profile" sheetId="25" r:id="rId1"/>
    <sheet name="Financials&gt;" sheetId="1" r:id="rId2"/>
    <sheet name="HistoricalFS" sheetId="2" r:id="rId3"/>
    <sheet name="Common Size Statements" sheetId="17" r:id="rId4"/>
    <sheet name="Ratio Analysis" sheetId="10" r:id="rId5"/>
    <sheet name="Forecasting" sheetId="11" r:id="rId6"/>
    <sheet name="DCF&gt;" sheetId="13" r:id="rId7"/>
    <sheet name="WACC" sheetId="12" r:id="rId8"/>
    <sheet name="Comp Beta" sheetId="15" r:id="rId9"/>
    <sheet name="Intrinsic Growth" sheetId="20" r:id="rId10"/>
    <sheet name="Valuation&gt;" sheetId="24" r:id="rId11"/>
    <sheet name="Comp Vals" sheetId="22" r:id="rId12"/>
    <sheet name="Loblaws Share Price" sheetId="26" r:id="rId13"/>
    <sheet name="Market Return" sheetId="16" r:id="rId14"/>
    <sheet name="Beta- Regression" sheetId="14" r:id="rId15"/>
    <sheet name="Data&gt;" sheetId="4" r:id="rId16"/>
    <sheet name="incomestatement" sheetId="3" r:id="rId17"/>
    <sheet name="income_statement_quaterly" sheetId="5" r:id="rId18"/>
    <sheet name="balance_sheet" sheetId="6" r:id="rId19"/>
    <sheet name="balance_sheet_quarterly" sheetId="7" r:id="rId20"/>
    <sheet name="cashflow" sheetId="8" r:id="rId21"/>
    <sheet name="cashflow_quarterly" sheetId="9" r:id="rId22"/>
    <sheet name="Raw FS" sheetId="19" r:id="rId23"/>
    <sheet name="DATA" sheetId="23" r:id="rId24"/>
  </sheets>
  <definedNames>
    <definedName name="_xlnm._FilterDatabase" localSheetId="14" hidden="1">'Beta- Regression'!$F$9:$H$9</definedName>
    <definedName name="_xlnm._FilterDatabase" localSheetId="12" hidden="1">'Loblaws Share Price'!$B$3:$D$3</definedName>
    <definedName name="_xlnm.Print_Area" localSheetId="14">'Beta- Regression'!$A$1:$T$270</definedName>
    <definedName name="_xlnm.Print_Area" localSheetId="3">'Common Size Statements'!$A$1:$G$43</definedName>
    <definedName name="_xlnm.Print_Area" localSheetId="8">'Comp Beta'!$A$270:$AJ$323</definedName>
    <definedName name="_xlnm.Print_Area" localSheetId="11">'Comp Vals'!$A$1:$Q$37</definedName>
    <definedName name="_xlnm.Print_Area" localSheetId="0">'Company Profile'!$A$1:$O$48</definedName>
    <definedName name="_xlnm.Print_Area" localSheetId="6">'DCF&gt;'!$A$1:$K$46</definedName>
    <definedName name="_xlnm.Print_Area" localSheetId="5">Forecasting!$A$1:$K$31</definedName>
    <definedName name="_xlnm.Print_Area" localSheetId="2">HistoricalFS!$A$1:$H$128</definedName>
    <definedName name="_xlnm.Print_Area" localSheetId="9">'Intrinsic Growth'!$A$1:$H$59</definedName>
    <definedName name="_xlnm.Print_Area" localSheetId="13">'Market Return'!$A$1:$J$26</definedName>
    <definedName name="_xlnm.Print_Area" localSheetId="7">WACC!$A$1:$M$47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3" l="1"/>
  <c r="C26" i="13"/>
  <c r="N34" i="25"/>
  <c r="F12" i="22"/>
  <c r="F13" i="22"/>
  <c r="F14" i="22"/>
  <c r="F15" i="22"/>
  <c r="F16" i="22"/>
  <c r="F11" i="22"/>
  <c r="N33" i="25"/>
  <c r="N32" i="25"/>
  <c r="F24" i="25"/>
  <c r="G24" i="25"/>
  <c r="H24" i="25"/>
  <c r="E24" i="25"/>
  <c r="F25" i="25"/>
  <c r="G25" i="25"/>
  <c r="H25" i="25"/>
  <c r="F26" i="25"/>
  <c r="G26" i="25"/>
  <c r="H26" i="25"/>
  <c r="E26" i="25"/>
  <c r="E25" i="25"/>
  <c r="E22" i="25"/>
  <c r="F22" i="25"/>
  <c r="G22" i="25"/>
  <c r="H22" i="25"/>
  <c r="I22" i="25"/>
  <c r="G17" i="25"/>
  <c r="H17" i="25"/>
  <c r="F16" i="25"/>
  <c r="G16" i="25"/>
  <c r="H16" i="25"/>
  <c r="F17" i="25"/>
  <c r="E16" i="25"/>
  <c r="G15" i="25"/>
  <c r="H15" i="25"/>
  <c r="F15" i="25"/>
  <c r="F14" i="25"/>
  <c r="G14" i="25"/>
  <c r="H14" i="25"/>
  <c r="E14" i="25"/>
  <c r="F13" i="25"/>
  <c r="G13" i="25"/>
  <c r="H13" i="25"/>
  <c r="E13" i="25"/>
  <c r="F12" i="25"/>
  <c r="G12" i="25"/>
  <c r="H12" i="25"/>
  <c r="E12" i="25"/>
  <c r="F10" i="25"/>
  <c r="G10" i="25"/>
  <c r="H10" i="25"/>
  <c r="H11" i="25"/>
  <c r="F11" i="25"/>
  <c r="G11" i="25"/>
  <c r="E11" i="25"/>
  <c r="E10" i="25"/>
  <c r="F7" i="25"/>
  <c r="F23" i="25" s="1"/>
  <c r="G7" i="25"/>
  <c r="G23" i="25" s="1"/>
  <c r="H7" i="25"/>
  <c r="E7" i="25"/>
  <c r="E23" i="25" s="1"/>
  <c r="F5" i="25"/>
  <c r="F20" i="25" s="1"/>
  <c r="G5" i="25"/>
  <c r="G20" i="25" s="1"/>
  <c r="H5" i="25"/>
  <c r="H20" i="25" s="1"/>
  <c r="E5" i="25"/>
  <c r="E20" i="25" s="1"/>
  <c r="O30" i="22"/>
  <c r="P30" i="22"/>
  <c r="N30" i="22"/>
  <c r="H12" i="22"/>
  <c r="N12" i="22" s="1"/>
  <c r="B12" i="22"/>
  <c r="C12" i="22"/>
  <c r="D12" i="22"/>
  <c r="E12" i="22"/>
  <c r="O32" i="22" s="1"/>
  <c r="G12" i="22"/>
  <c r="J12" i="22"/>
  <c r="K12" i="22"/>
  <c r="L12" i="22"/>
  <c r="D16" i="22"/>
  <c r="E16" i="22"/>
  <c r="G16" i="22"/>
  <c r="J16" i="22"/>
  <c r="K16" i="22"/>
  <c r="L16" i="22"/>
  <c r="D11" i="22"/>
  <c r="E11" i="22"/>
  <c r="G11" i="22"/>
  <c r="J11" i="22"/>
  <c r="K11" i="22"/>
  <c r="L11" i="22"/>
  <c r="D13" i="22"/>
  <c r="E13" i="22"/>
  <c r="G13" i="22"/>
  <c r="J13" i="22"/>
  <c r="K13" i="22"/>
  <c r="L13" i="22"/>
  <c r="D14" i="22"/>
  <c r="E14" i="22"/>
  <c r="G14" i="22"/>
  <c r="J14" i="22"/>
  <c r="K14" i="22"/>
  <c r="L14" i="22"/>
  <c r="D15" i="22"/>
  <c r="E15" i="22"/>
  <c r="G15" i="22"/>
  <c r="J15" i="22"/>
  <c r="K15" i="22"/>
  <c r="L15" i="22"/>
  <c r="C16" i="22"/>
  <c r="C11" i="22"/>
  <c r="C13" i="22"/>
  <c r="C14" i="22"/>
  <c r="C15" i="22"/>
  <c r="B11" i="22"/>
  <c r="B13" i="22"/>
  <c r="B14" i="22"/>
  <c r="B15" i="22"/>
  <c r="B16" i="22"/>
  <c r="H20" i="12"/>
  <c r="H21" i="12"/>
  <c r="I20" i="12"/>
  <c r="I21" i="12"/>
  <c r="J20" i="12"/>
  <c r="J21" i="12"/>
  <c r="K17" i="12"/>
  <c r="D22" i="20"/>
  <c r="C40" i="13"/>
  <c r="C38" i="13"/>
  <c r="C37" i="13"/>
  <c r="G13" i="13"/>
  <c r="H13" i="13" s="1"/>
  <c r="E6" i="13"/>
  <c r="F6" i="13" s="1"/>
  <c r="G6" i="13" s="1"/>
  <c r="H6" i="13" s="1"/>
  <c r="I6" i="13" s="1"/>
  <c r="J6" i="13" s="1"/>
  <c r="C66" i="19"/>
  <c r="D66" i="19"/>
  <c r="E66" i="19"/>
  <c r="F66" i="19"/>
  <c r="C67" i="19"/>
  <c r="D67" i="19"/>
  <c r="E67" i="19"/>
  <c r="F67" i="19"/>
  <c r="C68" i="19"/>
  <c r="D68" i="19"/>
  <c r="E68" i="19"/>
  <c r="F68" i="19"/>
  <c r="C69" i="19"/>
  <c r="D69" i="19"/>
  <c r="E69" i="19"/>
  <c r="F69" i="19"/>
  <c r="D65" i="19"/>
  <c r="E65" i="19"/>
  <c r="F65" i="19"/>
  <c r="C65" i="19"/>
  <c r="D61" i="19"/>
  <c r="E61" i="19"/>
  <c r="F61" i="19"/>
  <c r="C56" i="19"/>
  <c r="D56" i="19"/>
  <c r="E56" i="19"/>
  <c r="F56" i="19"/>
  <c r="C57" i="19"/>
  <c r="D57" i="19"/>
  <c r="E57" i="19"/>
  <c r="F57" i="19"/>
  <c r="C58" i="19"/>
  <c r="D58" i="19"/>
  <c r="E58" i="19"/>
  <c r="F58" i="19"/>
  <c r="C59" i="19"/>
  <c r="D59" i="19"/>
  <c r="E59" i="19"/>
  <c r="F59" i="19"/>
  <c r="C60" i="19"/>
  <c r="D60" i="19"/>
  <c r="E60" i="19"/>
  <c r="F60" i="19"/>
  <c r="C61" i="19"/>
  <c r="D55" i="19"/>
  <c r="E40" i="20" s="1"/>
  <c r="E47" i="20" s="1"/>
  <c r="E55" i="19"/>
  <c r="F40" i="20" s="1"/>
  <c r="F47" i="20" s="1"/>
  <c r="F55" i="19"/>
  <c r="G40" i="20" s="1"/>
  <c r="G47" i="20" s="1"/>
  <c r="C55" i="19"/>
  <c r="D40" i="20" s="1"/>
  <c r="E54" i="20"/>
  <c r="F54" i="20"/>
  <c r="G54" i="20"/>
  <c r="D54" i="20"/>
  <c r="E38" i="20"/>
  <c r="F38" i="20"/>
  <c r="G38" i="20"/>
  <c r="D38" i="20"/>
  <c r="B40" i="19"/>
  <c r="C40" i="19"/>
  <c r="D40" i="19"/>
  <c r="E40" i="19"/>
  <c r="F40" i="19"/>
  <c r="B41" i="19"/>
  <c r="C41" i="19"/>
  <c r="D41" i="19"/>
  <c r="E41" i="19"/>
  <c r="F41" i="19"/>
  <c r="B42" i="19"/>
  <c r="C42" i="19"/>
  <c r="D42" i="19"/>
  <c r="E42" i="19"/>
  <c r="F42" i="19"/>
  <c r="B43" i="19"/>
  <c r="C43" i="19"/>
  <c r="D43" i="19"/>
  <c r="E43" i="19"/>
  <c r="F43" i="19"/>
  <c r="B44" i="19"/>
  <c r="C44" i="19"/>
  <c r="D44" i="19"/>
  <c r="E44" i="19"/>
  <c r="F44" i="19"/>
  <c r="B45" i="19"/>
  <c r="C45" i="19"/>
  <c r="D45" i="19"/>
  <c r="E45" i="19"/>
  <c r="F45" i="19"/>
  <c r="B46" i="19"/>
  <c r="C46" i="19"/>
  <c r="D46" i="19"/>
  <c r="E46" i="19"/>
  <c r="F46" i="19"/>
  <c r="B47" i="19"/>
  <c r="C47" i="19"/>
  <c r="D47" i="19"/>
  <c r="E47" i="19"/>
  <c r="F47" i="19"/>
  <c r="B48" i="19"/>
  <c r="C48" i="19"/>
  <c r="D48" i="19"/>
  <c r="E48" i="19"/>
  <c r="F48" i="19"/>
  <c r="B49" i="19"/>
  <c r="C49" i="19"/>
  <c r="D49" i="19"/>
  <c r="E49" i="19"/>
  <c r="F49" i="19"/>
  <c r="B50" i="19"/>
  <c r="C50" i="19"/>
  <c r="D50" i="19"/>
  <c r="E50" i="19"/>
  <c r="F50" i="19"/>
  <c r="B51" i="19"/>
  <c r="B52" i="19"/>
  <c r="B54" i="19"/>
  <c r="B55" i="19"/>
  <c r="B56" i="19"/>
  <c r="B57" i="19"/>
  <c r="B58" i="19"/>
  <c r="B59" i="19"/>
  <c r="B60" i="19"/>
  <c r="B61" i="19"/>
  <c r="B62" i="19"/>
  <c r="B64" i="19"/>
  <c r="B65" i="19"/>
  <c r="B66" i="19"/>
  <c r="B67" i="19"/>
  <c r="B68" i="19"/>
  <c r="B69" i="19"/>
  <c r="B70" i="19"/>
  <c r="B72" i="19"/>
  <c r="C39" i="19"/>
  <c r="D39" i="19"/>
  <c r="E39" i="19"/>
  <c r="F39" i="19"/>
  <c r="B39" i="19"/>
  <c r="D38" i="19"/>
  <c r="E38" i="19"/>
  <c r="F38" i="19"/>
  <c r="C38" i="19"/>
  <c r="E30" i="20"/>
  <c r="F30" i="20"/>
  <c r="G30" i="20"/>
  <c r="D30" i="20"/>
  <c r="E20" i="20"/>
  <c r="F20" i="20"/>
  <c r="G20" i="20"/>
  <c r="D20" i="20"/>
  <c r="E15" i="20"/>
  <c r="E22" i="20" s="1"/>
  <c r="F15" i="20"/>
  <c r="F22" i="20" s="1"/>
  <c r="F41" i="20" s="1"/>
  <c r="G15" i="20"/>
  <c r="G22" i="20" s="1"/>
  <c r="G41" i="20" s="1"/>
  <c r="D15" i="20"/>
  <c r="D33" i="19"/>
  <c r="E33" i="19"/>
  <c r="F33" i="19"/>
  <c r="C33" i="19"/>
  <c r="D25" i="19"/>
  <c r="D35" i="19" s="1"/>
  <c r="E25" i="19"/>
  <c r="E35" i="19" s="1"/>
  <c r="F25" i="19"/>
  <c r="F35" i="19" s="1"/>
  <c r="C25" i="19"/>
  <c r="C35" i="19" s="1"/>
  <c r="D10" i="19"/>
  <c r="E10" i="19"/>
  <c r="F10" i="19"/>
  <c r="C10" i="19"/>
  <c r="D6" i="19"/>
  <c r="D18" i="19" s="1"/>
  <c r="E6" i="19"/>
  <c r="E18" i="19" s="1"/>
  <c r="F6" i="19"/>
  <c r="F18" i="19" s="1"/>
  <c r="C6" i="19"/>
  <c r="C18" i="19" s="1"/>
  <c r="B33" i="17"/>
  <c r="B34" i="17"/>
  <c r="B35" i="17"/>
  <c r="B36" i="17"/>
  <c r="B37" i="17"/>
  <c r="B38" i="17"/>
  <c r="B39" i="17"/>
  <c r="B40" i="17"/>
  <c r="B41" i="17"/>
  <c r="B42" i="17"/>
  <c r="B32" i="17"/>
  <c r="D26" i="17"/>
  <c r="E26" i="17"/>
  <c r="F26" i="17"/>
  <c r="D27" i="17"/>
  <c r="E27" i="17"/>
  <c r="F27" i="17"/>
  <c r="D28" i="17"/>
  <c r="E28" i="17"/>
  <c r="F28" i="17"/>
  <c r="D29" i="17"/>
  <c r="E29" i="17"/>
  <c r="F29" i="17"/>
  <c r="C29" i="17"/>
  <c r="C28" i="17"/>
  <c r="C26" i="17"/>
  <c r="C27" i="17"/>
  <c r="D25" i="17"/>
  <c r="E25" i="17"/>
  <c r="F25" i="17"/>
  <c r="C25" i="17"/>
  <c r="B31" i="17"/>
  <c r="B27" i="17"/>
  <c r="B28" i="17"/>
  <c r="B29" i="17"/>
  <c r="B25" i="17"/>
  <c r="B26" i="17"/>
  <c r="B18" i="17"/>
  <c r="B19" i="17"/>
  <c r="B16" i="17"/>
  <c r="B17" i="17"/>
  <c r="C17" i="17"/>
  <c r="D17" i="17"/>
  <c r="E17" i="17"/>
  <c r="F17" i="17"/>
  <c r="F9" i="17"/>
  <c r="F10" i="17"/>
  <c r="F11" i="17"/>
  <c r="F12" i="17"/>
  <c r="F13" i="17"/>
  <c r="F14" i="17"/>
  <c r="D9" i="17"/>
  <c r="E9" i="17"/>
  <c r="D10" i="17"/>
  <c r="E10" i="17"/>
  <c r="D11" i="17"/>
  <c r="E11" i="17"/>
  <c r="D12" i="17"/>
  <c r="E12" i="17"/>
  <c r="D13" i="17"/>
  <c r="E13" i="17"/>
  <c r="D14" i="17"/>
  <c r="E14" i="17"/>
  <c r="C10" i="17"/>
  <c r="C11" i="17"/>
  <c r="C12" i="17"/>
  <c r="C13" i="17"/>
  <c r="C14" i="17"/>
  <c r="C9" i="17"/>
  <c r="B15" i="17"/>
  <c r="B12" i="17"/>
  <c r="B13" i="17"/>
  <c r="B14" i="17"/>
  <c r="B10" i="17"/>
  <c r="B11" i="17"/>
  <c r="B9" i="17"/>
  <c r="B2" i="17"/>
  <c r="B2" i="10"/>
  <c r="L28" i="12"/>
  <c r="I8" i="16"/>
  <c r="I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28" i="12"/>
  <c r="E27" i="12"/>
  <c r="C37" i="12"/>
  <c r="C36" i="12"/>
  <c r="I13" i="12"/>
  <c r="J13" i="12"/>
  <c r="I18" i="12"/>
  <c r="J18" i="12"/>
  <c r="X273" i="15"/>
  <c r="X279" i="15" s="1"/>
  <c r="K16" i="12" s="1"/>
  <c r="T273" i="15"/>
  <c r="T279" i="15" s="1"/>
  <c r="K18" i="12" s="1"/>
  <c r="P273" i="15"/>
  <c r="P279" i="15" s="1"/>
  <c r="L273" i="15"/>
  <c r="L279" i="15" s="1"/>
  <c r="K15" i="12" s="1"/>
  <c r="H273" i="15"/>
  <c r="H279" i="15" s="1"/>
  <c r="K14" i="12" s="1"/>
  <c r="X268" i="15"/>
  <c r="T268" i="15"/>
  <c r="P268" i="15"/>
  <c r="L268" i="15"/>
  <c r="H268" i="15"/>
  <c r="D268" i="15"/>
  <c r="X267" i="15"/>
  <c r="T267" i="15"/>
  <c r="P267" i="15"/>
  <c r="L267" i="15"/>
  <c r="H267" i="15"/>
  <c r="D267" i="15"/>
  <c r="X266" i="15"/>
  <c r="T266" i="15"/>
  <c r="P266" i="15"/>
  <c r="L266" i="15"/>
  <c r="H266" i="15"/>
  <c r="D266" i="15"/>
  <c r="X265" i="15"/>
  <c r="T265" i="15"/>
  <c r="P265" i="15"/>
  <c r="L265" i="15"/>
  <c r="H265" i="15"/>
  <c r="D265" i="15"/>
  <c r="X264" i="15"/>
  <c r="T264" i="15"/>
  <c r="P264" i="15"/>
  <c r="L264" i="15"/>
  <c r="H264" i="15"/>
  <c r="D264" i="15"/>
  <c r="X263" i="15"/>
  <c r="T263" i="15"/>
  <c r="P263" i="15"/>
  <c r="L263" i="15"/>
  <c r="H263" i="15"/>
  <c r="D263" i="15"/>
  <c r="X262" i="15"/>
  <c r="T262" i="15"/>
  <c r="P262" i="15"/>
  <c r="L262" i="15"/>
  <c r="H262" i="15"/>
  <c r="D262" i="15"/>
  <c r="X261" i="15"/>
  <c r="T261" i="15"/>
  <c r="P261" i="15"/>
  <c r="L261" i="15"/>
  <c r="H261" i="15"/>
  <c r="D261" i="15"/>
  <c r="X260" i="15"/>
  <c r="T260" i="15"/>
  <c r="P260" i="15"/>
  <c r="L260" i="15"/>
  <c r="H260" i="15"/>
  <c r="D260" i="15"/>
  <c r="X259" i="15"/>
  <c r="T259" i="15"/>
  <c r="P259" i="15"/>
  <c r="L259" i="15"/>
  <c r="H259" i="15"/>
  <c r="D259" i="15"/>
  <c r="X258" i="15"/>
  <c r="T258" i="15"/>
  <c r="P258" i="15"/>
  <c r="L258" i="15"/>
  <c r="H258" i="15"/>
  <c r="D258" i="15"/>
  <c r="X257" i="15"/>
  <c r="T257" i="15"/>
  <c r="P257" i="15"/>
  <c r="L257" i="15"/>
  <c r="H257" i="15"/>
  <c r="D257" i="15"/>
  <c r="X256" i="15"/>
  <c r="T256" i="15"/>
  <c r="P256" i="15"/>
  <c r="L256" i="15"/>
  <c r="H256" i="15"/>
  <c r="D256" i="15"/>
  <c r="X255" i="15"/>
  <c r="T255" i="15"/>
  <c r="P255" i="15"/>
  <c r="L255" i="15"/>
  <c r="H255" i="15"/>
  <c r="D255" i="15"/>
  <c r="X254" i="15"/>
  <c r="T254" i="15"/>
  <c r="P254" i="15"/>
  <c r="L254" i="15"/>
  <c r="H254" i="15"/>
  <c r="D254" i="15"/>
  <c r="X253" i="15"/>
  <c r="T253" i="15"/>
  <c r="P253" i="15"/>
  <c r="L253" i="15"/>
  <c r="H253" i="15"/>
  <c r="D253" i="15"/>
  <c r="X252" i="15"/>
  <c r="T252" i="15"/>
  <c r="P252" i="15"/>
  <c r="L252" i="15"/>
  <c r="H252" i="15"/>
  <c r="D252" i="15"/>
  <c r="X251" i="15"/>
  <c r="T251" i="15"/>
  <c r="P251" i="15"/>
  <c r="L251" i="15"/>
  <c r="H251" i="15"/>
  <c r="D251" i="15"/>
  <c r="X250" i="15"/>
  <c r="T250" i="15"/>
  <c r="P250" i="15"/>
  <c r="L250" i="15"/>
  <c r="H250" i="15"/>
  <c r="D250" i="15"/>
  <c r="X249" i="15"/>
  <c r="T249" i="15"/>
  <c r="P249" i="15"/>
  <c r="L249" i="15"/>
  <c r="H249" i="15"/>
  <c r="D249" i="15"/>
  <c r="X248" i="15"/>
  <c r="T248" i="15"/>
  <c r="P248" i="15"/>
  <c r="L248" i="15"/>
  <c r="H248" i="15"/>
  <c r="D248" i="15"/>
  <c r="X247" i="15"/>
  <c r="T247" i="15"/>
  <c r="P247" i="15"/>
  <c r="L247" i="15"/>
  <c r="H247" i="15"/>
  <c r="D247" i="15"/>
  <c r="X246" i="15"/>
  <c r="T246" i="15"/>
  <c r="P246" i="15"/>
  <c r="L246" i="15"/>
  <c r="H246" i="15"/>
  <c r="D246" i="15"/>
  <c r="X245" i="15"/>
  <c r="T245" i="15"/>
  <c r="P245" i="15"/>
  <c r="L245" i="15"/>
  <c r="H245" i="15"/>
  <c r="D245" i="15"/>
  <c r="X244" i="15"/>
  <c r="T244" i="15"/>
  <c r="P244" i="15"/>
  <c r="L244" i="15"/>
  <c r="H244" i="15"/>
  <c r="D244" i="15"/>
  <c r="X243" i="15"/>
  <c r="T243" i="15"/>
  <c r="P243" i="15"/>
  <c r="L243" i="15"/>
  <c r="H243" i="15"/>
  <c r="D243" i="15"/>
  <c r="X242" i="15"/>
  <c r="T242" i="15"/>
  <c r="P242" i="15"/>
  <c r="L242" i="15"/>
  <c r="H242" i="15"/>
  <c r="D242" i="15"/>
  <c r="X241" i="15"/>
  <c r="T241" i="15"/>
  <c r="P241" i="15"/>
  <c r="L241" i="15"/>
  <c r="H241" i="15"/>
  <c r="D241" i="15"/>
  <c r="X240" i="15"/>
  <c r="T240" i="15"/>
  <c r="P240" i="15"/>
  <c r="L240" i="15"/>
  <c r="H240" i="15"/>
  <c r="D240" i="15"/>
  <c r="X239" i="15"/>
  <c r="T239" i="15"/>
  <c r="P239" i="15"/>
  <c r="L239" i="15"/>
  <c r="H239" i="15"/>
  <c r="D239" i="15"/>
  <c r="X238" i="15"/>
  <c r="T238" i="15"/>
  <c r="P238" i="15"/>
  <c r="L238" i="15"/>
  <c r="H238" i="15"/>
  <c r="D238" i="15"/>
  <c r="X237" i="15"/>
  <c r="T237" i="15"/>
  <c r="P237" i="15"/>
  <c r="L237" i="15"/>
  <c r="H237" i="15"/>
  <c r="D237" i="15"/>
  <c r="X236" i="15"/>
  <c r="T236" i="15"/>
  <c r="P236" i="15"/>
  <c r="L236" i="15"/>
  <c r="H236" i="15"/>
  <c r="D236" i="15"/>
  <c r="X235" i="15"/>
  <c r="T235" i="15"/>
  <c r="P235" i="15"/>
  <c r="L235" i="15"/>
  <c r="H235" i="15"/>
  <c r="D235" i="15"/>
  <c r="X234" i="15"/>
  <c r="T234" i="15"/>
  <c r="P234" i="15"/>
  <c r="L234" i="15"/>
  <c r="H234" i="15"/>
  <c r="D234" i="15"/>
  <c r="X233" i="15"/>
  <c r="T233" i="15"/>
  <c r="P233" i="15"/>
  <c r="L233" i="15"/>
  <c r="H233" i="15"/>
  <c r="D233" i="15"/>
  <c r="X232" i="15"/>
  <c r="T232" i="15"/>
  <c r="P232" i="15"/>
  <c r="L232" i="15"/>
  <c r="H232" i="15"/>
  <c r="D232" i="15"/>
  <c r="X231" i="15"/>
  <c r="T231" i="15"/>
  <c r="P231" i="15"/>
  <c r="L231" i="15"/>
  <c r="H231" i="15"/>
  <c r="D231" i="15"/>
  <c r="X230" i="15"/>
  <c r="T230" i="15"/>
  <c r="P230" i="15"/>
  <c r="L230" i="15"/>
  <c r="H230" i="15"/>
  <c r="D230" i="15"/>
  <c r="X229" i="15"/>
  <c r="T229" i="15"/>
  <c r="P229" i="15"/>
  <c r="L229" i="15"/>
  <c r="H229" i="15"/>
  <c r="D229" i="15"/>
  <c r="X228" i="15"/>
  <c r="T228" i="15"/>
  <c r="P228" i="15"/>
  <c r="L228" i="15"/>
  <c r="H228" i="15"/>
  <c r="D228" i="15"/>
  <c r="X227" i="15"/>
  <c r="T227" i="15"/>
  <c r="P227" i="15"/>
  <c r="L227" i="15"/>
  <c r="H227" i="15"/>
  <c r="D227" i="15"/>
  <c r="X226" i="15"/>
  <c r="T226" i="15"/>
  <c r="P226" i="15"/>
  <c r="L226" i="15"/>
  <c r="H226" i="15"/>
  <c r="D226" i="15"/>
  <c r="X225" i="15"/>
  <c r="T225" i="15"/>
  <c r="P225" i="15"/>
  <c r="L225" i="15"/>
  <c r="H225" i="15"/>
  <c r="D225" i="15"/>
  <c r="X224" i="15"/>
  <c r="T224" i="15"/>
  <c r="P224" i="15"/>
  <c r="L224" i="15"/>
  <c r="H224" i="15"/>
  <c r="D224" i="15"/>
  <c r="X223" i="15"/>
  <c r="T223" i="15"/>
  <c r="P223" i="15"/>
  <c r="L223" i="15"/>
  <c r="H223" i="15"/>
  <c r="D223" i="15"/>
  <c r="X222" i="15"/>
  <c r="T222" i="15"/>
  <c r="P222" i="15"/>
  <c r="L222" i="15"/>
  <c r="H222" i="15"/>
  <c r="D222" i="15"/>
  <c r="X221" i="15"/>
  <c r="T221" i="15"/>
  <c r="P221" i="15"/>
  <c r="L221" i="15"/>
  <c r="H221" i="15"/>
  <c r="D221" i="15"/>
  <c r="X220" i="15"/>
  <c r="T220" i="15"/>
  <c r="P220" i="15"/>
  <c r="L220" i="15"/>
  <c r="H220" i="15"/>
  <c r="D220" i="15"/>
  <c r="X219" i="15"/>
  <c r="T219" i="15"/>
  <c r="P219" i="15"/>
  <c r="L219" i="15"/>
  <c r="H219" i="15"/>
  <c r="D219" i="15"/>
  <c r="X218" i="15"/>
  <c r="T218" i="15"/>
  <c r="P218" i="15"/>
  <c r="L218" i="15"/>
  <c r="H218" i="15"/>
  <c r="D218" i="15"/>
  <c r="X217" i="15"/>
  <c r="T217" i="15"/>
  <c r="P217" i="15"/>
  <c r="L217" i="15"/>
  <c r="H217" i="15"/>
  <c r="D217" i="15"/>
  <c r="X216" i="15"/>
  <c r="T216" i="15"/>
  <c r="P216" i="15"/>
  <c r="L216" i="15"/>
  <c r="H216" i="15"/>
  <c r="D216" i="15"/>
  <c r="X215" i="15"/>
  <c r="T215" i="15"/>
  <c r="P215" i="15"/>
  <c r="L215" i="15"/>
  <c r="H215" i="15"/>
  <c r="D215" i="15"/>
  <c r="X214" i="15"/>
  <c r="T214" i="15"/>
  <c r="P214" i="15"/>
  <c r="L214" i="15"/>
  <c r="H214" i="15"/>
  <c r="D214" i="15"/>
  <c r="X213" i="15"/>
  <c r="T213" i="15"/>
  <c r="P213" i="15"/>
  <c r="L213" i="15"/>
  <c r="H213" i="15"/>
  <c r="D213" i="15"/>
  <c r="X212" i="15"/>
  <c r="T212" i="15"/>
  <c r="P212" i="15"/>
  <c r="L212" i="15"/>
  <c r="H212" i="15"/>
  <c r="D212" i="15"/>
  <c r="X211" i="15"/>
  <c r="T211" i="15"/>
  <c r="P211" i="15"/>
  <c r="L211" i="15"/>
  <c r="H211" i="15"/>
  <c r="D211" i="15"/>
  <c r="X210" i="15"/>
  <c r="T210" i="15"/>
  <c r="P210" i="15"/>
  <c r="L210" i="15"/>
  <c r="H210" i="15"/>
  <c r="D210" i="15"/>
  <c r="X209" i="15"/>
  <c r="T209" i="15"/>
  <c r="P209" i="15"/>
  <c r="L209" i="15"/>
  <c r="H209" i="15"/>
  <c r="D209" i="15"/>
  <c r="X208" i="15"/>
  <c r="T208" i="15"/>
  <c r="P208" i="15"/>
  <c r="L208" i="15"/>
  <c r="H208" i="15"/>
  <c r="D208" i="15"/>
  <c r="X207" i="15"/>
  <c r="T207" i="15"/>
  <c r="P207" i="15"/>
  <c r="L207" i="15"/>
  <c r="H207" i="15"/>
  <c r="D207" i="15"/>
  <c r="X206" i="15"/>
  <c r="T206" i="15"/>
  <c r="P206" i="15"/>
  <c r="L206" i="15"/>
  <c r="H206" i="15"/>
  <c r="D206" i="15"/>
  <c r="X205" i="15"/>
  <c r="T205" i="15"/>
  <c r="P205" i="15"/>
  <c r="L205" i="15"/>
  <c r="H205" i="15"/>
  <c r="D205" i="15"/>
  <c r="X204" i="15"/>
  <c r="T204" i="15"/>
  <c r="P204" i="15"/>
  <c r="L204" i="15"/>
  <c r="H204" i="15"/>
  <c r="D204" i="15"/>
  <c r="X203" i="15"/>
  <c r="T203" i="15"/>
  <c r="P203" i="15"/>
  <c r="L203" i="15"/>
  <c r="H203" i="15"/>
  <c r="D203" i="15"/>
  <c r="X202" i="15"/>
  <c r="T202" i="15"/>
  <c r="P202" i="15"/>
  <c r="L202" i="15"/>
  <c r="H202" i="15"/>
  <c r="D202" i="15"/>
  <c r="X201" i="15"/>
  <c r="T201" i="15"/>
  <c r="P201" i="15"/>
  <c r="L201" i="15"/>
  <c r="H201" i="15"/>
  <c r="D201" i="15"/>
  <c r="X200" i="15"/>
  <c r="T200" i="15"/>
  <c r="P200" i="15"/>
  <c r="L200" i="15"/>
  <c r="H200" i="15"/>
  <c r="D200" i="15"/>
  <c r="X199" i="15"/>
  <c r="T199" i="15"/>
  <c r="P199" i="15"/>
  <c r="L199" i="15"/>
  <c r="H199" i="15"/>
  <c r="D199" i="15"/>
  <c r="X198" i="15"/>
  <c r="T198" i="15"/>
  <c r="P198" i="15"/>
  <c r="L198" i="15"/>
  <c r="H198" i="15"/>
  <c r="D198" i="15"/>
  <c r="X197" i="15"/>
  <c r="T197" i="15"/>
  <c r="P197" i="15"/>
  <c r="L197" i="15"/>
  <c r="H197" i="15"/>
  <c r="D197" i="15"/>
  <c r="X196" i="15"/>
  <c r="T196" i="15"/>
  <c r="P196" i="15"/>
  <c r="L196" i="15"/>
  <c r="H196" i="15"/>
  <c r="D196" i="15"/>
  <c r="X195" i="15"/>
  <c r="T195" i="15"/>
  <c r="P195" i="15"/>
  <c r="L195" i="15"/>
  <c r="H195" i="15"/>
  <c r="D195" i="15"/>
  <c r="X194" i="15"/>
  <c r="T194" i="15"/>
  <c r="P194" i="15"/>
  <c r="L194" i="15"/>
  <c r="H194" i="15"/>
  <c r="D194" i="15"/>
  <c r="X193" i="15"/>
  <c r="T193" i="15"/>
  <c r="P193" i="15"/>
  <c r="L193" i="15"/>
  <c r="H193" i="15"/>
  <c r="D193" i="15"/>
  <c r="X192" i="15"/>
  <c r="T192" i="15"/>
  <c r="P192" i="15"/>
  <c r="L192" i="15"/>
  <c r="H192" i="15"/>
  <c r="D192" i="15"/>
  <c r="X191" i="15"/>
  <c r="T191" i="15"/>
  <c r="P191" i="15"/>
  <c r="L191" i="15"/>
  <c r="H191" i="15"/>
  <c r="D191" i="15"/>
  <c r="X190" i="15"/>
  <c r="T190" i="15"/>
  <c r="P190" i="15"/>
  <c r="L190" i="15"/>
  <c r="H190" i="15"/>
  <c r="D190" i="15"/>
  <c r="X189" i="15"/>
  <c r="T189" i="15"/>
  <c r="P189" i="15"/>
  <c r="L189" i="15"/>
  <c r="H189" i="15"/>
  <c r="D189" i="15"/>
  <c r="X188" i="15"/>
  <c r="T188" i="15"/>
  <c r="P188" i="15"/>
  <c r="L188" i="15"/>
  <c r="H188" i="15"/>
  <c r="D188" i="15"/>
  <c r="X187" i="15"/>
  <c r="T187" i="15"/>
  <c r="P187" i="15"/>
  <c r="L187" i="15"/>
  <c r="H187" i="15"/>
  <c r="D187" i="15"/>
  <c r="X186" i="15"/>
  <c r="T186" i="15"/>
  <c r="P186" i="15"/>
  <c r="L186" i="15"/>
  <c r="H186" i="15"/>
  <c r="D186" i="15"/>
  <c r="X185" i="15"/>
  <c r="T185" i="15"/>
  <c r="P185" i="15"/>
  <c r="L185" i="15"/>
  <c r="H185" i="15"/>
  <c r="D185" i="15"/>
  <c r="X184" i="15"/>
  <c r="T184" i="15"/>
  <c r="P184" i="15"/>
  <c r="L184" i="15"/>
  <c r="H184" i="15"/>
  <c r="D184" i="15"/>
  <c r="X183" i="15"/>
  <c r="T183" i="15"/>
  <c r="P183" i="15"/>
  <c r="L183" i="15"/>
  <c r="H183" i="15"/>
  <c r="D183" i="15"/>
  <c r="X182" i="15"/>
  <c r="T182" i="15"/>
  <c r="P182" i="15"/>
  <c r="L182" i="15"/>
  <c r="H182" i="15"/>
  <c r="D182" i="15"/>
  <c r="X181" i="15"/>
  <c r="T181" i="15"/>
  <c r="P181" i="15"/>
  <c r="L181" i="15"/>
  <c r="H181" i="15"/>
  <c r="D181" i="15"/>
  <c r="X180" i="15"/>
  <c r="T180" i="15"/>
  <c r="P180" i="15"/>
  <c r="L180" i="15"/>
  <c r="H180" i="15"/>
  <c r="D180" i="15"/>
  <c r="X179" i="15"/>
  <c r="T179" i="15"/>
  <c r="P179" i="15"/>
  <c r="L179" i="15"/>
  <c r="H179" i="15"/>
  <c r="D179" i="15"/>
  <c r="X178" i="15"/>
  <c r="T178" i="15"/>
  <c r="P178" i="15"/>
  <c r="L178" i="15"/>
  <c r="H178" i="15"/>
  <c r="D178" i="15"/>
  <c r="X177" i="15"/>
  <c r="T177" i="15"/>
  <c r="P177" i="15"/>
  <c r="L177" i="15"/>
  <c r="H177" i="15"/>
  <c r="D177" i="15"/>
  <c r="X176" i="15"/>
  <c r="T176" i="15"/>
  <c r="P176" i="15"/>
  <c r="L176" i="15"/>
  <c r="H176" i="15"/>
  <c r="D176" i="15"/>
  <c r="X175" i="15"/>
  <c r="T175" i="15"/>
  <c r="P175" i="15"/>
  <c r="L175" i="15"/>
  <c r="H175" i="15"/>
  <c r="D175" i="15"/>
  <c r="X174" i="15"/>
  <c r="T174" i="15"/>
  <c r="P174" i="15"/>
  <c r="L174" i="15"/>
  <c r="H174" i="15"/>
  <c r="D174" i="15"/>
  <c r="X173" i="15"/>
  <c r="T173" i="15"/>
  <c r="P173" i="15"/>
  <c r="L173" i="15"/>
  <c r="H173" i="15"/>
  <c r="D173" i="15"/>
  <c r="X172" i="15"/>
  <c r="T172" i="15"/>
  <c r="P172" i="15"/>
  <c r="L172" i="15"/>
  <c r="H172" i="15"/>
  <c r="D172" i="15"/>
  <c r="X171" i="15"/>
  <c r="T171" i="15"/>
  <c r="P171" i="15"/>
  <c r="L171" i="15"/>
  <c r="H171" i="15"/>
  <c r="D171" i="15"/>
  <c r="X170" i="15"/>
  <c r="T170" i="15"/>
  <c r="P170" i="15"/>
  <c r="L170" i="15"/>
  <c r="H170" i="15"/>
  <c r="D170" i="15"/>
  <c r="X169" i="15"/>
  <c r="T169" i="15"/>
  <c r="P169" i="15"/>
  <c r="L169" i="15"/>
  <c r="H169" i="15"/>
  <c r="D169" i="15"/>
  <c r="X168" i="15"/>
  <c r="T168" i="15"/>
  <c r="P168" i="15"/>
  <c r="L168" i="15"/>
  <c r="H168" i="15"/>
  <c r="D168" i="15"/>
  <c r="X167" i="15"/>
  <c r="T167" i="15"/>
  <c r="P167" i="15"/>
  <c r="L167" i="15"/>
  <c r="H167" i="15"/>
  <c r="D167" i="15"/>
  <c r="X166" i="15"/>
  <c r="T166" i="15"/>
  <c r="P166" i="15"/>
  <c r="L166" i="15"/>
  <c r="H166" i="15"/>
  <c r="D166" i="15"/>
  <c r="X165" i="15"/>
  <c r="T165" i="15"/>
  <c r="P165" i="15"/>
  <c r="L165" i="15"/>
  <c r="H165" i="15"/>
  <c r="D165" i="15"/>
  <c r="X164" i="15"/>
  <c r="T164" i="15"/>
  <c r="P164" i="15"/>
  <c r="L164" i="15"/>
  <c r="H164" i="15"/>
  <c r="D164" i="15"/>
  <c r="X163" i="15"/>
  <c r="T163" i="15"/>
  <c r="P163" i="15"/>
  <c r="L163" i="15"/>
  <c r="H163" i="15"/>
  <c r="D163" i="15"/>
  <c r="X162" i="15"/>
  <c r="T162" i="15"/>
  <c r="P162" i="15"/>
  <c r="L162" i="15"/>
  <c r="H162" i="15"/>
  <c r="D162" i="15"/>
  <c r="X161" i="15"/>
  <c r="T161" i="15"/>
  <c r="P161" i="15"/>
  <c r="L161" i="15"/>
  <c r="H161" i="15"/>
  <c r="D161" i="15"/>
  <c r="X160" i="15"/>
  <c r="T160" i="15"/>
  <c r="P160" i="15"/>
  <c r="L160" i="15"/>
  <c r="H160" i="15"/>
  <c r="D160" i="15"/>
  <c r="X159" i="15"/>
  <c r="T159" i="15"/>
  <c r="P159" i="15"/>
  <c r="L159" i="15"/>
  <c r="H159" i="15"/>
  <c r="D159" i="15"/>
  <c r="X158" i="15"/>
  <c r="T158" i="15"/>
  <c r="P158" i="15"/>
  <c r="L158" i="15"/>
  <c r="H158" i="15"/>
  <c r="D158" i="15"/>
  <c r="X157" i="15"/>
  <c r="T157" i="15"/>
  <c r="P157" i="15"/>
  <c r="L157" i="15"/>
  <c r="H157" i="15"/>
  <c r="D157" i="15"/>
  <c r="X156" i="15"/>
  <c r="T156" i="15"/>
  <c r="P156" i="15"/>
  <c r="L156" i="15"/>
  <c r="H156" i="15"/>
  <c r="D156" i="15"/>
  <c r="X155" i="15"/>
  <c r="T155" i="15"/>
  <c r="P155" i="15"/>
  <c r="L155" i="15"/>
  <c r="H155" i="15"/>
  <c r="D155" i="15"/>
  <c r="X154" i="15"/>
  <c r="T154" i="15"/>
  <c r="P154" i="15"/>
  <c r="L154" i="15"/>
  <c r="H154" i="15"/>
  <c r="D154" i="15"/>
  <c r="X153" i="15"/>
  <c r="T153" i="15"/>
  <c r="P153" i="15"/>
  <c r="L153" i="15"/>
  <c r="H153" i="15"/>
  <c r="D153" i="15"/>
  <c r="X152" i="15"/>
  <c r="T152" i="15"/>
  <c r="P152" i="15"/>
  <c r="L152" i="15"/>
  <c r="H152" i="15"/>
  <c r="D152" i="15"/>
  <c r="X151" i="15"/>
  <c r="T151" i="15"/>
  <c r="P151" i="15"/>
  <c r="L151" i="15"/>
  <c r="H151" i="15"/>
  <c r="D151" i="15"/>
  <c r="X150" i="15"/>
  <c r="T150" i="15"/>
  <c r="P150" i="15"/>
  <c r="L150" i="15"/>
  <c r="H150" i="15"/>
  <c r="D150" i="15"/>
  <c r="X149" i="15"/>
  <c r="T149" i="15"/>
  <c r="P149" i="15"/>
  <c r="L149" i="15"/>
  <c r="H149" i="15"/>
  <c r="D149" i="15"/>
  <c r="X148" i="15"/>
  <c r="T148" i="15"/>
  <c r="P148" i="15"/>
  <c r="L148" i="15"/>
  <c r="H148" i="15"/>
  <c r="D148" i="15"/>
  <c r="X147" i="15"/>
  <c r="T147" i="15"/>
  <c r="P147" i="15"/>
  <c r="L147" i="15"/>
  <c r="H147" i="15"/>
  <c r="D147" i="15"/>
  <c r="X146" i="15"/>
  <c r="T146" i="15"/>
  <c r="P146" i="15"/>
  <c r="L146" i="15"/>
  <c r="H146" i="15"/>
  <c r="D146" i="15"/>
  <c r="X145" i="15"/>
  <c r="T145" i="15"/>
  <c r="P145" i="15"/>
  <c r="L145" i="15"/>
  <c r="H145" i="15"/>
  <c r="D145" i="15"/>
  <c r="X144" i="15"/>
  <c r="T144" i="15"/>
  <c r="P144" i="15"/>
  <c r="L144" i="15"/>
  <c r="H144" i="15"/>
  <c r="D144" i="15"/>
  <c r="X143" i="15"/>
  <c r="T143" i="15"/>
  <c r="P143" i="15"/>
  <c r="L143" i="15"/>
  <c r="H143" i="15"/>
  <c r="D143" i="15"/>
  <c r="X142" i="15"/>
  <c r="T142" i="15"/>
  <c r="P142" i="15"/>
  <c r="L142" i="15"/>
  <c r="H142" i="15"/>
  <c r="D142" i="15"/>
  <c r="X141" i="15"/>
  <c r="T141" i="15"/>
  <c r="P141" i="15"/>
  <c r="L141" i="15"/>
  <c r="H141" i="15"/>
  <c r="D141" i="15"/>
  <c r="X140" i="15"/>
  <c r="T140" i="15"/>
  <c r="P140" i="15"/>
  <c r="L140" i="15"/>
  <c r="H140" i="15"/>
  <c r="D140" i="15"/>
  <c r="X139" i="15"/>
  <c r="T139" i="15"/>
  <c r="P139" i="15"/>
  <c r="L139" i="15"/>
  <c r="H139" i="15"/>
  <c r="D139" i="15"/>
  <c r="X138" i="15"/>
  <c r="T138" i="15"/>
  <c r="P138" i="15"/>
  <c r="L138" i="15"/>
  <c r="H138" i="15"/>
  <c r="D138" i="15"/>
  <c r="X137" i="15"/>
  <c r="T137" i="15"/>
  <c r="P137" i="15"/>
  <c r="L137" i="15"/>
  <c r="H137" i="15"/>
  <c r="D137" i="15"/>
  <c r="X136" i="15"/>
  <c r="T136" i="15"/>
  <c r="P136" i="15"/>
  <c r="L136" i="15"/>
  <c r="H136" i="15"/>
  <c r="D136" i="15"/>
  <c r="X135" i="15"/>
  <c r="T135" i="15"/>
  <c r="P135" i="15"/>
  <c r="L135" i="15"/>
  <c r="H135" i="15"/>
  <c r="D135" i="15"/>
  <c r="X134" i="15"/>
  <c r="T134" i="15"/>
  <c r="P134" i="15"/>
  <c r="L134" i="15"/>
  <c r="H134" i="15"/>
  <c r="D134" i="15"/>
  <c r="X133" i="15"/>
  <c r="T133" i="15"/>
  <c r="P133" i="15"/>
  <c r="L133" i="15"/>
  <c r="H133" i="15"/>
  <c r="D133" i="15"/>
  <c r="X132" i="15"/>
  <c r="T132" i="15"/>
  <c r="P132" i="15"/>
  <c r="L132" i="15"/>
  <c r="H132" i="15"/>
  <c r="D132" i="15"/>
  <c r="X131" i="15"/>
  <c r="T131" i="15"/>
  <c r="P131" i="15"/>
  <c r="L131" i="15"/>
  <c r="H131" i="15"/>
  <c r="D131" i="15"/>
  <c r="X130" i="15"/>
  <c r="T130" i="15"/>
  <c r="P130" i="15"/>
  <c r="L130" i="15"/>
  <c r="H130" i="15"/>
  <c r="D130" i="15"/>
  <c r="X129" i="15"/>
  <c r="T129" i="15"/>
  <c r="P129" i="15"/>
  <c r="L129" i="15"/>
  <c r="H129" i="15"/>
  <c r="D129" i="15"/>
  <c r="X128" i="15"/>
  <c r="T128" i="15"/>
  <c r="P128" i="15"/>
  <c r="L128" i="15"/>
  <c r="H128" i="15"/>
  <c r="D128" i="15"/>
  <c r="X127" i="15"/>
  <c r="T127" i="15"/>
  <c r="P127" i="15"/>
  <c r="L127" i="15"/>
  <c r="H127" i="15"/>
  <c r="D127" i="15"/>
  <c r="X126" i="15"/>
  <c r="T126" i="15"/>
  <c r="P126" i="15"/>
  <c r="L126" i="15"/>
  <c r="H126" i="15"/>
  <c r="D126" i="15"/>
  <c r="X125" i="15"/>
  <c r="T125" i="15"/>
  <c r="P125" i="15"/>
  <c r="L125" i="15"/>
  <c r="H125" i="15"/>
  <c r="D125" i="15"/>
  <c r="X124" i="15"/>
  <c r="T124" i="15"/>
  <c r="P124" i="15"/>
  <c r="L124" i="15"/>
  <c r="H124" i="15"/>
  <c r="D124" i="15"/>
  <c r="X123" i="15"/>
  <c r="T123" i="15"/>
  <c r="P123" i="15"/>
  <c r="L123" i="15"/>
  <c r="H123" i="15"/>
  <c r="D123" i="15"/>
  <c r="X122" i="15"/>
  <c r="T122" i="15"/>
  <c r="P122" i="15"/>
  <c r="L122" i="15"/>
  <c r="H122" i="15"/>
  <c r="D122" i="15"/>
  <c r="X121" i="15"/>
  <c r="T121" i="15"/>
  <c r="P121" i="15"/>
  <c r="L121" i="15"/>
  <c r="H121" i="15"/>
  <c r="D121" i="15"/>
  <c r="X120" i="15"/>
  <c r="T120" i="15"/>
  <c r="P120" i="15"/>
  <c r="L120" i="15"/>
  <c r="H120" i="15"/>
  <c r="D120" i="15"/>
  <c r="X119" i="15"/>
  <c r="T119" i="15"/>
  <c r="P119" i="15"/>
  <c r="L119" i="15"/>
  <c r="H119" i="15"/>
  <c r="D119" i="15"/>
  <c r="X118" i="15"/>
  <c r="T118" i="15"/>
  <c r="P118" i="15"/>
  <c r="L118" i="15"/>
  <c r="H118" i="15"/>
  <c r="D118" i="15"/>
  <c r="X117" i="15"/>
  <c r="T117" i="15"/>
  <c r="P117" i="15"/>
  <c r="L117" i="15"/>
  <c r="H117" i="15"/>
  <c r="D117" i="15"/>
  <c r="X116" i="15"/>
  <c r="T116" i="15"/>
  <c r="P116" i="15"/>
  <c r="L116" i="15"/>
  <c r="H116" i="15"/>
  <c r="D116" i="15"/>
  <c r="X115" i="15"/>
  <c r="T115" i="15"/>
  <c r="P115" i="15"/>
  <c r="L115" i="15"/>
  <c r="H115" i="15"/>
  <c r="D115" i="15"/>
  <c r="X114" i="15"/>
  <c r="T114" i="15"/>
  <c r="P114" i="15"/>
  <c r="L114" i="15"/>
  <c r="H114" i="15"/>
  <c r="D114" i="15"/>
  <c r="X113" i="15"/>
  <c r="T113" i="15"/>
  <c r="P113" i="15"/>
  <c r="L113" i="15"/>
  <c r="H113" i="15"/>
  <c r="D113" i="15"/>
  <c r="X112" i="15"/>
  <c r="T112" i="15"/>
  <c r="P112" i="15"/>
  <c r="L112" i="15"/>
  <c r="H112" i="15"/>
  <c r="D112" i="15"/>
  <c r="X111" i="15"/>
  <c r="T111" i="15"/>
  <c r="P111" i="15"/>
  <c r="L111" i="15"/>
  <c r="H111" i="15"/>
  <c r="D111" i="15"/>
  <c r="X110" i="15"/>
  <c r="T110" i="15"/>
  <c r="P110" i="15"/>
  <c r="L110" i="15"/>
  <c r="H110" i="15"/>
  <c r="D110" i="15"/>
  <c r="X109" i="15"/>
  <c r="T109" i="15"/>
  <c r="P109" i="15"/>
  <c r="L109" i="15"/>
  <c r="H109" i="15"/>
  <c r="D109" i="15"/>
  <c r="X108" i="15"/>
  <c r="T108" i="15"/>
  <c r="P108" i="15"/>
  <c r="L108" i="15"/>
  <c r="H108" i="15"/>
  <c r="D108" i="15"/>
  <c r="X107" i="15"/>
  <c r="T107" i="15"/>
  <c r="P107" i="15"/>
  <c r="L107" i="15"/>
  <c r="H107" i="15"/>
  <c r="D107" i="15"/>
  <c r="X106" i="15"/>
  <c r="T106" i="15"/>
  <c r="P106" i="15"/>
  <c r="L106" i="15"/>
  <c r="H106" i="15"/>
  <c r="D106" i="15"/>
  <c r="X105" i="15"/>
  <c r="T105" i="15"/>
  <c r="P105" i="15"/>
  <c r="L105" i="15"/>
  <c r="H105" i="15"/>
  <c r="D105" i="15"/>
  <c r="X104" i="15"/>
  <c r="T104" i="15"/>
  <c r="P104" i="15"/>
  <c r="L104" i="15"/>
  <c r="H104" i="15"/>
  <c r="D104" i="15"/>
  <c r="X103" i="15"/>
  <c r="T103" i="15"/>
  <c r="P103" i="15"/>
  <c r="L103" i="15"/>
  <c r="H103" i="15"/>
  <c r="D103" i="15"/>
  <c r="X102" i="15"/>
  <c r="T102" i="15"/>
  <c r="P102" i="15"/>
  <c r="L102" i="15"/>
  <c r="H102" i="15"/>
  <c r="D102" i="15"/>
  <c r="X101" i="15"/>
  <c r="T101" i="15"/>
  <c r="P101" i="15"/>
  <c r="L101" i="15"/>
  <c r="H101" i="15"/>
  <c r="D101" i="15"/>
  <c r="X100" i="15"/>
  <c r="T100" i="15"/>
  <c r="P100" i="15"/>
  <c r="L100" i="15"/>
  <c r="H100" i="15"/>
  <c r="D100" i="15"/>
  <c r="X99" i="15"/>
  <c r="T99" i="15"/>
  <c r="P99" i="15"/>
  <c r="L99" i="15"/>
  <c r="H99" i="15"/>
  <c r="D99" i="15"/>
  <c r="X98" i="15"/>
  <c r="T98" i="15"/>
  <c r="P98" i="15"/>
  <c r="L98" i="15"/>
  <c r="H98" i="15"/>
  <c r="D98" i="15"/>
  <c r="X97" i="15"/>
  <c r="T97" i="15"/>
  <c r="P97" i="15"/>
  <c r="L97" i="15"/>
  <c r="H97" i="15"/>
  <c r="D97" i="15"/>
  <c r="X96" i="15"/>
  <c r="T96" i="15"/>
  <c r="P96" i="15"/>
  <c r="L96" i="15"/>
  <c r="H96" i="15"/>
  <c r="D96" i="15"/>
  <c r="X95" i="15"/>
  <c r="T95" i="15"/>
  <c r="P95" i="15"/>
  <c r="L95" i="15"/>
  <c r="H95" i="15"/>
  <c r="D95" i="15"/>
  <c r="X94" i="15"/>
  <c r="T94" i="15"/>
  <c r="P94" i="15"/>
  <c r="L94" i="15"/>
  <c r="H94" i="15"/>
  <c r="D94" i="15"/>
  <c r="X93" i="15"/>
  <c r="T93" i="15"/>
  <c r="P93" i="15"/>
  <c r="L93" i="15"/>
  <c r="H93" i="15"/>
  <c r="D93" i="15"/>
  <c r="X92" i="15"/>
  <c r="T92" i="15"/>
  <c r="P92" i="15"/>
  <c r="L92" i="15"/>
  <c r="H92" i="15"/>
  <c r="D92" i="15"/>
  <c r="X91" i="15"/>
  <c r="T91" i="15"/>
  <c r="P91" i="15"/>
  <c r="L91" i="15"/>
  <c r="H91" i="15"/>
  <c r="D91" i="15"/>
  <c r="X90" i="15"/>
  <c r="T90" i="15"/>
  <c r="P90" i="15"/>
  <c r="L90" i="15"/>
  <c r="H90" i="15"/>
  <c r="D90" i="15"/>
  <c r="X89" i="15"/>
  <c r="T89" i="15"/>
  <c r="P89" i="15"/>
  <c r="L89" i="15"/>
  <c r="H89" i="15"/>
  <c r="D89" i="15"/>
  <c r="X88" i="15"/>
  <c r="T88" i="15"/>
  <c r="P88" i="15"/>
  <c r="L88" i="15"/>
  <c r="H88" i="15"/>
  <c r="D88" i="15"/>
  <c r="X87" i="15"/>
  <c r="T87" i="15"/>
  <c r="P87" i="15"/>
  <c r="L87" i="15"/>
  <c r="H87" i="15"/>
  <c r="D87" i="15"/>
  <c r="X86" i="15"/>
  <c r="T86" i="15"/>
  <c r="P86" i="15"/>
  <c r="L86" i="15"/>
  <c r="H86" i="15"/>
  <c r="D86" i="15"/>
  <c r="X85" i="15"/>
  <c r="T85" i="15"/>
  <c r="P85" i="15"/>
  <c r="L85" i="15"/>
  <c r="H85" i="15"/>
  <c r="D85" i="15"/>
  <c r="X84" i="15"/>
  <c r="T84" i="15"/>
  <c r="P84" i="15"/>
  <c r="L84" i="15"/>
  <c r="H84" i="15"/>
  <c r="D84" i="15"/>
  <c r="X83" i="15"/>
  <c r="T83" i="15"/>
  <c r="P83" i="15"/>
  <c r="L83" i="15"/>
  <c r="H83" i="15"/>
  <c r="D83" i="15"/>
  <c r="X82" i="15"/>
  <c r="T82" i="15"/>
  <c r="P82" i="15"/>
  <c r="L82" i="15"/>
  <c r="H82" i="15"/>
  <c r="D82" i="15"/>
  <c r="X81" i="15"/>
  <c r="T81" i="15"/>
  <c r="P81" i="15"/>
  <c r="L81" i="15"/>
  <c r="H81" i="15"/>
  <c r="D81" i="15"/>
  <c r="X80" i="15"/>
  <c r="T80" i="15"/>
  <c r="P80" i="15"/>
  <c r="L80" i="15"/>
  <c r="H80" i="15"/>
  <c r="D80" i="15"/>
  <c r="X79" i="15"/>
  <c r="T79" i="15"/>
  <c r="P79" i="15"/>
  <c r="L79" i="15"/>
  <c r="H79" i="15"/>
  <c r="D79" i="15"/>
  <c r="X78" i="15"/>
  <c r="T78" i="15"/>
  <c r="P78" i="15"/>
  <c r="L78" i="15"/>
  <c r="H78" i="15"/>
  <c r="D78" i="15"/>
  <c r="X77" i="15"/>
  <c r="T77" i="15"/>
  <c r="P77" i="15"/>
  <c r="L77" i="15"/>
  <c r="H77" i="15"/>
  <c r="D77" i="15"/>
  <c r="X76" i="15"/>
  <c r="T76" i="15"/>
  <c r="P76" i="15"/>
  <c r="L76" i="15"/>
  <c r="H76" i="15"/>
  <c r="D76" i="15"/>
  <c r="X75" i="15"/>
  <c r="T75" i="15"/>
  <c r="P75" i="15"/>
  <c r="L75" i="15"/>
  <c r="H75" i="15"/>
  <c r="D75" i="15"/>
  <c r="X74" i="15"/>
  <c r="T74" i="15"/>
  <c r="P74" i="15"/>
  <c r="L74" i="15"/>
  <c r="H74" i="15"/>
  <c r="D74" i="15"/>
  <c r="X73" i="15"/>
  <c r="T73" i="15"/>
  <c r="P73" i="15"/>
  <c r="L73" i="15"/>
  <c r="H73" i="15"/>
  <c r="D73" i="15"/>
  <c r="X72" i="15"/>
  <c r="T72" i="15"/>
  <c r="P72" i="15"/>
  <c r="L72" i="15"/>
  <c r="H72" i="15"/>
  <c r="D72" i="15"/>
  <c r="X71" i="15"/>
  <c r="T71" i="15"/>
  <c r="P71" i="15"/>
  <c r="L71" i="15"/>
  <c r="H71" i="15"/>
  <c r="D71" i="15"/>
  <c r="X70" i="15"/>
  <c r="T70" i="15"/>
  <c r="P70" i="15"/>
  <c r="L70" i="15"/>
  <c r="H70" i="15"/>
  <c r="D70" i="15"/>
  <c r="X69" i="15"/>
  <c r="T69" i="15"/>
  <c r="P69" i="15"/>
  <c r="L69" i="15"/>
  <c r="H69" i="15"/>
  <c r="D69" i="15"/>
  <c r="X68" i="15"/>
  <c r="T68" i="15"/>
  <c r="P68" i="15"/>
  <c r="L68" i="15"/>
  <c r="H68" i="15"/>
  <c r="D68" i="15"/>
  <c r="X67" i="15"/>
  <c r="T67" i="15"/>
  <c r="P67" i="15"/>
  <c r="L67" i="15"/>
  <c r="H67" i="15"/>
  <c r="D67" i="15"/>
  <c r="X66" i="15"/>
  <c r="T66" i="15"/>
  <c r="P66" i="15"/>
  <c r="L66" i="15"/>
  <c r="H66" i="15"/>
  <c r="D66" i="15"/>
  <c r="X65" i="15"/>
  <c r="T65" i="15"/>
  <c r="P65" i="15"/>
  <c r="L65" i="15"/>
  <c r="H65" i="15"/>
  <c r="D65" i="15"/>
  <c r="X64" i="15"/>
  <c r="T64" i="15"/>
  <c r="P64" i="15"/>
  <c r="L64" i="15"/>
  <c r="H64" i="15"/>
  <c r="D64" i="15"/>
  <c r="X63" i="15"/>
  <c r="T63" i="15"/>
  <c r="P63" i="15"/>
  <c r="L63" i="15"/>
  <c r="H63" i="15"/>
  <c r="D63" i="15"/>
  <c r="X62" i="15"/>
  <c r="T62" i="15"/>
  <c r="P62" i="15"/>
  <c r="L62" i="15"/>
  <c r="H62" i="15"/>
  <c r="D62" i="15"/>
  <c r="X61" i="15"/>
  <c r="T61" i="15"/>
  <c r="P61" i="15"/>
  <c r="L61" i="15"/>
  <c r="H61" i="15"/>
  <c r="D61" i="15"/>
  <c r="X60" i="15"/>
  <c r="T60" i="15"/>
  <c r="P60" i="15"/>
  <c r="L60" i="15"/>
  <c r="H60" i="15"/>
  <c r="D60" i="15"/>
  <c r="X59" i="15"/>
  <c r="T59" i="15"/>
  <c r="P59" i="15"/>
  <c r="L59" i="15"/>
  <c r="H59" i="15"/>
  <c r="D59" i="15"/>
  <c r="X58" i="15"/>
  <c r="T58" i="15"/>
  <c r="P58" i="15"/>
  <c r="L58" i="15"/>
  <c r="H58" i="15"/>
  <c r="D58" i="15"/>
  <c r="X57" i="15"/>
  <c r="T57" i="15"/>
  <c r="P57" i="15"/>
  <c r="L57" i="15"/>
  <c r="H57" i="15"/>
  <c r="D57" i="15"/>
  <c r="X56" i="15"/>
  <c r="T56" i="15"/>
  <c r="P56" i="15"/>
  <c r="L56" i="15"/>
  <c r="H56" i="15"/>
  <c r="D56" i="15"/>
  <c r="X55" i="15"/>
  <c r="T55" i="15"/>
  <c r="P55" i="15"/>
  <c r="L55" i="15"/>
  <c r="H55" i="15"/>
  <c r="D55" i="15"/>
  <c r="X54" i="15"/>
  <c r="T54" i="15"/>
  <c r="P54" i="15"/>
  <c r="L54" i="15"/>
  <c r="H54" i="15"/>
  <c r="D54" i="15"/>
  <c r="X53" i="15"/>
  <c r="T53" i="15"/>
  <c r="P53" i="15"/>
  <c r="L53" i="15"/>
  <c r="H53" i="15"/>
  <c r="D53" i="15"/>
  <c r="X52" i="15"/>
  <c r="T52" i="15"/>
  <c r="P52" i="15"/>
  <c r="L52" i="15"/>
  <c r="H52" i="15"/>
  <c r="D52" i="15"/>
  <c r="X51" i="15"/>
  <c r="T51" i="15"/>
  <c r="P51" i="15"/>
  <c r="L51" i="15"/>
  <c r="H51" i="15"/>
  <c r="D51" i="15"/>
  <c r="X50" i="15"/>
  <c r="T50" i="15"/>
  <c r="P50" i="15"/>
  <c r="L50" i="15"/>
  <c r="H50" i="15"/>
  <c r="D50" i="15"/>
  <c r="X49" i="15"/>
  <c r="T49" i="15"/>
  <c r="P49" i="15"/>
  <c r="L49" i="15"/>
  <c r="H49" i="15"/>
  <c r="D49" i="15"/>
  <c r="X48" i="15"/>
  <c r="T48" i="15"/>
  <c r="P48" i="15"/>
  <c r="L48" i="15"/>
  <c r="H48" i="15"/>
  <c r="D48" i="15"/>
  <c r="X47" i="15"/>
  <c r="T47" i="15"/>
  <c r="P47" i="15"/>
  <c r="L47" i="15"/>
  <c r="H47" i="15"/>
  <c r="D47" i="15"/>
  <c r="X46" i="15"/>
  <c r="T46" i="15"/>
  <c r="P46" i="15"/>
  <c r="L46" i="15"/>
  <c r="H46" i="15"/>
  <c r="D46" i="15"/>
  <c r="X45" i="15"/>
  <c r="T45" i="15"/>
  <c r="P45" i="15"/>
  <c r="L45" i="15"/>
  <c r="H45" i="15"/>
  <c r="D45" i="15"/>
  <c r="X44" i="15"/>
  <c r="T44" i="15"/>
  <c r="P44" i="15"/>
  <c r="L44" i="15"/>
  <c r="H44" i="15"/>
  <c r="D44" i="15"/>
  <c r="X43" i="15"/>
  <c r="T43" i="15"/>
  <c r="P43" i="15"/>
  <c r="L43" i="15"/>
  <c r="H43" i="15"/>
  <c r="D43" i="15"/>
  <c r="X42" i="15"/>
  <c r="T42" i="15"/>
  <c r="P42" i="15"/>
  <c r="L42" i="15"/>
  <c r="H42" i="15"/>
  <c r="D42" i="15"/>
  <c r="X41" i="15"/>
  <c r="T41" i="15"/>
  <c r="P41" i="15"/>
  <c r="L41" i="15"/>
  <c r="H41" i="15"/>
  <c r="D41" i="15"/>
  <c r="X40" i="15"/>
  <c r="T40" i="15"/>
  <c r="P40" i="15"/>
  <c r="L40" i="15"/>
  <c r="H40" i="15"/>
  <c r="D40" i="15"/>
  <c r="X39" i="15"/>
  <c r="T39" i="15"/>
  <c r="P39" i="15"/>
  <c r="L39" i="15"/>
  <c r="H39" i="15"/>
  <c r="D39" i="15"/>
  <c r="X38" i="15"/>
  <c r="T38" i="15"/>
  <c r="P38" i="15"/>
  <c r="L38" i="15"/>
  <c r="H38" i="15"/>
  <c r="D38" i="15"/>
  <c r="X37" i="15"/>
  <c r="T37" i="15"/>
  <c r="P37" i="15"/>
  <c r="L37" i="15"/>
  <c r="H37" i="15"/>
  <c r="D37" i="15"/>
  <c r="X36" i="15"/>
  <c r="T36" i="15"/>
  <c r="P36" i="15"/>
  <c r="L36" i="15"/>
  <c r="H36" i="15"/>
  <c r="D36" i="15"/>
  <c r="X35" i="15"/>
  <c r="T35" i="15"/>
  <c r="P35" i="15"/>
  <c r="L35" i="15"/>
  <c r="H35" i="15"/>
  <c r="D35" i="15"/>
  <c r="X34" i="15"/>
  <c r="T34" i="15"/>
  <c r="P34" i="15"/>
  <c r="L34" i="15"/>
  <c r="H34" i="15"/>
  <c r="D34" i="15"/>
  <c r="X33" i="15"/>
  <c r="T33" i="15"/>
  <c r="P33" i="15"/>
  <c r="L33" i="15"/>
  <c r="H33" i="15"/>
  <c r="D33" i="15"/>
  <c r="X32" i="15"/>
  <c r="T32" i="15"/>
  <c r="P32" i="15"/>
  <c r="L32" i="15"/>
  <c r="H32" i="15"/>
  <c r="D32" i="15"/>
  <c r="X31" i="15"/>
  <c r="T31" i="15"/>
  <c r="P31" i="15"/>
  <c r="L31" i="15"/>
  <c r="H31" i="15"/>
  <c r="D31" i="15"/>
  <c r="X30" i="15"/>
  <c r="T30" i="15"/>
  <c r="P30" i="15"/>
  <c r="L30" i="15"/>
  <c r="H30" i="15"/>
  <c r="D30" i="15"/>
  <c r="X29" i="15"/>
  <c r="T29" i="15"/>
  <c r="P29" i="15"/>
  <c r="L29" i="15"/>
  <c r="H29" i="15"/>
  <c r="D29" i="15"/>
  <c r="X28" i="15"/>
  <c r="T28" i="15"/>
  <c r="P28" i="15"/>
  <c r="L28" i="15"/>
  <c r="H28" i="15"/>
  <c r="D28" i="15"/>
  <c r="X27" i="15"/>
  <c r="T27" i="15"/>
  <c r="P27" i="15"/>
  <c r="L27" i="15"/>
  <c r="H27" i="15"/>
  <c r="D27" i="15"/>
  <c r="X26" i="15"/>
  <c r="T26" i="15"/>
  <c r="P26" i="15"/>
  <c r="L26" i="15"/>
  <c r="H26" i="15"/>
  <c r="D26" i="15"/>
  <c r="X25" i="15"/>
  <c r="T25" i="15"/>
  <c r="P25" i="15"/>
  <c r="L25" i="15"/>
  <c r="H25" i="15"/>
  <c r="D25" i="15"/>
  <c r="X24" i="15"/>
  <c r="T24" i="15"/>
  <c r="P24" i="15"/>
  <c r="L24" i="15"/>
  <c r="H24" i="15"/>
  <c r="D24" i="15"/>
  <c r="X23" i="15"/>
  <c r="T23" i="15"/>
  <c r="P23" i="15"/>
  <c r="L23" i="15"/>
  <c r="H23" i="15"/>
  <c r="D23" i="15"/>
  <c r="X22" i="15"/>
  <c r="T22" i="15"/>
  <c r="P22" i="15"/>
  <c r="L22" i="15"/>
  <c r="H22" i="15"/>
  <c r="D22" i="15"/>
  <c r="X21" i="15"/>
  <c r="T21" i="15"/>
  <c r="P21" i="15"/>
  <c r="L21" i="15"/>
  <c r="H21" i="15"/>
  <c r="D21" i="15"/>
  <c r="X20" i="15"/>
  <c r="T20" i="15"/>
  <c r="P20" i="15"/>
  <c r="L20" i="15"/>
  <c r="H20" i="15"/>
  <c r="D20" i="15"/>
  <c r="X19" i="15"/>
  <c r="T19" i="15"/>
  <c r="P19" i="15"/>
  <c r="L19" i="15"/>
  <c r="H19" i="15"/>
  <c r="D19" i="15"/>
  <c r="X18" i="15"/>
  <c r="T18" i="15"/>
  <c r="P18" i="15"/>
  <c r="L18" i="15"/>
  <c r="H18" i="15"/>
  <c r="D18" i="15"/>
  <c r="X17" i="15"/>
  <c r="T17" i="15"/>
  <c r="P17" i="15"/>
  <c r="L17" i="15"/>
  <c r="H17" i="15"/>
  <c r="D17" i="15"/>
  <c r="X16" i="15"/>
  <c r="T16" i="15"/>
  <c r="P16" i="15"/>
  <c r="L16" i="15"/>
  <c r="H16" i="15"/>
  <c r="D16" i="15"/>
  <c r="X15" i="15"/>
  <c r="T15" i="15"/>
  <c r="P15" i="15"/>
  <c r="L15" i="15"/>
  <c r="H15" i="15"/>
  <c r="D15" i="15"/>
  <c r="X14" i="15"/>
  <c r="T14" i="15"/>
  <c r="P14" i="15"/>
  <c r="L14" i="15"/>
  <c r="H14" i="15"/>
  <c r="D14" i="15"/>
  <c r="X13" i="15"/>
  <c r="T13" i="15"/>
  <c r="P13" i="15"/>
  <c r="L13" i="15"/>
  <c r="H13" i="15"/>
  <c r="D13" i="15"/>
  <c r="X12" i="15"/>
  <c r="T12" i="15"/>
  <c r="P12" i="15"/>
  <c r="L12" i="15"/>
  <c r="H12" i="15"/>
  <c r="D12" i="15"/>
  <c r="X11" i="15"/>
  <c r="T11" i="15"/>
  <c r="P11" i="15"/>
  <c r="L11" i="15"/>
  <c r="H11" i="15"/>
  <c r="D11" i="15"/>
  <c r="X10" i="15"/>
  <c r="T10" i="15"/>
  <c r="P10" i="15"/>
  <c r="L10" i="15"/>
  <c r="H10" i="15"/>
  <c r="D10" i="15"/>
  <c r="X9" i="15"/>
  <c r="T9" i="15"/>
  <c r="P9" i="15"/>
  <c r="L9" i="15"/>
  <c r="H9" i="15"/>
  <c r="D9" i="15"/>
  <c r="H8" i="25" l="1"/>
  <c r="H23" i="25"/>
  <c r="G8" i="25"/>
  <c r="F8" i="25"/>
  <c r="K21" i="12"/>
  <c r="K20" i="12"/>
  <c r="N32" i="22"/>
  <c r="P32" i="22"/>
  <c r="H14" i="22"/>
  <c r="N14" i="22" s="1"/>
  <c r="H16" i="22"/>
  <c r="N16" i="22" s="1"/>
  <c r="P14" i="22"/>
  <c r="P11" i="22"/>
  <c r="P12" i="22"/>
  <c r="P13" i="22"/>
  <c r="O12" i="22"/>
  <c r="P16" i="22"/>
  <c r="P15" i="22"/>
  <c r="H13" i="22"/>
  <c r="H11" i="22"/>
  <c r="H15" i="22"/>
  <c r="I13" i="13"/>
  <c r="E41" i="20"/>
  <c r="D32" i="20"/>
  <c r="F32" i="20"/>
  <c r="G32" i="20"/>
  <c r="E32" i="20"/>
  <c r="L18" i="12"/>
  <c r="M9" i="14"/>
  <c r="M15" i="14" s="1"/>
  <c r="K13" i="12" s="1"/>
  <c r="L13" i="12" s="1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O14" i="22" l="1"/>
  <c r="O16" i="22"/>
  <c r="N11" i="22"/>
  <c r="O11" i="22"/>
  <c r="P18" i="22"/>
  <c r="P19" i="22"/>
  <c r="P20" i="22"/>
  <c r="P21" i="22"/>
  <c r="P31" i="22" s="1"/>
  <c r="P22" i="22"/>
  <c r="P23" i="22"/>
  <c r="N15" i="22"/>
  <c r="O15" i="22"/>
  <c r="N13" i="22"/>
  <c r="O13" i="22"/>
  <c r="J13" i="13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" i="14"/>
  <c r="P34" i="22" l="1"/>
  <c r="P36" i="22" s="1"/>
  <c r="P29" i="22"/>
  <c r="O18" i="22"/>
  <c r="O19" i="22"/>
  <c r="O22" i="22"/>
  <c r="O20" i="22"/>
  <c r="O21" i="22"/>
  <c r="O29" i="22" s="1"/>
  <c r="O31" i="22" s="1"/>
  <c r="O34" i="22" s="1"/>
  <c r="O36" i="22" s="1"/>
  <c r="O23" i="22"/>
  <c r="N18" i="22"/>
  <c r="N20" i="22"/>
  <c r="N21" i="22"/>
  <c r="N22" i="22"/>
  <c r="N19" i="22"/>
  <c r="N23" i="22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" i="14"/>
  <c r="L37" i="12"/>
  <c r="C38" i="12"/>
  <c r="D36" i="12" s="1"/>
  <c r="E29" i="12"/>
  <c r="K43" i="12" s="1"/>
  <c r="I14" i="12"/>
  <c r="I15" i="12"/>
  <c r="L15" i="12" s="1"/>
  <c r="J15" i="12"/>
  <c r="I16" i="12"/>
  <c r="L16" i="12" s="1"/>
  <c r="J16" i="12"/>
  <c r="I17" i="12"/>
  <c r="L17" i="12" s="1"/>
  <c r="J17" i="12"/>
  <c r="J14" i="12"/>
  <c r="H20" i="11"/>
  <c r="H21" i="11"/>
  <c r="H19" i="11"/>
  <c r="F19" i="11"/>
  <c r="F20" i="11" s="1"/>
  <c r="F21" i="11" s="1"/>
  <c r="F22" i="11" s="1"/>
  <c r="F23" i="11" s="1"/>
  <c r="F24" i="11" s="1"/>
  <c r="F25" i="11" s="1"/>
  <c r="F26" i="11" s="1"/>
  <c r="E19" i="11"/>
  <c r="E20" i="11" s="1"/>
  <c r="E21" i="11" s="1"/>
  <c r="E22" i="11" s="1"/>
  <c r="E23" i="11" s="1"/>
  <c r="E24" i="11" s="1"/>
  <c r="E25" i="11" s="1"/>
  <c r="E26" i="11" s="1"/>
  <c r="J6" i="11"/>
  <c r="J7" i="11"/>
  <c r="J5" i="11"/>
  <c r="H5" i="11"/>
  <c r="H6" i="11" s="1"/>
  <c r="H7" i="11" s="1"/>
  <c r="H8" i="11" s="1"/>
  <c r="H9" i="11" s="1"/>
  <c r="H10" i="11" s="1"/>
  <c r="H11" i="11" s="1"/>
  <c r="H12" i="11" s="1"/>
  <c r="G5" i="11"/>
  <c r="G6" i="11" s="1"/>
  <c r="G7" i="11" s="1"/>
  <c r="G8" i="11" s="1"/>
  <c r="G9" i="11" s="1"/>
  <c r="G10" i="11" s="1"/>
  <c r="G11" i="11" s="1"/>
  <c r="G12" i="11" s="1"/>
  <c r="I12" i="11" s="1"/>
  <c r="I11" i="11" l="1"/>
  <c r="I10" i="11"/>
  <c r="J10" i="11" s="1"/>
  <c r="I9" i="11"/>
  <c r="I8" i="11"/>
  <c r="J8" i="11" s="1"/>
  <c r="G22" i="11"/>
  <c r="H22" i="11" s="1"/>
  <c r="N29" i="22"/>
  <c r="N31" i="22" s="1"/>
  <c r="N34" i="22" s="1"/>
  <c r="N36" i="22" s="1"/>
  <c r="D38" i="12"/>
  <c r="E38" i="12" s="1"/>
  <c r="D37" i="12"/>
  <c r="D40" i="12" s="1"/>
  <c r="E36" i="12"/>
  <c r="L43" i="12" s="1"/>
  <c r="L14" i="12"/>
  <c r="J11" i="11" l="1"/>
  <c r="J12" i="11"/>
  <c r="J9" i="11"/>
  <c r="G23" i="11"/>
  <c r="L21" i="12"/>
  <c r="L35" i="12" s="1"/>
  <c r="L20" i="12"/>
  <c r="E37" i="12"/>
  <c r="E40" i="12"/>
  <c r="L36" i="12" s="1"/>
  <c r="L44" i="12"/>
  <c r="C5" i="11"/>
  <c r="C6" i="11" s="1"/>
  <c r="C7" i="11" s="1"/>
  <c r="C8" i="11" s="1"/>
  <c r="C9" i="11" s="1"/>
  <c r="C10" i="11" s="1"/>
  <c r="C11" i="11" s="1"/>
  <c r="C12" i="11" s="1"/>
  <c r="B5" i="11"/>
  <c r="B6" i="11" s="1"/>
  <c r="B7" i="11" s="1"/>
  <c r="B8" i="11" s="1"/>
  <c r="E7" i="11"/>
  <c r="E6" i="11"/>
  <c r="E5" i="11"/>
  <c r="E11" i="10"/>
  <c r="I28" i="10"/>
  <c r="H28" i="10"/>
  <c r="D28" i="10"/>
  <c r="E28" i="10"/>
  <c r="F28" i="10"/>
  <c r="D29" i="10"/>
  <c r="E29" i="10"/>
  <c r="F29" i="10"/>
  <c r="C28" i="10"/>
  <c r="C35" i="10" s="1"/>
  <c r="G70" i="2"/>
  <c r="G69" i="2"/>
  <c r="G68" i="2" s="1"/>
  <c r="D68" i="2"/>
  <c r="E68" i="2"/>
  <c r="F68" i="2"/>
  <c r="C68" i="2"/>
  <c r="D69" i="2"/>
  <c r="E69" i="2"/>
  <c r="F69" i="2"/>
  <c r="D70" i="2"/>
  <c r="E70" i="2"/>
  <c r="F70" i="2"/>
  <c r="C69" i="2"/>
  <c r="C70" i="2"/>
  <c r="C3" i="10"/>
  <c r="D3" i="10"/>
  <c r="E3" i="10"/>
  <c r="F3" i="10"/>
  <c r="G95" i="2"/>
  <c r="G96" i="2"/>
  <c r="G97" i="2"/>
  <c r="G98" i="2"/>
  <c r="G99" i="2"/>
  <c r="G100" i="2"/>
  <c r="G103" i="2"/>
  <c r="G104" i="2"/>
  <c r="G105" i="2"/>
  <c r="G110" i="2"/>
  <c r="G111" i="2"/>
  <c r="G112" i="2"/>
  <c r="G113" i="2"/>
  <c r="G114" i="2"/>
  <c r="G115" i="2"/>
  <c r="G120" i="2"/>
  <c r="G121" i="2"/>
  <c r="G122" i="2"/>
  <c r="G123" i="2"/>
  <c r="G124" i="2"/>
  <c r="C20" i="2"/>
  <c r="C25" i="2"/>
  <c r="C28" i="2"/>
  <c r="C37" i="2"/>
  <c r="C43" i="2"/>
  <c r="C45" i="2"/>
  <c r="C49" i="2"/>
  <c r="C54" i="2"/>
  <c r="C61" i="2"/>
  <c r="C62" i="2"/>
  <c r="C63" i="2"/>
  <c r="C65" i="2"/>
  <c r="C66" i="2"/>
  <c r="C67" i="2"/>
  <c r="C71" i="2"/>
  <c r="C74" i="2"/>
  <c r="C75" i="2"/>
  <c r="C76" i="2"/>
  <c r="C77" i="2"/>
  <c r="C78" i="2"/>
  <c r="C81" i="2"/>
  <c r="C82" i="2"/>
  <c r="C83" i="2"/>
  <c r="C84" i="2"/>
  <c r="C86" i="2"/>
  <c r="C95" i="2"/>
  <c r="C96" i="2"/>
  <c r="C97" i="2"/>
  <c r="C98" i="2"/>
  <c r="C99" i="2"/>
  <c r="C100" i="2"/>
  <c r="C101" i="2"/>
  <c r="C102" i="2"/>
  <c r="C103" i="2"/>
  <c r="C104" i="2"/>
  <c r="C105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C124" i="2"/>
  <c r="C123" i="2"/>
  <c r="C121" i="2"/>
  <c r="C122" i="2"/>
  <c r="C120" i="2"/>
  <c r="D110" i="2"/>
  <c r="E110" i="2"/>
  <c r="F110" i="2"/>
  <c r="D111" i="2"/>
  <c r="E111" i="2"/>
  <c r="F111" i="2"/>
  <c r="D112" i="2"/>
  <c r="E112" i="2"/>
  <c r="F112" i="2"/>
  <c r="D114" i="2"/>
  <c r="E114" i="2"/>
  <c r="F114" i="2"/>
  <c r="D115" i="2"/>
  <c r="E115" i="2"/>
  <c r="F115" i="2"/>
  <c r="C115" i="2"/>
  <c r="C114" i="2"/>
  <c r="C112" i="2"/>
  <c r="C111" i="2"/>
  <c r="C110" i="2"/>
  <c r="C117" i="2" s="1"/>
  <c r="C62" i="19" s="1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D100" i="2"/>
  <c r="E100" i="2"/>
  <c r="F100" i="2"/>
  <c r="D101" i="2"/>
  <c r="E101" i="2"/>
  <c r="F101" i="2"/>
  <c r="D102" i="2"/>
  <c r="E102" i="2"/>
  <c r="F102" i="2"/>
  <c r="D103" i="2"/>
  <c r="E103" i="2"/>
  <c r="F103" i="2"/>
  <c r="D104" i="2"/>
  <c r="E104" i="2"/>
  <c r="F104" i="2"/>
  <c r="D105" i="2"/>
  <c r="E105" i="2"/>
  <c r="F105" i="2"/>
  <c r="D86" i="2"/>
  <c r="G85" i="2"/>
  <c r="G84" i="2"/>
  <c r="G83" i="2"/>
  <c r="D83" i="2"/>
  <c r="E83" i="2"/>
  <c r="F83" i="2"/>
  <c r="D84" i="2"/>
  <c r="E84" i="2"/>
  <c r="F84" i="2"/>
  <c r="G86" i="2"/>
  <c r="G82" i="2"/>
  <c r="G81" i="2"/>
  <c r="G77" i="2"/>
  <c r="G78" i="2"/>
  <c r="G76" i="2"/>
  <c r="G75" i="2"/>
  <c r="G74" i="2"/>
  <c r="D74" i="2"/>
  <c r="D75" i="2"/>
  <c r="D76" i="2"/>
  <c r="D77" i="2"/>
  <c r="D78" i="2"/>
  <c r="E74" i="2"/>
  <c r="F74" i="2"/>
  <c r="E75" i="2"/>
  <c r="F75" i="2"/>
  <c r="E76" i="2"/>
  <c r="F76" i="2"/>
  <c r="E77" i="2"/>
  <c r="F77" i="2"/>
  <c r="E78" i="2"/>
  <c r="F78" i="2"/>
  <c r="D81" i="2"/>
  <c r="E81" i="2"/>
  <c r="F81" i="2"/>
  <c r="D82" i="2"/>
  <c r="E82" i="2"/>
  <c r="F82" i="2"/>
  <c r="E86" i="2"/>
  <c r="F86" i="2"/>
  <c r="G63" i="2"/>
  <c r="D63" i="2"/>
  <c r="E63" i="2"/>
  <c r="F63" i="2"/>
  <c r="G62" i="2"/>
  <c r="G61" i="2"/>
  <c r="D61" i="2"/>
  <c r="E61" i="2"/>
  <c r="F61" i="2"/>
  <c r="D62" i="2"/>
  <c r="E62" i="2"/>
  <c r="F62" i="2"/>
  <c r="G71" i="2"/>
  <c r="D71" i="2"/>
  <c r="E71" i="2"/>
  <c r="F71" i="2"/>
  <c r="G67" i="2"/>
  <c r="D67" i="2"/>
  <c r="E67" i="2"/>
  <c r="F67" i="2"/>
  <c r="G66" i="2"/>
  <c r="G65" i="2"/>
  <c r="D66" i="2"/>
  <c r="E66" i="2"/>
  <c r="F66" i="2"/>
  <c r="D65" i="2"/>
  <c r="E65" i="2"/>
  <c r="F65" i="2"/>
  <c r="G49" i="2"/>
  <c r="G54" i="2" s="1"/>
  <c r="G37" i="2"/>
  <c r="G20" i="2"/>
  <c r="G45" i="2"/>
  <c r="D43" i="2"/>
  <c r="E43" i="2"/>
  <c r="F43" i="2"/>
  <c r="G43" i="2"/>
  <c r="D45" i="2"/>
  <c r="E45" i="2"/>
  <c r="F45" i="2"/>
  <c r="D49" i="2"/>
  <c r="D54" i="2" s="1"/>
  <c r="E49" i="2"/>
  <c r="E54" i="2" s="1"/>
  <c r="E9" i="10" s="1"/>
  <c r="F49" i="2"/>
  <c r="F54" i="2" s="1"/>
  <c r="F9" i="10" s="1"/>
  <c r="D37" i="2"/>
  <c r="E37" i="2"/>
  <c r="F37" i="2"/>
  <c r="G25" i="2"/>
  <c r="D25" i="2"/>
  <c r="E25" i="2"/>
  <c r="F25" i="2"/>
  <c r="D20" i="2"/>
  <c r="E20" i="2"/>
  <c r="F20" i="2"/>
  <c r="C14" i="2"/>
  <c r="G28" i="2"/>
  <c r="F28" i="2"/>
  <c r="E28" i="2"/>
  <c r="D28" i="2"/>
  <c r="G14" i="2"/>
  <c r="D14" i="2"/>
  <c r="E14" i="2"/>
  <c r="F14" i="2"/>
  <c r="G8" i="2"/>
  <c r="D8" i="2"/>
  <c r="E8" i="2"/>
  <c r="F8" i="2"/>
  <c r="C8" i="2"/>
  <c r="G5" i="2"/>
  <c r="D5" i="2"/>
  <c r="E5" i="2"/>
  <c r="E27" i="10" s="1"/>
  <c r="E34" i="10" s="1"/>
  <c r="F5" i="2"/>
  <c r="F30" i="10" s="1"/>
  <c r="C5" i="2"/>
  <c r="C29" i="2" s="1"/>
  <c r="C18" i="10" s="1"/>
  <c r="D3" i="2"/>
  <c r="E3" i="2"/>
  <c r="F3" i="2"/>
  <c r="C3" i="2"/>
  <c r="B2" i="2"/>
  <c r="D8" i="11" l="1"/>
  <c r="E8" i="11" s="1"/>
  <c r="B9" i="11"/>
  <c r="G24" i="11"/>
  <c r="H24" i="11" s="1"/>
  <c r="H23" i="11"/>
  <c r="I29" i="10"/>
  <c r="L38" i="12"/>
  <c r="L29" i="12" s="1"/>
  <c r="H29" i="10"/>
  <c r="G106" i="2"/>
  <c r="G107" i="2" s="1"/>
  <c r="G116" i="2"/>
  <c r="C27" i="10"/>
  <c r="C34" i="10" s="1"/>
  <c r="D27" i="10"/>
  <c r="E30" i="10"/>
  <c r="D117" i="2"/>
  <c r="D62" i="19" s="1"/>
  <c r="F36" i="10"/>
  <c r="D30" i="10"/>
  <c r="C29" i="10"/>
  <c r="C36" i="10" s="1"/>
  <c r="C87" i="2"/>
  <c r="C30" i="10"/>
  <c r="C106" i="2"/>
  <c r="E36" i="10"/>
  <c r="G117" i="2"/>
  <c r="D36" i="10"/>
  <c r="F27" i="10"/>
  <c r="F34" i="10" s="1"/>
  <c r="C60" i="2"/>
  <c r="E106" i="2"/>
  <c r="E125" i="2"/>
  <c r="E70" i="19" s="1"/>
  <c r="G125" i="2"/>
  <c r="F106" i="2"/>
  <c r="D9" i="10"/>
  <c r="D106" i="2"/>
  <c r="C64" i="2"/>
  <c r="C26" i="2"/>
  <c r="F117" i="2"/>
  <c r="F62" i="19" s="1"/>
  <c r="F125" i="2"/>
  <c r="F70" i="19" s="1"/>
  <c r="C79" i="2"/>
  <c r="E117" i="2"/>
  <c r="E62" i="19" s="1"/>
  <c r="D125" i="2"/>
  <c r="D70" i="19" s="1"/>
  <c r="C125" i="2"/>
  <c r="C70" i="19" s="1"/>
  <c r="E79" i="2"/>
  <c r="D79" i="2"/>
  <c r="G79" i="2"/>
  <c r="G87" i="2"/>
  <c r="F87" i="2"/>
  <c r="E87" i="2"/>
  <c r="F60" i="2"/>
  <c r="F35" i="10" s="1"/>
  <c r="D87" i="2"/>
  <c r="E60" i="2"/>
  <c r="E35" i="10" s="1"/>
  <c r="D60" i="2"/>
  <c r="D35" i="10" s="1"/>
  <c r="F79" i="2"/>
  <c r="G60" i="2"/>
  <c r="G64" i="2"/>
  <c r="F64" i="2"/>
  <c r="E64" i="2"/>
  <c r="D64" i="2"/>
  <c r="F9" i="2"/>
  <c r="G26" i="2"/>
  <c r="E11" i="2"/>
  <c r="D6" i="2"/>
  <c r="D5" i="10" s="1"/>
  <c r="G6" i="2"/>
  <c r="C9" i="2"/>
  <c r="D26" i="2"/>
  <c r="E9" i="2"/>
  <c r="E26" i="2"/>
  <c r="D11" i="2"/>
  <c r="G9" i="2"/>
  <c r="E6" i="2"/>
  <c r="E5" i="10" s="1"/>
  <c r="F6" i="2"/>
  <c r="F5" i="10" s="1"/>
  <c r="G11" i="2"/>
  <c r="F11" i="2"/>
  <c r="F15" i="2"/>
  <c r="F17" i="10" s="1"/>
  <c r="F29" i="2"/>
  <c r="F18" i="10" s="1"/>
  <c r="E15" i="2"/>
  <c r="E17" i="10" s="1"/>
  <c r="G29" i="2"/>
  <c r="C11" i="2"/>
  <c r="D29" i="2"/>
  <c r="D18" i="10" s="1"/>
  <c r="E29" i="2"/>
  <c r="E18" i="10" s="1"/>
  <c r="D15" i="2"/>
  <c r="D17" i="10" s="1"/>
  <c r="D9" i="2"/>
  <c r="G15" i="2"/>
  <c r="F26" i="2"/>
  <c r="C15" i="2"/>
  <c r="C17" i="10" s="1"/>
  <c r="G25" i="11" l="1"/>
  <c r="H25" i="11" s="1"/>
  <c r="D9" i="11"/>
  <c r="E9" i="11" s="1"/>
  <c r="B10" i="11"/>
  <c r="E107" i="2"/>
  <c r="E52" i="19" s="1"/>
  <c r="E72" i="19" s="1"/>
  <c r="E51" i="19"/>
  <c r="F107" i="2"/>
  <c r="F52" i="19" s="1"/>
  <c r="F72" i="19" s="1"/>
  <c r="F51" i="19"/>
  <c r="C107" i="2"/>
  <c r="C52" i="19" s="1"/>
  <c r="C72" i="19" s="1"/>
  <c r="C51" i="19"/>
  <c r="D107" i="2"/>
  <c r="D52" i="19" s="1"/>
  <c r="D72" i="19" s="1"/>
  <c r="D51" i="19"/>
  <c r="L30" i="12"/>
  <c r="K44" i="12" s="1"/>
  <c r="L45" i="12" s="1"/>
  <c r="C19" i="13" s="1"/>
  <c r="I18" i="10"/>
  <c r="H18" i="10"/>
  <c r="H5" i="10"/>
  <c r="I5" i="10"/>
  <c r="D34" i="10"/>
  <c r="I34" i="10" s="1"/>
  <c r="H27" i="10"/>
  <c r="I27" i="10"/>
  <c r="I30" i="10"/>
  <c r="H30" i="10"/>
  <c r="H34" i="10"/>
  <c r="I17" i="10"/>
  <c r="H17" i="10"/>
  <c r="H9" i="10"/>
  <c r="I9" i="10"/>
  <c r="I35" i="10"/>
  <c r="H35" i="10"/>
  <c r="I36" i="10"/>
  <c r="H36" i="10"/>
  <c r="C31" i="10"/>
  <c r="C37" i="10"/>
  <c r="C89" i="2"/>
  <c r="D37" i="10"/>
  <c r="F31" i="10"/>
  <c r="C72" i="2"/>
  <c r="G127" i="2"/>
  <c r="E37" i="10"/>
  <c r="D31" i="10"/>
  <c r="E39" i="10"/>
  <c r="E41" i="10"/>
  <c r="F41" i="10"/>
  <c r="F39" i="10"/>
  <c r="C17" i="2"/>
  <c r="C22" i="2" s="1"/>
  <c r="D33" i="20" s="1"/>
  <c r="C12" i="2"/>
  <c r="C11" i="10" s="1"/>
  <c r="C39" i="10"/>
  <c r="C41" i="10"/>
  <c r="F17" i="2"/>
  <c r="F18" i="2" s="1"/>
  <c r="F19" i="10" s="1"/>
  <c r="F12" i="2"/>
  <c r="F11" i="10" s="1"/>
  <c r="E17" i="2"/>
  <c r="E18" i="2" s="1"/>
  <c r="E19" i="10" s="1"/>
  <c r="E12" i="2"/>
  <c r="E31" i="10"/>
  <c r="G17" i="2"/>
  <c r="G22" i="2" s="1"/>
  <c r="G31" i="2" s="1"/>
  <c r="G34" i="2" s="1"/>
  <c r="G40" i="2" s="1"/>
  <c r="G12" i="2"/>
  <c r="E127" i="2"/>
  <c r="F127" i="2"/>
  <c r="D17" i="2"/>
  <c r="D22" i="2" s="1"/>
  <c r="E33" i="20" s="1"/>
  <c r="D12" i="2"/>
  <c r="D11" i="10" s="1"/>
  <c r="F37" i="10"/>
  <c r="F89" i="2"/>
  <c r="E72" i="2"/>
  <c r="G89" i="2"/>
  <c r="D89" i="2"/>
  <c r="E89" i="2"/>
  <c r="G72" i="2"/>
  <c r="F72" i="2"/>
  <c r="D72" i="2"/>
  <c r="G26" i="11" l="1"/>
  <c r="H26" i="11" s="1"/>
  <c r="D10" i="11"/>
  <c r="E10" i="11" s="1"/>
  <c r="B11" i="11"/>
  <c r="D39" i="10"/>
  <c r="D41" i="10"/>
  <c r="D127" i="2"/>
  <c r="C33" i="17"/>
  <c r="C36" i="17"/>
  <c r="C39" i="17"/>
  <c r="C42" i="17"/>
  <c r="C34" i="17"/>
  <c r="C38" i="17"/>
  <c r="C37" i="17"/>
  <c r="C40" i="17"/>
  <c r="C32" i="17"/>
  <c r="C35" i="17"/>
  <c r="C41" i="17"/>
  <c r="C31" i="17"/>
  <c r="E36" i="17"/>
  <c r="E42" i="17"/>
  <c r="E32" i="17"/>
  <c r="E37" i="17"/>
  <c r="E40" i="17"/>
  <c r="E31" i="17"/>
  <c r="E33" i="17"/>
  <c r="E39" i="17"/>
  <c r="E34" i="17"/>
  <c r="E38" i="17"/>
  <c r="E35" i="17"/>
  <c r="E41" i="17"/>
  <c r="D40" i="10"/>
  <c r="D32" i="17"/>
  <c r="D37" i="17"/>
  <c r="D31" i="17"/>
  <c r="D35" i="17"/>
  <c r="D33" i="17"/>
  <c r="D36" i="17"/>
  <c r="D39" i="17"/>
  <c r="D42" i="17"/>
  <c r="D34" i="17"/>
  <c r="D40" i="17"/>
  <c r="D38" i="17"/>
  <c r="D41" i="17"/>
  <c r="F40" i="10"/>
  <c r="F36" i="17"/>
  <c r="F39" i="17"/>
  <c r="F34" i="17"/>
  <c r="F33" i="17"/>
  <c r="F42" i="17"/>
  <c r="F32" i="17"/>
  <c r="F37" i="17"/>
  <c r="F40" i="17"/>
  <c r="F35" i="17"/>
  <c r="F41" i="17"/>
  <c r="F31" i="17"/>
  <c r="F38" i="17"/>
  <c r="C40" i="10"/>
  <c r="D43" i="20"/>
  <c r="D45" i="20" s="1"/>
  <c r="D35" i="20"/>
  <c r="E43" i="20"/>
  <c r="E45" i="20" s="1"/>
  <c r="E49" i="20" s="1"/>
  <c r="E35" i="20"/>
  <c r="E57" i="20" s="1"/>
  <c r="G14" i="13"/>
  <c r="H14" i="13"/>
  <c r="F14" i="13"/>
  <c r="I14" i="13"/>
  <c r="J14" i="13"/>
  <c r="H31" i="10"/>
  <c r="I31" i="10"/>
  <c r="I41" i="10"/>
  <c r="H41" i="10"/>
  <c r="I39" i="10"/>
  <c r="H39" i="10"/>
  <c r="H11" i="10"/>
  <c r="I11" i="10"/>
  <c r="I37" i="10"/>
  <c r="H37" i="10"/>
  <c r="D18" i="2"/>
  <c r="D19" i="10" s="1"/>
  <c r="G18" i="2"/>
  <c r="E22" i="2"/>
  <c r="C91" i="2"/>
  <c r="E91" i="2"/>
  <c r="F22" i="2"/>
  <c r="C18" i="2"/>
  <c r="C19" i="10" s="1"/>
  <c r="C21" i="10"/>
  <c r="C25" i="10"/>
  <c r="C31" i="2"/>
  <c r="E40" i="10"/>
  <c r="I40" i="10" s="1"/>
  <c r="D31" i="2"/>
  <c r="D21" i="10"/>
  <c r="D25" i="10"/>
  <c r="C23" i="2"/>
  <c r="C13" i="10" s="1"/>
  <c r="F91" i="2"/>
  <c r="D91" i="2"/>
  <c r="G91" i="2"/>
  <c r="G47" i="2"/>
  <c r="G51" i="2" s="1"/>
  <c r="G23" i="2"/>
  <c r="D23" i="2"/>
  <c r="D13" i="10" s="1"/>
  <c r="G38" i="2"/>
  <c r="G35" i="2"/>
  <c r="G32" i="2"/>
  <c r="B12" i="11" l="1"/>
  <c r="D12" i="11" s="1"/>
  <c r="D11" i="11"/>
  <c r="E11" i="11" s="1"/>
  <c r="H40" i="10"/>
  <c r="E25" i="10"/>
  <c r="F33" i="20"/>
  <c r="D32" i="2"/>
  <c r="D12" i="10" s="1"/>
  <c r="D15" i="17"/>
  <c r="E21" i="10"/>
  <c r="C32" i="2"/>
  <c r="C12" i="10" s="1"/>
  <c r="C15" i="17"/>
  <c r="E31" i="2"/>
  <c r="D34" i="2"/>
  <c r="E56" i="20"/>
  <c r="E59" i="20" s="1"/>
  <c r="F23" i="2"/>
  <c r="F13" i="10" s="1"/>
  <c r="G33" i="20"/>
  <c r="E8" i="13"/>
  <c r="F31" i="2"/>
  <c r="F15" i="17" s="1"/>
  <c r="H13" i="10"/>
  <c r="I19" i="10"/>
  <c r="H19" i="10"/>
  <c r="E23" i="2"/>
  <c r="E13" i="10" s="1"/>
  <c r="D6" i="10"/>
  <c r="C34" i="2"/>
  <c r="F21" i="10"/>
  <c r="I21" i="10" s="1"/>
  <c r="F25" i="10"/>
  <c r="H25" i="10" s="1"/>
  <c r="D35" i="2"/>
  <c r="D14" i="10" s="1"/>
  <c r="D38" i="2"/>
  <c r="D18" i="17" s="1"/>
  <c r="G41" i="2"/>
  <c r="E12" i="11" l="1"/>
  <c r="E6" i="10"/>
  <c r="E15" i="17"/>
  <c r="F8" i="13"/>
  <c r="D7" i="10"/>
  <c r="C16" i="17"/>
  <c r="I13" i="10"/>
  <c r="D40" i="2"/>
  <c r="D16" i="17"/>
  <c r="F43" i="20"/>
  <c r="F45" i="20" s="1"/>
  <c r="F49" i="20" s="1"/>
  <c r="F35" i="20"/>
  <c r="F57" i="20" s="1"/>
  <c r="G43" i="20"/>
  <c r="G45" i="20" s="1"/>
  <c r="G49" i="20" s="1"/>
  <c r="G35" i="20"/>
  <c r="G57" i="20" s="1"/>
  <c r="E32" i="2"/>
  <c r="E12" i="10" s="1"/>
  <c r="E34" i="2"/>
  <c r="H21" i="10"/>
  <c r="I25" i="10"/>
  <c r="C38" i="2"/>
  <c r="C35" i="2"/>
  <c r="C14" i="10" s="1"/>
  <c r="C40" i="2"/>
  <c r="F32" i="2"/>
  <c r="F12" i="10" s="1"/>
  <c r="F34" i="2"/>
  <c r="F16" i="17" s="1"/>
  <c r="F6" i="10"/>
  <c r="I6" i="10" s="1"/>
  <c r="G55" i="2"/>
  <c r="G57" i="2" s="1"/>
  <c r="C47" i="2" l="1"/>
  <c r="C51" i="2" s="1"/>
  <c r="C19" i="17"/>
  <c r="E16" i="17"/>
  <c r="E40" i="2"/>
  <c r="E38" i="2"/>
  <c r="E18" i="17" s="1"/>
  <c r="E35" i="2"/>
  <c r="E14" i="10" s="1"/>
  <c r="E7" i="10"/>
  <c r="G8" i="13"/>
  <c r="G56" i="20"/>
  <c r="G59" i="20" s="1"/>
  <c r="C17" i="13" s="1"/>
  <c r="E11" i="13"/>
  <c r="C41" i="2"/>
  <c r="C15" i="10" s="1"/>
  <c r="D23" i="10"/>
  <c r="D19" i="17"/>
  <c r="D41" i="2"/>
  <c r="D15" i="10" s="1"/>
  <c r="D47" i="2"/>
  <c r="D51" i="2" s="1"/>
  <c r="D55" i="2" s="1"/>
  <c r="D57" i="2" s="1"/>
  <c r="D22" i="10" s="1"/>
  <c r="C23" i="10"/>
  <c r="F56" i="20"/>
  <c r="F59" i="20" s="1"/>
  <c r="G51" i="20"/>
  <c r="G52" i="20"/>
  <c r="J11" i="13" s="1"/>
  <c r="C18" i="17"/>
  <c r="E9" i="13"/>
  <c r="D8" i="10"/>
  <c r="I12" i="10"/>
  <c r="H12" i="10"/>
  <c r="H6" i="10"/>
  <c r="F35" i="2"/>
  <c r="F14" i="10" s="1"/>
  <c r="F40" i="2"/>
  <c r="F19" i="17" s="1"/>
  <c r="F38" i="2"/>
  <c r="F18" i="17" s="1"/>
  <c r="F7" i="10"/>
  <c r="C55" i="2"/>
  <c r="C57" i="2" s="1"/>
  <c r="C22" i="10" s="1"/>
  <c r="C24" i="10" s="1"/>
  <c r="D24" i="10" l="1"/>
  <c r="F9" i="13"/>
  <c r="E10" i="13"/>
  <c r="E12" i="13" s="1"/>
  <c r="F11" i="13"/>
  <c r="G11" i="13" s="1"/>
  <c r="H11" i="13" s="1"/>
  <c r="I11" i="13" s="1"/>
  <c r="H8" i="13"/>
  <c r="E19" i="17"/>
  <c r="E8" i="10"/>
  <c r="E47" i="2"/>
  <c r="E51" i="2" s="1"/>
  <c r="E41" i="2"/>
  <c r="E15" i="10" s="1"/>
  <c r="E23" i="10"/>
  <c r="I14" i="10"/>
  <c r="H14" i="10"/>
  <c r="H7" i="10"/>
  <c r="I7" i="10"/>
  <c r="F23" i="10"/>
  <c r="F41" i="2"/>
  <c r="F15" i="10" s="1"/>
  <c r="F47" i="2"/>
  <c r="F51" i="2" s="1"/>
  <c r="F8" i="10"/>
  <c r="G9" i="13" l="1"/>
  <c r="F10" i="13"/>
  <c r="F12" i="13" s="1"/>
  <c r="F15" i="13" s="1"/>
  <c r="I8" i="13"/>
  <c r="E55" i="2"/>
  <c r="E57" i="2" s="1"/>
  <c r="E22" i="10" s="1"/>
  <c r="E24" i="10" s="1"/>
  <c r="E52" i="2"/>
  <c r="I8" i="10"/>
  <c r="H8" i="10"/>
  <c r="H23" i="10"/>
  <c r="I23" i="10"/>
  <c r="H15" i="10"/>
  <c r="I15" i="10"/>
  <c r="F55" i="2"/>
  <c r="F57" i="2" s="1"/>
  <c r="F22" i="10" s="1"/>
  <c r="G52" i="2"/>
  <c r="F52" i="2"/>
  <c r="D52" i="2"/>
  <c r="C127" i="2"/>
  <c r="J8" i="13" l="1"/>
  <c r="C24" i="13"/>
  <c r="C27" i="13" s="1"/>
  <c r="E23" i="13" s="1"/>
  <c r="H9" i="13"/>
  <c r="G10" i="13"/>
  <c r="G12" i="13" s="1"/>
  <c r="G15" i="13" s="1"/>
  <c r="F24" i="10"/>
  <c r="I24" i="10" s="1"/>
  <c r="H22" i="10"/>
  <c r="I22" i="10"/>
  <c r="I9" i="13" l="1"/>
  <c r="H10" i="13"/>
  <c r="H12" i="13" s="1"/>
  <c r="H15" i="13" s="1"/>
  <c r="C34" i="13"/>
  <c r="H24" i="10"/>
  <c r="J9" i="13" l="1"/>
  <c r="J10" i="13" s="1"/>
  <c r="J12" i="13" s="1"/>
  <c r="J15" i="13" s="1"/>
  <c r="I10" i="13"/>
  <c r="I12" i="13" s="1"/>
  <c r="I15" i="13" s="1"/>
  <c r="C33" i="13" l="1"/>
  <c r="C35" i="13" s="1"/>
  <c r="C39" i="13" s="1"/>
  <c r="C42" i="13" s="1"/>
  <c r="C45" i="13" s="1"/>
</calcChain>
</file>

<file path=xl/sharedStrings.xml><?xml version="1.0" encoding="utf-8"?>
<sst xmlns="http://schemas.openxmlformats.org/spreadsheetml/2006/main" count="1086" uniqueCount="560">
  <si>
    <t>Years</t>
  </si>
  <si>
    <t>Tax Effect Of Unusual Items</t>
  </si>
  <si>
    <t>Tax Rate For Calcs</t>
  </si>
  <si>
    <t>Normalized EBITDA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</si>
  <si>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</si>
  <si>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</si>
  <si>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</si>
  <si>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</si>
  <si>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</si>
  <si>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</si>
  <si>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</si>
  <si>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</si>
  <si>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</si>
  <si>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</si>
  <si>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</si>
  <si>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</si>
  <si>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</si>
  <si>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</si>
  <si>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</si>
  <si>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</si>
  <si>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</si>
  <si>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</si>
  <si>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Preferred Stock Dividends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</si>
  <si>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</si>
  <si>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</si>
  <si>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</si>
  <si>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</si>
  <si>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</si>
  <si>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</si>
  <si>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</si>
  <si>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</si>
  <si>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</si>
  <si>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</si>
  <si>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</si>
  <si>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</si>
  <si>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</si>
  <si>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Selling General And Administration</t>
  </si>
  <si>
    <t>Gross Profit</t>
  </si>
  <si>
    <t>Cost Of Revenue</t>
  </si>
  <si>
    <t>Total Revenue</t>
  </si>
  <si>
    <t>Operating Revenue</t>
  </si>
  <si>
    <t xml:space="preserve">Loblaws Limited Company </t>
  </si>
  <si>
    <t>TTM</t>
  </si>
  <si>
    <t>Income Statement</t>
  </si>
  <si>
    <t>#</t>
  </si>
  <si>
    <t>Treasury Shares Number</t>
  </si>
  <si>
    <t>Preferred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</si>
  <si>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</si>
  <si>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</si>
  <si>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</si>
  <si>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</si>
  <si>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</si>
  <si>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</si>
  <si>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</si>
  <si>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</si>
  <si>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</si>
  <si>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</si>
  <si>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Preferred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</si>
  <si>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</si>
  <si>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</si>
  <si>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</si>
  <si>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</si>
  <si>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</si>
  <si>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</si>
  <si>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</si>
  <si>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</si>
  <si>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</si>
  <si>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</si>
  <si>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</si>
  <si>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</si>
  <si>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</si>
  <si>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</si>
  <si>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</si>
  <si>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</si>
  <si>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</si>
  <si>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</si>
  <si>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</si>
  <si>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</si>
  <si>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</si>
  <si>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</si>
  <si>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</si>
  <si>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</si>
  <si>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</si>
  <si>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</si>
  <si>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</si>
  <si>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</si>
  <si>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</si>
  <si>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</si>
  <si>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</si>
  <si>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Current Provisions</t>
  </si>
  <si>
    <t>Payables And Accrued Expenses</t>
  </si>
  <si>
    <t>Payables</t>
  </si>
  <si>
    <t>Dueto Related Parties Current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</si>
  <si>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</si>
  <si>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</si>
  <si>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</si>
  <si>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</si>
  <si>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</si>
  <si>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</si>
  <si>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</si>
  <si>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Deferred Assets</t>
  </si>
  <si>
    <t>Non Current Deferred Taxes Assets</t>
  </si>
  <si>
    <t>Non Current Note Receivables</t>
  </si>
  <si>
    <t>Non Current Accounts Receivable</t>
  </si>
  <si>
    <t>Investments And Advances</t>
  </si>
  <si>
    <t>Other Investments</t>
  </si>
  <si>
    <t>Investmentin Financial Assets</t>
  </si>
  <si>
    <t>Long Term Equity Investment</t>
  </si>
  <si>
    <t>Investments In Other Ventures Under Equity Method</t>
  </si>
  <si>
    <t>Investmentsin Associatesat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</si>
  <si>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</si>
  <si>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</si>
  <si>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</si>
  <si>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</si>
  <si>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</si>
  <si>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</si>
  <si>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</si>
  <si>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</si>
  <si>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</si>
  <si>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</si>
  <si>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</si>
  <si>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</si>
  <si>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</si>
  <si>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</si>
  <si>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</si>
  <si>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</si>
  <si>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</si>
  <si>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</si>
  <si>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</si>
  <si>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</si>
  <si>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</si>
  <si>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</si>
  <si>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</si>
  <si>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</si>
  <si>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</si>
  <si>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</si>
  <si>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</si>
  <si>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</si>
  <si>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</si>
  <si>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</si>
  <si>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</si>
  <si>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</si>
  <si>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</si>
  <si>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</si>
  <si>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</si>
  <si>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</si>
  <si>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</si>
  <si>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</si>
  <si>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</si>
  <si>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</si>
  <si>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</si>
  <si>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</si>
  <si>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</si>
  <si>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</si>
  <si>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</si>
  <si>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Interest Paid Cff</t>
  </si>
  <si>
    <t>Cash Dividends Paid</t>
  </si>
  <si>
    <t>Preferred Stock Dividend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</si>
  <si>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</si>
  <si>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</si>
  <si>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</si>
  <si>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</si>
  <si>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</si>
  <si>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</si>
  <si>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Short Term Debt Payments</t>
  </si>
  <si>
    <t>Short Term Debt Issuance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</si>
  <si>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</si>
  <si>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</si>
  <si>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</si>
  <si>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</si>
  <si>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</si>
  <si>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</si>
  <si>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</si>
  <si>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</si>
  <si>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</si>
  <si>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</si>
  <si>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</si>
  <si>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</si>
  <si>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</si>
  <si>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</si>
  <si>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</si>
  <si>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</si>
  <si>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</si>
  <si>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</si>
  <si>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</si>
  <si>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</si>
  <si>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</si>
  <si>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Interest Received Cfo</t>
  </si>
  <si>
    <t>Change In Working Capital</t>
  </si>
  <si>
    <t>Change In Other Working Capital</t>
  </si>
  <si>
    <t>Change In Payables And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</si>
  <si>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</si>
  <si>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</si>
  <si>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</si>
  <si>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</si>
  <si>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</si>
  <si>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</si>
  <si>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</si>
  <si>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Unrealized Gain Loss On Investment Securities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</si>
  <si>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</si>
  <si>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</si>
  <si>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</si>
  <si>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</si>
  <si>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</si>
  <si>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</si>
  <si>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</si>
  <si>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</si>
  <si>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</si>
  <si>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</si>
  <si>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Pension And Employee Benefit Expense</t>
  </si>
  <si>
    <t>Gain Loss On Investment Securities</t>
  </si>
  <si>
    <t>Net Income From Continuing Operations</t>
  </si>
  <si>
    <t>Net Investment Properties Purchase And Sale</t>
  </si>
  <si>
    <t>Sale Of Investment Properties</t>
  </si>
  <si>
    <t>Revenue Growth</t>
  </si>
  <si>
    <t>-</t>
  </si>
  <si>
    <t>COGS</t>
  </si>
  <si>
    <t>COGS % Sales</t>
  </si>
  <si>
    <t>S&amp;G Expenses % Sales</t>
  </si>
  <si>
    <t>Selling &amp; General Expenses</t>
  </si>
  <si>
    <t>Interest % Sales</t>
  </si>
  <si>
    <t>Depreciation%Sales</t>
  </si>
  <si>
    <t>Operting Income % Sales</t>
  </si>
  <si>
    <t>EBITDA Margin</t>
  </si>
  <si>
    <t>EBIT% Sales</t>
  </si>
  <si>
    <t>Earnings Before Tax(EBT)</t>
  </si>
  <si>
    <t>EBT % Sales</t>
  </si>
  <si>
    <t>Tax</t>
  </si>
  <si>
    <t>Effective Tax Rate</t>
  </si>
  <si>
    <t>Net Profit</t>
  </si>
  <si>
    <t>Net Margin</t>
  </si>
  <si>
    <t>No of Equity Shares</t>
  </si>
  <si>
    <t>EPS</t>
  </si>
  <si>
    <t>Earnings Growth</t>
  </si>
  <si>
    <t>Dividend per share</t>
  </si>
  <si>
    <t>Dividend payout ratio</t>
  </si>
  <si>
    <t>Retained Ratio</t>
  </si>
  <si>
    <t>Balance Sheet</t>
  </si>
  <si>
    <t>Equity Share Capital</t>
  </si>
  <si>
    <t>Reserves</t>
  </si>
  <si>
    <t>Preferred Dividend</t>
  </si>
  <si>
    <t>Net Income for Common Stockholders</t>
  </si>
  <si>
    <t>Non-Current Liabilities</t>
  </si>
  <si>
    <t>Total Liabilities</t>
  </si>
  <si>
    <t>Fixed Assets</t>
  </si>
  <si>
    <t>Investments</t>
  </si>
  <si>
    <t>Other Assets</t>
  </si>
  <si>
    <t>Total Non-Current Assets</t>
  </si>
  <si>
    <t>Total Current Assets</t>
  </si>
  <si>
    <t xml:space="preserve">Cash </t>
  </si>
  <si>
    <t>Goodwill and Intangible Assets</t>
  </si>
  <si>
    <t>Non-Current Receivables</t>
  </si>
  <si>
    <t>Asset for Sale</t>
  </si>
  <si>
    <t>Other Current Asset</t>
  </si>
  <si>
    <t>Prepaid Asset</t>
  </si>
  <si>
    <t>CHECK</t>
  </si>
  <si>
    <t>Cashflow Statement</t>
  </si>
  <si>
    <t>Revenue from Operations</t>
  </si>
  <si>
    <t>Depreciation,Amortization and Depletion</t>
  </si>
  <si>
    <t>Tax Refund Paid</t>
  </si>
  <si>
    <t>Interest Received</t>
  </si>
  <si>
    <t>Change in working capital</t>
  </si>
  <si>
    <t>Other Non Cash items</t>
  </si>
  <si>
    <t>Operating Activities</t>
  </si>
  <si>
    <t>Investing Activities</t>
  </si>
  <si>
    <t>Net PPE Sale and Purchase</t>
  </si>
  <si>
    <t>Unrecorded Investing Activities</t>
  </si>
  <si>
    <t>Financing Activities</t>
  </si>
  <si>
    <t xml:space="preserve">Interest Paid </t>
  </si>
  <si>
    <t>Net Cash Flow</t>
  </si>
  <si>
    <t>Other Operating Activites</t>
  </si>
  <si>
    <t>SalesGrowth</t>
  </si>
  <si>
    <t>EBITDA Growth</t>
  </si>
  <si>
    <t>EBIT Growth</t>
  </si>
  <si>
    <t>Net Profit Growth</t>
  </si>
  <si>
    <t>Dividend Growth</t>
  </si>
  <si>
    <t>Gross Margin</t>
  </si>
  <si>
    <t>EBIT Margin</t>
  </si>
  <si>
    <t>EBT Margin</t>
  </si>
  <si>
    <t>Net Profit Margin</t>
  </si>
  <si>
    <t>SalesExpenses%Sales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</si>
  <si>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</si>
  <si>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</si>
  <si>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</si>
  <si>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</si>
  <si>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</si>
  <si>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</si>
  <si>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</si>
  <si>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</si>
  <si>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</si>
  <si>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</si>
  <si>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</si>
  <si>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</si>
  <si>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</si>
  <si>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</si>
  <si>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</si>
  <si>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Inventory Turnover</t>
  </si>
  <si>
    <t>CFO/Total Assets</t>
  </si>
  <si>
    <t>CFO/Total Debt</t>
  </si>
  <si>
    <t>Mean</t>
  </si>
  <si>
    <t>Median</t>
  </si>
  <si>
    <t>Trend</t>
  </si>
  <si>
    <t>Year</t>
  </si>
  <si>
    <t>Revenue</t>
  </si>
  <si>
    <t>Sales Growth</t>
  </si>
  <si>
    <t>Year Weight</t>
  </si>
  <si>
    <t>Earnings Per Share</t>
  </si>
  <si>
    <t>EPS Growth</t>
  </si>
  <si>
    <t>Weighted Average Cost of Capita;</t>
  </si>
  <si>
    <t>All figures are in CAD unless stated</t>
  </si>
  <si>
    <t>Peer Comps</t>
  </si>
  <si>
    <t>Name of the Comp</t>
  </si>
  <si>
    <t>Country</t>
  </si>
  <si>
    <t>Tax Rate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</si>
  <si>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</si>
  <si>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Debt/</t>
  </si>
  <si>
    <t>Equity</t>
  </si>
  <si>
    <t>Capital</t>
  </si>
  <si>
    <t xml:space="preserve">Levered </t>
  </si>
  <si>
    <t>Unlevered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</si>
  <si>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</si>
  <si>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</si>
  <si>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Average</t>
  </si>
  <si>
    <t>Cost of Debt</t>
  </si>
  <si>
    <t>Pre-Tax Cost of Debt</t>
  </si>
  <si>
    <t>Post Tax Cost of Debt</t>
  </si>
  <si>
    <t>Cost of Equity</t>
  </si>
  <si>
    <t>Risk Free Rate</t>
  </si>
  <si>
    <t>Equity Risk Premium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</si>
  <si>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</si>
  <si>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Capital Structure</t>
  </si>
  <si>
    <t>Current</t>
  </si>
  <si>
    <t>Target</t>
  </si>
  <si>
    <t>Market Capitalization</t>
  </si>
  <si>
    <t>Total Capital</t>
  </si>
  <si>
    <t>Levered Beta</t>
  </si>
  <si>
    <t>Comps Median Unlevered Beta</t>
  </si>
  <si>
    <t>Target Debt/Equity</t>
  </si>
  <si>
    <t>Debt/Equity</t>
  </si>
  <si>
    <t>Weighted Average Cost of Capital</t>
  </si>
  <si>
    <t>Debt</t>
  </si>
  <si>
    <t>Total Cost</t>
  </si>
  <si>
    <t>Total Weight</t>
  </si>
  <si>
    <t>Notes:</t>
  </si>
  <si>
    <t>1.Tax Rate considered as marginal tax rate for the country</t>
  </si>
  <si>
    <t>2. Levered Beta is based on 5 year monthly data</t>
  </si>
  <si>
    <t>3. Unlevered Beta = Levered Beta / (1+(1-Tax Rate)*Debt/Equity)</t>
  </si>
  <si>
    <t>4. levered Beta = UnLevered Beta *1+(1-Tax Rate)*Debt/Equity)</t>
  </si>
  <si>
    <t>Closing Price</t>
  </si>
  <si>
    <r>
      <rPr>
        <b/>
        <sz val="12"/>
        <color rgb="FF232931"/>
        <rFont val="Calibri"/>
        <family val="2"/>
        <scheme val="minor"/>
      </rPr>
      <t>Date</t>
    </r>
  </si>
  <si>
    <t>Loblaws Limited Company Weekly Returns</t>
  </si>
  <si>
    <t>Return</t>
  </si>
  <si>
    <t>Date</t>
  </si>
  <si>
    <t>S&amp;P/TSX 60 Index Weekly Returns</t>
  </si>
  <si>
    <t>Regression Beta 2 Year Weekly</t>
  </si>
  <si>
    <t>Canadian Tire</t>
  </si>
  <si>
    <t>Metro Inc</t>
  </si>
  <si>
    <t>Empire Company Limited</t>
  </si>
  <si>
    <t>Alimentation Couche-Tard Inc.</t>
  </si>
  <si>
    <t>North West Company</t>
  </si>
  <si>
    <t>Canada</t>
  </si>
  <si>
    <r>
      <t xml:space="preserve">Total Debt </t>
    </r>
    <r>
      <rPr>
        <vertAlign val="superscript"/>
        <sz val="11"/>
        <color theme="1"/>
        <rFont val="Calibri"/>
        <family val="2"/>
        <scheme val="minor"/>
      </rPr>
      <t>5</t>
    </r>
  </si>
  <si>
    <r>
      <t xml:space="preserve">Total Equity </t>
    </r>
    <r>
      <rPr>
        <vertAlign val="superscript"/>
        <sz val="11"/>
        <color theme="1"/>
        <rFont val="Calibri"/>
        <family val="2"/>
        <scheme val="minor"/>
      </rPr>
      <t>6</t>
    </r>
  </si>
  <si>
    <t>5.Total Debt value in Thousands</t>
  </si>
  <si>
    <t>6. Equity value in Thousands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</si>
  <si>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</si>
  <si>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</si>
  <si>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</si>
  <si>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</si>
  <si>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</si>
  <si>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</si>
  <si>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</si>
  <si>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</si>
  <si>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</si>
  <si>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</si>
  <si>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</si>
  <si>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</si>
  <si>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</si>
  <si>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</si>
  <si>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</si>
  <si>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</si>
  <si>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</si>
  <si>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</si>
  <si>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</si>
  <si>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</si>
  <si>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</si>
  <si>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</si>
  <si>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</si>
  <si>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</si>
  <si>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</si>
  <si>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Drifting</t>
  </si>
  <si>
    <t>Raw Beta Weight</t>
  </si>
  <si>
    <t>Market Beta Weight</t>
  </si>
  <si>
    <t>Market Beta</t>
  </si>
  <si>
    <t>Adusted Beta</t>
  </si>
  <si>
    <t>Competitor Beta for Comparison</t>
  </si>
  <si>
    <t>Regression Beta 5 Year Weekly</t>
  </si>
  <si>
    <t>Canadian Tire Corporation 5 Year Weekly</t>
  </si>
  <si>
    <t>Metro 5 Year Weekly</t>
  </si>
  <si>
    <t>Alimentation Couche-Tard Inc 5 Year Weekly</t>
  </si>
  <si>
    <t>The North West Company Inc 5 Year Weekly</t>
  </si>
  <si>
    <t>Empire Company Limited 5 Year Weekly</t>
  </si>
  <si>
    <t>TSX</t>
  </si>
  <si>
    <t>Adj Close</t>
  </si>
  <si>
    <t>Returns</t>
  </si>
  <si>
    <t>Beta Drifting- Canadian Tire</t>
  </si>
  <si>
    <t>Beta Drifting- Metro Inc</t>
  </si>
  <si>
    <t>Beta Drifting-Alimentation Couche-Tard Inc</t>
  </si>
  <si>
    <t>Beta Drifting-North West Company Inc</t>
  </si>
  <si>
    <t>Beta Drifting-Empire Limited Company</t>
  </si>
  <si>
    <t>SUMMARY OUTPUT- Canadian Tire Corporation</t>
  </si>
  <si>
    <t>SUMMARY OUTPUT-Alimentation Couche-Tard Inc</t>
  </si>
  <si>
    <t>SUMMARY OUTPUT-Empire Company Limited</t>
  </si>
  <si>
    <t>SUMMARY OUTPUT-Metro Inc</t>
  </si>
  <si>
    <t>SUMMARY OUTPUT-The North West Company Inc</t>
  </si>
  <si>
    <t>Loblaws Limited Company</t>
  </si>
  <si>
    <t>Market Return</t>
  </si>
  <si>
    <t>Dividend Yield</t>
  </si>
  <si>
    <t>Open</t>
  </si>
  <si>
    <t>closing</t>
  </si>
  <si>
    <t>Average Return</t>
  </si>
  <si>
    <t>Particulars</t>
  </si>
  <si>
    <t>Total Current Liabilities</t>
  </si>
  <si>
    <t>ROIC</t>
  </si>
  <si>
    <t>Calculation of ROIC</t>
  </si>
  <si>
    <t>Net Working Capital</t>
  </si>
  <si>
    <t>Non Current Assets</t>
  </si>
  <si>
    <t>Calculation of Reinvestment Rate</t>
  </si>
  <si>
    <t>Net Capex</t>
  </si>
  <si>
    <t>Change in Working Capital</t>
  </si>
  <si>
    <t>Marginal Tax Rate</t>
  </si>
  <si>
    <t xml:space="preserve">Reinvestment </t>
  </si>
  <si>
    <t>Reinvestment Rate</t>
  </si>
  <si>
    <t>EBIT(1-T)</t>
  </si>
  <si>
    <t>3 Year Average</t>
  </si>
  <si>
    <t>3 Year Median</t>
  </si>
  <si>
    <t>Calculation of Growth Rate</t>
  </si>
  <si>
    <t>Intrinsic Growth</t>
  </si>
  <si>
    <t>Calculation of PV of FCFF</t>
  </si>
  <si>
    <t>EBIT(1-Tax)</t>
  </si>
  <si>
    <t>Less:Reinvestment Rate</t>
  </si>
  <si>
    <t>Free Cash Flow to Firm(FCFF)</t>
  </si>
  <si>
    <t>Mid Year Convention</t>
  </si>
  <si>
    <t>Discounting Factor</t>
  </si>
  <si>
    <t>PV of FCFF</t>
  </si>
  <si>
    <t>Expected Growth</t>
  </si>
  <si>
    <t>WACC</t>
  </si>
  <si>
    <t>Terminal Growth</t>
  </si>
  <si>
    <t>Calculation of Terminal Value</t>
  </si>
  <si>
    <t>FCFF(n+1)</t>
  </si>
  <si>
    <t>Terminal Growth Rate</t>
  </si>
  <si>
    <t>Terminal Value</t>
  </si>
  <si>
    <t>Calculation of Equity Value</t>
  </si>
  <si>
    <t>PV of Terminal Value</t>
  </si>
  <si>
    <t>Value of Operating Assets</t>
  </si>
  <si>
    <t>Add: Cash</t>
  </si>
  <si>
    <t>Less: Advances</t>
  </si>
  <si>
    <t>Value of Equity</t>
  </si>
  <si>
    <t>No of Shares</t>
  </si>
  <si>
    <t>Equity Value per Share</t>
  </si>
  <si>
    <t>Share Price</t>
  </si>
  <si>
    <t>Discount/Premium</t>
  </si>
  <si>
    <t>Adjusted Beta</t>
  </si>
  <si>
    <t>Annual Returns</t>
  </si>
  <si>
    <t>Comparable Company Valuation</t>
  </si>
  <si>
    <t>Shares Outstanding</t>
  </si>
  <si>
    <t>Equity Value</t>
  </si>
  <si>
    <t>Enterprise Value</t>
  </si>
  <si>
    <t>Market Data</t>
  </si>
  <si>
    <t>Valuation</t>
  </si>
  <si>
    <t>Financials</t>
  </si>
  <si>
    <t>WN</t>
  </si>
  <si>
    <t>George Weston</t>
  </si>
  <si>
    <t>Loblaw Companies</t>
  </si>
  <si>
    <t>L</t>
  </si>
  <si>
    <t>MRU</t>
  </si>
  <si>
    <t>Metro Inc.</t>
  </si>
  <si>
    <t>EMPa</t>
  </si>
  <si>
    <t>Empire Company</t>
  </si>
  <si>
    <t>GTII</t>
  </si>
  <si>
    <t>Green Thumb</t>
  </si>
  <si>
    <t>NWC</t>
  </si>
  <si>
    <t>North West</t>
  </si>
  <si>
    <t>Company</t>
  </si>
  <si>
    <t>Name</t>
  </si>
  <si>
    <t>Market Cap</t>
  </si>
  <si>
    <t>P/E Ratio</t>
  </si>
  <si>
    <t>PEG Ratio</t>
  </si>
  <si>
    <t>Last Trade Price</t>
  </si>
  <si>
    <t>47.7x</t>
  </si>
  <si>
    <t>24.5x</t>
  </si>
  <si>
    <t>21.6x</t>
  </si>
  <si>
    <t>15x</t>
  </si>
  <si>
    <t>34.5x</t>
  </si>
  <si>
    <t>19.1x</t>
  </si>
  <si>
    <t>Symbol</t>
  </si>
  <si>
    <t>Sales</t>
  </si>
  <si>
    <t>Cash from Operations</t>
  </si>
  <si>
    <t>Cash</t>
  </si>
  <si>
    <t>Total Equity</t>
  </si>
  <si>
    <t>Book Value / Share</t>
  </si>
  <si>
    <t xml:space="preserve"> Ticker</t>
  </si>
  <si>
    <t>EV/Revenue</t>
  </si>
  <si>
    <t>EV/EBITDA</t>
  </si>
  <si>
    <t>High</t>
  </si>
  <si>
    <t>75th Percentile</t>
  </si>
  <si>
    <t>25th Percentile</t>
  </si>
  <si>
    <t>Low</t>
  </si>
  <si>
    <t>Cipla Comparable Valuation</t>
  </si>
  <si>
    <t>Implied Enterprise Value</t>
  </si>
  <si>
    <t>Implied Market Value</t>
  </si>
  <si>
    <t>Implied Value per share</t>
  </si>
  <si>
    <t>Source: The Valuation School and Yahoo Finance</t>
  </si>
  <si>
    <t>Sensitivity Analysis</t>
  </si>
  <si>
    <t>EARNINGS PER SHARE FORECASTING</t>
  </si>
  <si>
    <t>SALES FORECASTING</t>
  </si>
  <si>
    <t>EBITDA FORECASTING</t>
  </si>
  <si>
    <t>Loblaws Company Limited-One Page Profile</t>
  </si>
  <si>
    <t>Loblaw Companies Limited, headquartered in Brampton, Canada, is a leading food and pharmacy company offering groceries, pharmacy services, health and beauty products, apparel, general merchandise, financial services, and wireless solutions. It operates through two segments: Retail, including grocery and drug stores, and Financial Services, providing banking, credit cards, loyalty programs, and insurance. Founded in 1919, it is a subsidiary of George Weston Limited.</t>
  </si>
  <si>
    <t>Key-Financial Metrics</t>
  </si>
  <si>
    <t>Total Sales</t>
  </si>
  <si>
    <t>Gross Profit Margin(%)</t>
  </si>
  <si>
    <t>Sales Growth y-o-y(%)</t>
  </si>
  <si>
    <t>EBITDA(%)</t>
  </si>
  <si>
    <t>EBIT Margin(%)</t>
  </si>
  <si>
    <t>Net Profit Margin(%)</t>
  </si>
  <si>
    <t>Earnings Per Share in CAD</t>
  </si>
  <si>
    <t>EPS Growth (y-o-y)</t>
  </si>
  <si>
    <t xml:space="preserve">Dividend Per Share </t>
  </si>
  <si>
    <t>DPS Growth (y-o-y)</t>
  </si>
  <si>
    <t>Share Price - 5 Year</t>
  </si>
  <si>
    <t>Key Financial Ratios</t>
  </si>
  <si>
    <t>EV/SALES</t>
  </si>
  <si>
    <t>Price to Book Value</t>
  </si>
  <si>
    <t>Return on Capital (%)</t>
  </si>
  <si>
    <t>Return On Equity (%)</t>
  </si>
  <si>
    <t>Volume - 5 Year</t>
  </si>
  <si>
    <t>Share Price - 5Y</t>
  </si>
  <si>
    <t>VOLUME</t>
  </si>
  <si>
    <t> George Weston Ltd.</t>
  </si>
  <si>
    <t> AllianceBernstein Australia Ltd.</t>
  </si>
  <si>
    <t> Manulife Investment Management Ltd.</t>
  </si>
  <si>
    <t> Nordea Investment Management AB</t>
  </si>
  <si>
    <t> Guardians of New Zealand Superannuation</t>
  </si>
  <si>
    <t>Galen Weston</t>
  </si>
  <si>
    <t> Franklin Bissett Investment Management</t>
  </si>
  <si>
    <t> Storebrand Asset Management AS</t>
  </si>
  <si>
    <t> I. G. Investment Management Ltd.</t>
  </si>
  <si>
    <t> Quadravest Capital Management, Inc.</t>
  </si>
  <si>
    <t>Shares Held</t>
  </si>
  <si>
    <t>Holding %</t>
  </si>
  <si>
    <t>Top 10 Shareholders</t>
  </si>
  <si>
    <t>Share Price as on 11/23/2024</t>
  </si>
  <si>
    <t>Number of Shares OS</t>
  </si>
  <si>
    <t>Recent Updates</t>
  </si>
  <si>
    <t>1. Loblaw has entered into an ASPP with a broker to facilitate repurchases of its common shares under its previously announced normal course issuer bid (NCIB)​</t>
  </si>
  <si>
    <t xml:space="preserve">2.Loblaw received approval from the TSX to repurchase up to 15,336,875 common shares (approximately 5% of its total outstanding shares) between May 6, 2024, and May 5, 2025​
</t>
  </si>
  <si>
    <t>3.The ASPP allows shares to be repurchased during periods when Loblaw is restricted from trading, such as during insider trading blackout periods, based on set parameters</t>
  </si>
  <si>
    <t>4. Loblaw's revenue reached $18.538 billion, a 1.5% increase compared to the previous year</t>
  </si>
  <si>
    <t>5. Adjusted net earnings increased by 6.7%, totaling $767 million. Adjusted diluted earnings per share grew by 10.6%​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</si>
</sst>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&quot;x&quot;"/>
    <numFmt numFmtId="165" formatCode="0\ &quot;days&quot;"/>
    <numFmt numFmtId="166" formatCode="0&quot;A&quot;"/>
    <numFmt numFmtId="167" formatCode="0&quot;E&quot;"/>
    <numFmt numFmtId="168" formatCode="#,##0.0"/>
    <numFmt numFmtId="169" formatCode="mmm\ dd\,\ yyyy"/>
    <numFmt numFmtId="170" formatCode="0.0"/>
    <numFmt numFmtId="171" formatCode="yyyy"/>
    <numFmt numFmtId="172" formatCode="[$-409]mmm\-yy;@"/>
    <numFmt numFmtId="173" formatCode="0.0%"/>
    <numFmt numFmtId="174" formatCode="mmm\-yy\A"/>
    <numFmt numFmtId="175" formatCode="mmm\-yy\F"/>
    <numFmt numFmtId="176" formatCode="0.000"/>
    <numFmt numFmtId="177" formatCode="0.0\x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32A31"/>
      <name val="Arial"/>
      <family val="2"/>
    </font>
    <font>
      <b/>
      <sz val="14"/>
      <color theme="0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23293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Roboto Flex"/>
    </font>
    <font>
      <b/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dotted">
        <color theme="4"/>
      </top>
      <bottom style="dotted">
        <color theme="4"/>
      </bottom>
      <diagonal/>
    </border>
    <border>
      <left/>
      <right/>
      <top/>
      <bottom style="medium">
        <color rgb="FFDDDDDD"/>
      </bottom>
      <diagonal/>
    </border>
    <border>
      <left/>
      <right/>
      <top style="dashed">
        <color theme="4"/>
      </top>
      <bottom style="dashed">
        <color theme="4"/>
      </bottom>
      <diagonal/>
    </border>
    <border>
      <left/>
      <right/>
      <top style="dashed">
        <color theme="4"/>
      </top>
      <bottom/>
      <diagonal/>
    </border>
  </borders>
  <cellStyleXfs count="5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7" fillId="0" borderId="0"/>
    <xf numFmtId="0" fontId="23" fillId="0" borderId="0"/>
    <xf numFmtId="0" fontId="23" fillId="0" borderId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7" borderId="0" applyNumberFormat="0" applyBorder="0" applyAlignment="0" applyProtection="0"/>
    <xf numFmtId="0" fontId="24" fillId="10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8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8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6" fillId="20" borderId="0" applyNumberFormat="0" applyBorder="0" applyAlignment="0" applyProtection="0"/>
    <xf numFmtId="0" fontId="27" fillId="7" borderId="18" applyNumberFormat="0" applyAlignment="0" applyProtection="0"/>
    <xf numFmtId="0" fontId="28" fillId="21" borderId="19" applyNumberFormat="0" applyAlignment="0" applyProtection="0"/>
    <xf numFmtId="0" fontId="29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3" fillId="0" borderId="22" applyNumberFormat="0" applyFill="0" applyAlignment="0" applyProtection="0"/>
    <xf numFmtId="0" fontId="33" fillId="0" borderId="0" applyNumberFormat="0" applyFill="0" applyBorder="0" applyAlignment="0" applyProtection="0"/>
    <xf numFmtId="0" fontId="34" fillId="8" borderId="18" applyNumberFormat="0" applyAlignment="0" applyProtection="0"/>
    <xf numFmtId="0" fontId="35" fillId="0" borderId="23" applyNumberFormat="0" applyFill="0" applyAlignment="0" applyProtection="0"/>
    <xf numFmtId="0" fontId="36" fillId="13" borderId="0" applyNumberFormat="0" applyBorder="0" applyAlignment="0" applyProtection="0"/>
    <xf numFmtId="0" fontId="24" fillId="9" borderId="24" applyNumberFormat="0" applyFont="0" applyAlignment="0" applyProtection="0"/>
    <xf numFmtId="0" fontId="37" fillId="7" borderId="25" applyNumberFormat="0" applyAlignment="0" applyProtection="0"/>
    <xf numFmtId="0" fontId="2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26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</cellStyleXfs>
  <cellXfs count="280">
    <xf numFmtId="0" fontId="0" fillId="0" borderId="0" xfId="0"/>
    <xf numFmtId="14" fontId="0" fillId="0" borderId="0" xfId="0" applyNumberFormat="1"/>
    <xf numFmtId="0" fontId="2" fillId="2" borderId="0" xfId="0" applyFont="1" applyFill="1"/>
    <xf numFmtId="17" fontId="2" fillId="2" borderId="0" xfId="0" applyNumberFormat="1" applyFont="1" applyFill="1"/>
    <xf numFmtId="17" fontId="2" fillId="2" borderId="0" xfId="0" applyNumberFormat="1" applyFont="1" applyFill="1" applyAlignment="1">
      <alignment horizontal="right"/>
    </xf>
    <xf numFmtId="0" fontId="3" fillId="0" borderId="0" xfId="0" applyFont="1"/>
    <xf numFmtId="3" fontId="4" fillId="0" borderId="0" xfId="0" applyNumberFormat="1" applyFont="1" applyAlignment="1">
      <alignment vertical="center"/>
    </xf>
    <xf numFmtId="44" fontId="0" fillId="0" borderId="0" xfId="1" applyFont="1"/>
    <xf numFmtId="0" fontId="0" fillId="0" borderId="0" xfId="1" applyNumberFormat="1" applyFont="1"/>
    <xf numFmtId="10" fontId="0" fillId="0" borderId="0" xfId="2" applyNumberFormat="1" applyFont="1"/>
    <xf numFmtId="44" fontId="0" fillId="0" borderId="0" xfId="0" applyNumberFormat="1"/>
    <xf numFmtId="0" fontId="0" fillId="0" borderId="0" xfId="0" applyNumberFormat="1"/>
    <xf numFmtId="10" fontId="0" fillId="0" borderId="0" xfId="0" applyNumberFormat="1"/>
    <xf numFmtId="0" fontId="3" fillId="3" borderId="0" xfId="0" applyFont="1" applyFill="1"/>
    <xf numFmtId="0" fontId="0" fillId="3" borderId="0" xfId="0" applyFill="1"/>
    <xf numFmtId="44" fontId="3" fillId="0" borderId="0" xfId="1" applyFont="1"/>
    <xf numFmtId="0" fontId="6" fillId="0" borderId="0" xfId="0" applyFont="1"/>
    <xf numFmtId="10" fontId="6" fillId="0" borderId="0" xfId="2" applyNumberFormat="1" applyFont="1"/>
    <xf numFmtId="44" fontId="3" fillId="0" borderId="0" xfId="0" applyNumberFormat="1" applyFont="1"/>
    <xf numFmtId="9" fontId="6" fillId="0" borderId="0" xfId="2" applyFont="1"/>
    <xf numFmtId="10" fontId="3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3" fillId="0" borderId="0" xfId="0" applyFont="1" applyFill="1"/>
    <xf numFmtId="0" fontId="0" fillId="0" borderId="0" xfId="0" applyFill="1" applyBorder="1"/>
    <xf numFmtId="0" fontId="3" fillId="0" borderId="3" xfId="0" applyFont="1" applyBorder="1"/>
    <xf numFmtId="44" fontId="3" fillId="0" borderId="3" xfId="1" applyFont="1" applyBorder="1"/>
    <xf numFmtId="0" fontId="6" fillId="0" borderId="0" xfId="0" applyFont="1" applyBorder="1"/>
    <xf numFmtId="0" fontId="3" fillId="0" borderId="0" xfId="0" applyFont="1" applyBorder="1"/>
    <xf numFmtId="0" fontId="0" fillId="0" borderId="0" xfId="0" applyBorder="1"/>
    <xf numFmtId="0" fontId="2" fillId="2" borderId="0" xfId="0" applyFont="1" applyFill="1" applyBorder="1"/>
    <xf numFmtId="10" fontId="0" fillId="0" borderId="0" xfId="2" applyNumberFormat="1" applyFont="1" applyBorder="1"/>
    <xf numFmtId="16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0" fontId="0" fillId="0" borderId="4" xfId="0" applyBorder="1"/>
    <xf numFmtId="10" fontId="0" fillId="0" borderId="0" xfId="0" applyNumberFormat="1" applyBorder="1"/>
    <xf numFmtId="0" fontId="0" fillId="0" borderId="5" xfId="0" applyBorder="1"/>
    <xf numFmtId="0" fontId="0" fillId="0" borderId="6" xfId="0" applyBorder="1"/>
    <xf numFmtId="10" fontId="0" fillId="0" borderId="5" xfId="2" applyNumberFormat="1" applyFont="1" applyBorder="1"/>
    <xf numFmtId="10" fontId="0" fillId="0" borderId="5" xfId="0" applyNumberFormat="1" applyBorder="1"/>
    <xf numFmtId="10" fontId="0" fillId="0" borderId="6" xfId="2" applyNumberFormat="1" applyFont="1" applyBorder="1"/>
    <xf numFmtId="10" fontId="0" fillId="0" borderId="6" xfId="0" applyNumberFormat="1" applyBorder="1"/>
    <xf numFmtId="164" fontId="0" fillId="0" borderId="6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2" fontId="0" fillId="0" borderId="4" xfId="0" applyNumberFormat="1" applyBorder="1"/>
    <xf numFmtId="0" fontId="7" fillId="0" borderId="5" xfId="0" applyFont="1" applyBorder="1"/>
    <xf numFmtId="0" fontId="7" fillId="0" borderId="6" xfId="0" applyFont="1" applyBorder="1"/>
    <xf numFmtId="0" fontId="8" fillId="0" borderId="5" xfId="0" applyFont="1" applyBorder="1"/>
    <xf numFmtId="17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/>
    <xf numFmtId="0" fontId="10" fillId="0" borderId="0" xfId="0" applyFont="1"/>
    <xf numFmtId="9" fontId="0" fillId="0" borderId="0" xfId="2" applyFont="1"/>
    <xf numFmtId="0" fontId="0" fillId="0" borderId="7" xfId="0" applyBorder="1"/>
    <xf numFmtId="0" fontId="3" fillId="0" borderId="7" xfId="0" applyFont="1" applyBorder="1"/>
    <xf numFmtId="10" fontId="0" fillId="0" borderId="7" xfId="0" applyNumberFormat="1" applyBorder="1"/>
    <xf numFmtId="2" fontId="0" fillId="0" borderId="7" xfId="0" applyNumberFormat="1" applyBorder="1"/>
    <xf numFmtId="10" fontId="12" fillId="0" borderId="0" xfId="2" applyNumberFormat="1" applyFont="1"/>
    <xf numFmtId="10" fontId="0" fillId="5" borderId="0" xfId="0" applyNumberFormat="1" applyFill="1"/>
    <xf numFmtId="9" fontId="12" fillId="0" borderId="0" xfId="2" applyFont="1"/>
    <xf numFmtId="2" fontId="0" fillId="0" borderId="6" xfId="0" applyNumberFormat="1" applyBorder="1"/>
    <xf numFmtId="2" fontId="0" fillId="5" borderId="5" xfId="2" applyNumberFormat="1" applyFont="1" applyFill="1" applyBorder="1"/>
    <xf numFmtId="10" fontId="0" fillId="5" borderId="5" xfId="0" applyNumberFormat="1" applyFill="1" applyBorder="1"/>
    <xf numFmtId="10" fontId="0" fillId="0" borderId="0" xfId="0" applyNumberFormat="1" applyFill="1"/>
    <xf numFmtId="10" fontId="0" fillId="0" borderId="5" xfId="2" applyNumberFormat="1" applyFont="1" applyFill="1" applyBorder="1"/>
    <xf numFmtId="168" fontId="0" fillId="0" borderId="5" xfId="0" applyNumberFormat="1" applyBorder="1"/>
    <xf numFmtId="0" fontId="13" fillId="0" borderId="0" xfId="0" applyFont="1" applyAlignment="1">
      <alignment vertical="top"/>
    </xf>
    <xf numFmtId="0" fontId="0" fillId="2" borderId="0" xfId="0" applyFill="1"/>
    <xf numFmtId="0" fontId="0" fillId="0" borderId="0" xfId="0" applyAlignment="1">
      <alignment horizontal="right"/>
    </xf>
    <xf numFmtId="169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6" fillId="0" borderId="2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right" vertical="center"/>
    </xf>
    <xf numFmtId="0" fontId="0" fillId="0" borderId="0" xfId="0" applyFont="1"/>
    <xf numFmtId="0" fontId="0" fillId="0" borderId="0" xfId="0" applyFill="1" applyBorder="1" applyAlignment="1"/>
    <xf numFmtId="0" fontId="0" fillId="0" borderId="7" xfId="0" applyFill="1" applyBorder="1" applyAlignment="1"/>
    <xf numFmtId="0" fontId="10" fillId="0" borderId="8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Continuous"/>
    </xf>
    <xf numFmtId="2" fontId="0" fillId="0" borderId="0" xfId="2" applyNumberFormat="1" applyFont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1" xfId="0" applyFont="1" applyBorder="1"/>
    <xf numFmtId="0" fontId="3" fillId="5" borderId="1" xfId="0" applyFont="1" applyFill="1" applyBorder="1"/>
    <xf numFmtId="0" fontId="19" fillId="0" borderId="0" xfId="0" applyFont="1"/>
    <xf numFmtId="14" fontId="19" fillId="0" borderId="0" xfId="0" applyNumberFormat="1" applyFont="1"/>
    <xf numFmtId="170" fontId="19" fillId="0" borderId="0" xfId="0" applyNumberFormat="1" applyFont="1"/>
    <xf numFmtId="0" fontId="20" fillId="2" borderId="0" xfId="0" applyFont="1" applyFill="1" applyAlignment="1">
      <alignment vertical="top"/>
    </xf>
    <xf numFmtId="0" fontId="2" fillId="0" borderId="0" xfId="0" applyFont="1" applyAlignment="1">
      <alignment horizontal="center"/>
    </xf>
    <xf numFmtId="0" fontId="16" fillId="0" borderId="2" xfId="3" applyFont="1" applyBorder="1" applyAlignment="1">
      <alignment horizontal="left" vertical="center"/>
    </xf>
    <xf numFmtId="0" fontId="15" fillId="0" borderId="2" xfId="3" applyFont="1" applyBorder="1" applyAlignment="1">
      <alignment horizontal="right" vertical="center"/>
    </xf>
    <xf numFmtId="2" fontId="3" fillId="5" borderId="1" xfId="0" applyNumberFormat="1" applyFont="1" applyFill="1" applyBorder="1"/>
    <xf numFmtId="0" fontId="0" fillId="0" borderId="12" xfId="0" applyBorder="1"/>
    <xf numFmtId="0" fontId="0" fillId="0" borderId="13" xfId="0" applyBorder="1"/>
    <xf numFmtId="0" fontId="10" fillId="0" borderId="14" xfId="0" applyFont="1" applyBorder="1" applyAlignment="1">
      <alignment horizontal="centerContinuous"/>
    </xf>
    <xf numFmtId="0" fontId="10" fillId="0" borderId="8" xfId="0" applyFont="1" applyBorder="1" applyAlignment="1">
      <alignment horizontal="centerContinuous"/>
    </xf>
    <xf numFmtId="0" fontId="0" fillId="0" borderId="15" xfId="0" applyBorder="1"/>
    <xf numFmtId="0" fontId="10" fillId="0" borderId="14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7" xfId="0" applyBorder="1"/>
    <xf numFmtId="10" fontId="22" fillId="0" borderId="0" xfId="2" applyNumberFormat="1" applyFont="1"/>
    <xf numFmtId="0" fontId="0" fillId="0" borderId="0" xfId="0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10" fontId="1" fillId="0" borderId="0" xfId="2" applyNumberFormat="1" applyFont="1"/>
    <xf numFmtId="168" fontId="0" fillId="0" borderId="0" xfId="0" applyNumberFormat="1" applyFont="1"/>
    <xf numFmtId="171" fontId="0" fillId="0" borderId="0" xfId="0" applyNumberFormat="1"/>
    <xf numFmtId="4" fontId="0" fillId="0" borderId="0" xfId="0" applyNumberFormat="1"/>
    <xf numFmtId="172" fontId="3" fillId="0" borderId="0" xfId="0" applyNumberFormat="1" applyFont="1"/>
    <xf numFmtId="0" fontId="3" fillId="0" borderId="2" xfId="0" applyFont="1" applyBorder="1"/>
    <xf numFmtId="172" fontId="3" fillId="0" borderId="2" xfId="0" applyNumberFormat="1" applyFont="1" applyBorder="1"/>
    <xf numFmtId="0" fontId="5" fillId="0" borderId="0" xfId="0" applyFont="1" applyFill="1" applyBorder="1" applyAlignment="1">
      <alignment vertical="center"/>
    </xf>
    <xf numFmtId="10" fontId="3" fillId="0" borderId="0" xfId="2" applyNumberFormat="1" applyFont="1"/>
    <xf numFmtId="0" fontId="3" fillId="23" borderId="0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4" fontId="0" fillId="0" borderId="0" xfId="1" applyFont="1" applyAlignment="1">
      <alignment vertical="center" wrapText="1"/>
    </xf>
    <xf numFmtId="44" fontId="3" fillId="0" borderId="27" xfId="1" applyFont="1" applyBorder="1"/>
    <xf numFmtId="44" fontId="0" fillId="0" borderId="27" xfId="1" applyFont="1" applyBorder="1"/>
    <xf numFmtId="44" fontId="0" fillId="0" borderId="27" xfId="1" applyFont="1" applyBorder="1" applyAlignment="1">
      <alignment vertical="center" wrapText="1"/>
    </xf>
    <xf numFmtId="44" fontId="3" fillId="0" borderId="27" xfId="1" applyFont="1" applyBorder="1" applyAlignment="1">
      <alignment vertical="center" wrapText="1"/>
    </xf>
    <xf numFmtId="0" fontId="3" fillId="0" borderId="28" xfId="0" applyFont="1" applyBorder="1"/>
    <xf numFmtId="44" fontId="3" fillId="0" borderId="28" xfId="1" applyFont="1" applyBorder="1"/>
    <xf numFmtId="0" fontId="3" fillId="0" borderId="28" xfId="0" applyFont="1" applyBorder="1" applyAlignment="1">
      <alignment vertical="center" wrapText="1"/>
    </xf>
    <xf numFmtId="44" fontId="3" fillId="0" borderId="28" xfId="1" applyFont="1" applyBorder="1" applyAlignment="1">
      <alignment vertical="center" wrapText="1"/>
    </xf>
    <xf numFmtId="0" fontId="43" fillId="2" borderId="0" xfId="0" applyFont="1" applyFill="1"/>
    <xf numFmtId="0" fontId="0" fillId="0" borderId="27" xfId="0" applyBorder="1"/>
    <xf numFmtId="0" fontId="0" fillId="0" borderId="29" xfId="0" applyBorder="1"/>
    <xf numFmtId="44" fontId="0" fillId="0" borderId="29" xfId="1" applyFont="1" applyBorder="1"/>
    <xf numFmtId="44" fontId="3" fillId="0" borderId="3" xfId="0" applyNumberFormat="1" applyFont="1" applyBorder="1"/>
    <xf numFmtId="0" fontId="3" fillId="0" borderId="30" xfId="0" applyFont="1" applyBorder="1"/>
    <xf numFmtId="44" fontId="3" fillId="0" borderId="30" xfId="0" applyNumberFormat="1" applyFont="1" applyBorder="1"/>
    <xf numFmtId="0" fontId="3" fillId="0" borderId="0" xfId="0" applyFont="1" applyFill="1" applyBorder="1"/>
    <xf numFmtId="44" fontId="1" fillId="0" borderId="0" xfId="1" applyFont="1"/>
    <xf numFmtId="0" fontId="3" fillId="0" borderId="31" xfId="0" applyFont="1" applyBorder="1"/>
    <xf numFmtId="44" fontId="3" fillId="0" borderId="31" xfId="1" applyFont="1" applyBorder="1"/>
    <xf numFmtId="14" fontId="0" fillId="0" borderId="0" xfId="0" applyNumberFormat="1" applyFill="1" applyBorder="1"/>
    <xf numFmtId="10" fontId="3" fillId="0" borderId="31" xfId="2" applyNumberFormat="1" applyFont="1" applyBorder="1"/>
    <xf numFmtId="10" fontId="3" fillId="0" borderId="30" xfId="2" applyNumberFormat="1" applyFont="1" applyBorder="1"/>
    <xf numFmtId="0" fontId="0" fillId="0" borderId="27" xfId="0" applyFont="1" applyBorder="1"/>
    <xf numFmtId="44" fontId="0" fillId="0" borderId="27" xfId="0" applyNumberFormat="1" applyBorder="1"/>
    <xf numFmtId="0" fontId="3" fillId="0" borderId="32" xfId="0" applyFont="1" applyBorder="1"/>
    <xf numFmtId="10" fontId="3" fillId="0" borderId="32" xfId="2" applyNumberFormat="1" applyFont="1" applyBorder="1"/>
    <xf numFmtId="0" fontId="3" fillId="0" borderId="27" xfId="0" applyFont="1" applyBorder="1"/>
    <xf numFmtId="44" fontId="3" fillId="0" borderId="27" xfId="0" applyNumberFormat="1" applyFont="1" applyBorder="1"/>
    <xf numFmtId="174" fontId="2" fillId="2" borderId="0" xfId="0" applyNumberFormat="1" applyFont="1" applyFill="1"/>
    <xf numFmtId="175" fontId="2" fillId="2" borderId="0" xfId="0" applyNumberFormat="1" applyFont="1" applyFill="1"/>
    <xf numFmtId="10" fontId="0" fillId="0" borderId="27" xfId="2" applyNumberFormat="1" applyFont="1" applyBorder="1"/>
    <xf numFmtId="0" fontId="3" fillId="0" borderId="33" xfId="0" applyFont="1" applyBorder="1"/>
    <xf numFmtId="44" fontId="22" fillId="0" borderId="27" xfId="0" applyNumberFormat="1" applyFont="1" applyBorder="1"/>
    <xf numFmtId="0" fontId="42" fillId="0" borderId="27" xfId="0" applyFont="1" applyBorder="1"/>
    <xf numFmtId="176" fontId="0" fillId="0" borderId="0" xfId="0" applyNumberFormat="1"/>
    <xf numFmtId="44" fontId="3" fillId="0" borderId="33" xfId="0" applyNumberFormat="1" applyFont="1" applyBorder="1"/>
    <xf numFmtId="175" fontId="2" fillId="0" borderId="0" xfId="0" applyNumberFormat="1" applyFont="1" applyFill="1"/>
    <xf numFmtId="173" fontId="0" fillId="0" borderId="0" xfId="0" applyNumberFormat="1"/>
    <xf numFmtId="0" fontId="3" fillId="24" borderId="31" xfId="0" applyFont="1" applyFill="1" applyBorder="1"/>
    <xf numFmtId="44" fontId="3" fillId="24" borderId="31" xfId="0" applyNumberFormat="1" applyFont="1" applyFill="1" applyBorder="1"/>
    <xf numFmtId="0" fontId="0" fillId="0" borderId="0" xfId="0" applyFont="1" applyFill="1"/>
    <xf numFmtId="0" fontId="0" fillId="0" borderId="2" xfId="0" applyBorder="1"/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3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35" xfId="0" applyBorder="1"/>
    <xf numFmtId="44" fontId="0" fillId="0" borderId="35" xfId="1" applyFont="1" applyBorder="1" applyAlignment="1">
      <alignment horizontal="right"/>
    </xf>
    <xf numFmtId="0" fontId="0" fillId="0" borderId="35" xfId="0" applyBorder="1" applyAlignment="1">
      <alignment horizontal="right"/>
    </xf>
    <xf numFmtId="177" fontId="0" fillId="0" borderId="35" xfId="0" applyNumberFormat="1" applyBorder="1" applyAlignment="1">
      <alignment horizontal="right" wrapText="1"/>
    </xf>
    <xf numFmtId="0" fontId="2" fillId="2" borderId="0" xfId="0" applyFont="1" applyFill="1" applyAlignment="1">
      <alignment horizontal="center"/>
    </xf>
    <xf numFmtId="0" fontId="45" fillId="0" borderId="36" xfId="0" applyFont="1" applyFill="1" applyBorder="1" applyAlignment="1">
      <alignment horizontal="right" vertical="center"/>
    </xf>
    <xf numFmtId="44" fontId="0" fillId="0" borderId="35" xfId="1" applyNumberFormat="1" applyFont="1" applyBorder="1" applyAlignment="1">
      <alignment horizontal="right"/>
    </xf>
    <xf numFmtId="39" fontId="0" fillId="0" borderId="35" xfId="1" applyNumberFormat="1" applyFont="1" applyBorder="1" applyAlignment="1">
      <alignment horizontal="right"/>
    </xf>
    <xf numFmtId="44" fontId="0" fillId="0" borderId="27" xfId="0" applyNumberFormat="1" applyBorder="1" applyAlignment="1">
      <alignment wrapText="1"/>
    </xf>
    <xf numFmtId="39" fontId="0" fillId="0" borderId="27" xfId="1" applyNumberFormat="1" applyFont="1" applyBorder="1" applyAlignment="1">
      <alignment horizontal="right"/>
    </xf>
    <xf numFmtId="39" fontId="0" fillId="0" borderId="29" xfId="1" applyNumberFormat="1" applyFont="1" applyBorder="1" applyAlignment="1">
      <alignment horizontal="right"/>
    </xf>
    <xf numFmtId="0" fontId="0" fillId="24" borderId="0" xfId="0" applyFill="1"/>
    <xf numFmtId="0" fontId="3" fillId="24" borderId="28" xfId="0" applyFont="1" applyFill="1" applyBorder="1"/>
    <xf numFmtId="44" fontId="3" fillId="24" borderId="28" xfId="0" applyNumberFormat="1" applyFont="1" applyFill="1" applyBorder="1" applyAlignment="1">
      <alignment wrapText="1"/>
    </xf>
    <xf numFmtId="0" fontId="0" fillId="24" borderId="27" xfId="0" applyFill="1" applyBorder="1"/>
    <xf numFmtId="177" fontId="0" fillId="24" borderId="27" xfId="0" applyNumberFormat="1" applyFill="1" applyBorder="1" applyAlignment="1">
      <alignment wrapText="1"/>
    </xf>
    <xf numFmtId="0" fontId="3" fillId="24" borderId="27" xfId="0" applyFont="1" applyFill="1" applyBorder="1"/>
    <xf numFmtId="177" fontId="3" fillId="24" borderId="27" xfId="0" applyNumberFormat="1" applyFont="1" applyFill="1" applyBorder="1" applyAlignment="1">
      <alignment wrapText="1"/>
    </xf>
    <xf numFmtId="0" fontId="3" fillId="0" borderId="0" xfId="0" applyFont="1" applyAlignment="1">
      <alignment horizontal="right" wrapText="1"/>
    </xf>
    <xf numFmtId="0" fontId="46" fillId="0" borderId="0" xfId="0" applyFont="1" applyFill="1" applyBorder="1"/>
    <xf numFmtId="44" fontId="43" fillId="0" borderId="0" xfId="1" applyFont="1"/>
    <xf numFmtId="10" fontId="3" fillId="0" borderId="27" xfId="2" applyNumberFormat="1" applyFont="1" applyBorder="1" applyAlignment="1">
      <alignment horizontal="left"/>
    </xf>
    <xf numFmtId="0" fontId="3" fillId="0" borderId="37" xfId="0" applyFont="1" applyBorder="1"/>
    <xf numFmtId="44" fontId="3" fillId="0" borderId="37" xfId="1" applyFont="1" applyBorder="1"/>
    <xf numFmtId="0" fontId="6" fillId="0" borderId="37" xfId="0" applyFont="1" applyBorder="1"/>
    <xf numFmtId="10" fontId="6" fillId="0" borderId="37" xfId="2" applyNumberFormat="1" applyFont="1" applyBorder="1"/>
    <xf numFmtId="44" fontId="3" fillId="0" borderId="37" xfId="0" applyNumberFormat="1" applyFont="1" applyBorder="1"/>
    <xf numFmtId="44" fontId="3" fillId="0" borderId="37" xfId="2" applyNumberFormat="1" applyFont="1" applyBorder="1"/>
    <xf numFmtId="0" fontId="3" fillId="0" borderId="37" xfId="0" applyNumberFormat="1" applyFont="1" applyBorder="1"/>
    <xf numFmtId="10" fontId="3" fillId="0" borderId="37" xfId="0" applyNumberFormat="1" applyFont="1" applyBorder="1"/>
    <xf numFmtId="0" fontId="0" fillId="0" borderId="37" xfId="0" applyBorder="1"/>
    <xf numFmtId="44" fontId="0" fillId="0" borderId="37" xfId="1" applyFont="1" applyBorder="1"/>
    <xf numFmtId="9" fontId="0" fillId="0" borderId="37" xfId="2" applyFont="1" applyBorder="1"/>
    <xf numFmtId="10" fontId="0" fillId="0" borderId="37" xfId="2" applyNumberFormat="1" applyFont="1" applyBorder="1"/>
    <xf numFmtId="10" fontId="3" fillId="0" borderId="37" xfId="2" applyNumberFormat="1" applyFont="1" applyBorder="1"/>
    <xf numFmtId="0" fontId="7" fillId="0" borderId="37" xfId="0" applyFont="1" applyBorder="1"/>
    <xf numFmtId="10" fontId="0" fillId="0" borderId="37" xfId="0" applyNumberFormat="1" applyBorder="1"/>
    <xf numFmtId="164" fontId="0" fillId="0" borderId="37" xfId="0" applyNumberFormat="1" applyBorder="1"/>
    <xf numFmtId="165" fontId="0" fillId="0" borderId="37" xfId="0" applyNumberFormat="1" applyBorder="1"/>
    <xf numFmtId="2" fontId="0" fillId="0" borderId="37" xfId="0" applyNumberFormat="1" applyBorder="1"/>
    <xf numFmtId="44" fontId="0" fillId="0" borderId="37" xfId="0" applyNumberFormat="1" applyBorder="1"/>
    <xf numFmtId="0" fontId="3" fillId="5" borderId="37" xfId="0" applyFont="1" applyFill="1" applyBorder="1"/>
    <xf numFmtId="10" fontId="3" fillId="5" borderId="37" xfId="0" applyNumberFormat="1" applyFont="1" applyFill="1" applyBorder="1"/>
    <xf numFmtId="0" fontId="0" fillId="0" borderId="37" xfId="0" applyFont="1" applyBorder="1" applyAlignment="1">
      <alignment horizontal="right" wrapText="1"/>
    </xf>
    <xf numFmtId="168" fontId="12" fillId="0" borderId="37" xfId="0" applyNumberFormat="1" applyFont="1" applyBorder="1" applyAlignment="1">
      <alignment horizontal="right" wrapText="1"/>
    </xf>
    <xf numFmtId="10" fontId="12" fillId="0" borderId="37" xfId="0" applyNumberFormat="1" applyFont="1" applyBorder="1" applyAlignment="1">
      <alignment horizontal="right" vertical="top" wrapText="1"/>
    </xf>
    <xf numFmtId="10" fontId="0" fillId="5" borderId="37" xfId="2" applyNumberFormat="1" applyFont="1" applyFill="1" applyBorder="1"/>
    <xf numFmtId="2" fontId="42" fillId="0" borderId="37" xfId="0" applyNumberFormat="1" applyFont="1" applyBorder="1"/>
    <xf numFmtId="0" fontId="0" fillId="0" borderId="37" xfId="0" applyFont="1" applyBorder="1" applyAlignment="1">
      <alignment wrapText="1"/>
    </xf>
    <xf numFmtId="0" fontId="12" fillId="0" borderId="37" xfId="0" applyFont="1" applyBorder="1" applyAlignment="1">
      <alignment wrapText="1"/>
    </xf>
    <xf numFmtId="0" fontId="12" fillId="0" borderId="37" xfId="0" applyFont="1" applyBorder="1"/>
    <xf numFmtId="0" fontId="0" fillId="0" borderId="37" xfId="0" applyFont="1" applyBorder="1"/>
    <xf numFmtId="0" fontId="0" fillId="0" borderId="0" xfId="0" applyAlignment="1">
      <alignment horizontal="left"/>
    </xf>
    <xf numFmtId="0" fontId="0" fillId="0" borderId="37" xfId="0" applyBorder="1" applyAlignment="1">
      <alignment horizontal="left"/>
    </xf>
    <xf numFmtId="0" fontId="2" fillId="2" borderId="0" xfId="0" applyFont="1" applyFill="1" applyBorder="1" applyAlignment="1"/>
    <xf numFmtId="44" fontId="0" fillId="24" borderId="27" xfId="1" applyFont="1" applyFill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175" fontId="2" fillId="2" borderId="0" xfId="0" applyNumberFormat="1" applyFont="1" applyFill="1" applyAlignment="1">
      <alignment horizontal="center"/>
    </xf>
    <xf numFmtId="0" fontId="21" fillId="6" borderId="10" xfId="0" applyFont="1" applyFill="1" applyBorder="1" applyAlignment="1">
      <alignment horizontal="center"/>
    </xf>
    <xf numFmtId="0" fontId="21" fillId="6" borderId="9" xfId="0" applyFont="1" applyFill="1" applyBorder="1" applyAlignment="1">
      <alignment horizontal="center"/>
    </xf>
    <xf numFmtId="0" fontId="21" fillId="6" borderId="1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4" fontId="9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37" xfId="0" applyNumberFormat="1" applyBorder="1" applyAlignment="1">
      <alignment horizontal="center" vertical="center"/>
    </xf>
    <xf numFmtId="44" fontId="9" fillId="0" borderId="37" xfId="1" applyFont="1" applyBorder="1" applyAlignment="1">
      <alignment horizontal="center" vertical="center"/>
    </xf>
    <xf numFmtId="10" fontId="0" fillId="0" borderId="37" xfId="2" applyNumberFormat="1" applyFont="1" applyBorder="1" applyAlignment="1">
      <alignment horizontal="center" vertical="center"/>
    </xf>
    <xf numFmtId="167" fontId="0" fillId="0" borderId="37" xfId="0" applyNumberFormat="1" applyBorder="1" applyAlignment="1">
      <alignment horizontal="center" vertical="center"/>
    </xf>
    <xf numFmtId="44" fontId="0" fillId="0" borderId="37" xfId="1" applyFont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44" fontId="9" fillId="0" borderId="0" xfId="1" applyFont="1" applyAlignment="1">
      <alignment horizontal="center"/>
    </xf>
    <xf numFmtId="0" fontId="0" fillId="0" borderId="0" xfId="0" applyAlignment="1">
      <alignment horizontal="center"/>
    </xf>
    <xf numFmtId="166" fontId="0" fillId="0" borderId="37" xfId="0" applyNumberFormat="1" applyBorder="1" applyAlignment="1">
      <alignment horizontal="center"/>
    </xf>
    <xf numFmtId="44" fontId="9" fillId="0" borderId="37" xfId="1" applyFont="1" applyBorder="1" applyAlignment="1">
      <alignment horizontal="center"/>
    </xf>
    <xf numFmtId="10" fontId="0" fillId="0" borderId="37" xfId="2" applyNumberFormat="1" applyFont="1" applyBorder="1" applyAlignment="1">
      <alignment horizontal="center"/>
    </xf>
    <xf numFmtId="167" fontId="0" fillId="0" borderId="37" xfId="0" applyNumberFormat="1" applyBorder="1" applyAlignment="1">
      <alignment horizontal="center"/>
    </xf>
    <xf numFmtId="44" fontId="0" fillId="0" borderId="37" xfId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37" xfId="0" applyNumberFormat="1" applyFon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/>
    <xf numFmtId="0" fontId="0" fillId="25" borderId="0" xfId="0" applyFill="1"/>
    <xf numFmtId="0" fontId="47" fillId="0" borderId="2" xfId="0" applyFont="1" applyBorder="1" applyAlignment="1">
      <alignment vertical="center" wrapText="1"/>
    </xf>
    <xf numFmtId="17" fontId="2" fillId="0" borderId="0" xfId="0" applyNumberFormat="1" applyFont="1" applyFill="1"/>
    <xf numFmtId="17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3" fontId="42" fillId="0" borderId="0" xfId="0" applyNumberFormat="1" applyFont="1" applyAlignment="1">
      <alignment horizontal="right"/>
    </xf>
    <xf numFmtId="10" fontId="42" fillId="0" borderId="0" xfId="0" applyNumberFormat="1" applyFont="1" applyAlignment="1">
      <alignment horizontal="center"/>
    </xf>
    <xf numFmtId="44" fontId="42" fillId="0" borderId="0" xfId="1" applyFont="1"/>
    <xf numFmtId="0" fontId="42" fillId="0" borderId="0" xfId="0" applyFont="1"/>
    <xf numFmtId="10" fontId="44" fillId="0" borderId="37" xfId="0" applyNumberFormat="1" applyFont="1" applyBorder="1"/>
    <xf numFmtId="44" fontId="22" fillId="0" borderId="37" xfId="0" applyNumberFormat="1" applyFont="1" applyBorder="1"/>
    <xf numFmtId="176" fontId="0" fillId="0" borderId="38" xfId="0" applyNumberFormat="1" applyBorder="1"/>
    <xf numFmtId="173" fontId="48" fillId="5" borderId="37" xfId="2" applyNumberFormat="1" applyFont="1" applyFill="1" applyBorder="1"/>
    <xf numFmtId="0" fontId="0" fillId="2" borderId="37" xfId="0" applyFill="1" applyBorder="1"/>
    <xf numFmtId="10" fontId="22" fillId="0" borderId="27" xfId="0" applyNumberFormat="1" applyFont="1" applyBorder="1"/>
    <xf numFmtId="10" fontId="22" fillId="0" borderId="37" xfId="0" applyNumberFormat="1" applyFont="1" applyBorder="1"/>
  </cellXfs>
  <cellStyles count="50">
    <cellStyle name="_x000a_bidires=100_x000d_" xfId="6" xr:uid="{81A24747-0937-471E-B538-907ED997A4CB}"/>
    <cellStyle name="20% - Accent1 2" xfId="7" xr:uid="{FF56FA5F-50FA-4992-A88F-D1674E194FED}"/>
    <cellStyle name="20% - Accent2 2" xfId="8" xr:uid="{91F86706-63BE-45F0-9D3A-83289F522C65}"/>
    <cellStyle name="20% - Accent3 2" xfId="9" xr:uid="{F27BE47E-8FDC-4F05-95A3-FC3392FBDF72}"/>
    <cellStyle name="20% - Accent4 2" xfId="10" xr:uid="{93BC7CD6-5161-4B46-AAB2-3FAF7D80FC98}"/>
    <cellStyle name="20% - Accent5 2" xfId="11" xr:uid="{BFB1F947-AFB4-47D3-9C5F-B51725E647D1}"/>
    <cellStyle name="20% - Accent6 2" xfId="12" xr:uid="{346FA028-E9BA-4825-A3A7-73E4D22ACD8D}"/>
    <cellStyle name="40% - Accent1 2" xfId="13" xr:uid="{405CF6B1-370F-4FB9-BA1E-AF32C36E91E5}"/>
    <cellStyle name="40% - Accent2 2" xfId="14" xr:uid="{BD03A47C-8FB8-4CB3-9DC2-2943C350D098}"/>
    <cellStyle name="40% - Accent3 2" xfId="15" xr:uid="{42B99E50-A26F-4156-BDA8-D5F2FA44C78B}"/>
    <cellStyle name="40% - Accent4 2" xfId="16" xr:uid="{F0EB0277-C768-4606-974C-2B3A90ECED92}"/>
    <cellStyle name="40% - Accent5 2" xfId="17" xr:uid="{76EF25BF-89B1-43A1-AA36-AC9A77375036}"/>
    <cellStyle name="40% - Accent6 2" xfId="18" xr:uid="{A72BC6BE-F838-4BF1-B993-CC3DE8EE2B84}"/>
    <cellStyle name="60% - Accent1 2" xfId="19" xr:uid="{E15E841D-90B8-4671-89A0-3C8FFF5B4422}"/>
    <cellStyle name="60% - Accent2 2" xfId="20" xr:uid="{12E6F4EC-04D7-47B9-AD11-E1BD32E2A9DB}"/>
    <cellStyle name="60% - Accent3 2" xfId="21" xr:uid="{6523E6CB-437C-4A70-829A-AA4EFA314535}"/>
    <cellStyle name="60% - Accent4 2" xfId="22" xr:uid="{8739EA8B-A702-4005-9DE4-F0D3C17A44E4}"/>
    <cellStyle name="60% - Accent5 2" xfId="23" xr:uid="{613E5FB1-84A4-4D59-9E69-1ACC10221FA6}"/>
    <cellStyle name="60% - Accent6 2" xfId="24" xr:uid="{EA28282B-F5C3-48C0-AC95-7DEE6463E297}"/>
    <cellStyle name="Accent1 2" xfId="25" xr:uid="{679C2D4C-4C6A-495D-812B-0407FA3F60D9}"/>
    <cellStyle name="Accent2 2" xfId="26" xr:uid="{336056F2-34DC-4CF8-8F50-917B67BACA72}"/>
    <cellStyle name="Accent3 2" xfId="27" xr:uid="{54D6FA4E-DDFF-41A9-B324-C9F3A9E6270B}"/>
    <cellStyle name="Accent4 2" xfId="28" xr:uid="{68EB13A2-2C78-4F24-A564-19FB256AF03A}"/>
    <cellStyle name="Accent5 2" xfId="29" xr:uid="{BD286FC3-D2E8-44F9-89DE-481C5BF397C7}"/>
    <cellStyle name="Accent6 2" xfId="30" xr:uid="{D1577F7D-AAC6-4CFE-ACF0-0C1B43C500A2}"/>
    <cellStyle name="Bad 2" xfId="31" xr:uid="{1400ADA3-FE0F-4594-9B63-2BDDEE537985}"/>
    <cellStyle name="Calculation 2" xfId="32" xr:uid="{C8895C6B-8296-4593-BF1A-A126948CFBBE}"/>
    <cellStyle name="Check Cell 2" xfId="33" xr:uid="{D3A93736-2AA6-4984-9314-93FCF6435E75}"/>
    <cellStyle name="Currency" xfId="1" builtinId="4"/>
    <cellStyle name="Explanatory Text 2" xfId="34" xr:uid="{AA731227-828F-4240-94D8-2A437D1050D8}"/>
    <cellStyle name="Good 2" xfId="35" xr:uid="{64E62A0C-8671-4182-AF1E-2FD91F35CFED}"/>
    <cellStyle name="Heading 1 2" xfId="36" xr:uid="{5FE5A57B-17EE-4191-B99D-E1877329D66B}"/>
    <cellStyle name="Heading 2 2" xfId="37" xr:uid="{0E70AE09-0F61-4A3C-B8FD-6FA7EFD03CF0}"/>
    <cellStyle name="Heading 3 2" xfId="38" xr:uid="{7A53FEA8-891C-46D2-BB17-7F66C681AB82}"/>
    <cellStyle name="Heading 4 2" xfId="39" xr:uid="{FD0314A0-FA2D-4AD4-A9A7-EB75898CE9FD}"/>
    <cellStyle name="Input 2" xfId="40" xr:uid="{EE90AF2B-2301-40ED-AB7B-4F9E54611B5F}"/>
    <cellStyle name="Linked Cell 2" xfId="41" xr:uid="{93A9A4B4-E738-4284-8D9A-A8723B81D5B0}"/>
    <cellStyle name="Neutral 2" xfId="42" xr:uid="{8367521B-190F-4D2E-ACCE-9240062696D7}"/>
    <cellStyle name="Normal" xfId="0" builtinId="0"/>
    <cellStyle name="Normal 2" xfId="3" xr:uid="{56BA1F7D-4EC5-4327-B2D7-D1685423CAA0}"/>
    <cellStyle name="Normal 3" xfId="4" xr:uid="{5BD3931B-24A7-452A-8B99-2303C0B7F73E}"/>
    <cellStyle name="Normal 4" xfId="5" xr:uid="{6274EEBD-6183-4314-97BD-896CD9D943C0}"/>
    <cellStyle name="Note 2" xfId="43" xr:uid="{8880C753-0EA4-482C-99D4-973349A6F824}"/>
    <cellStyle name="Output 2" xfId="44" xr:uid="{52CD33D7-87FF-4D28-8BCA-BB8DB8E4D5D8}"/>
    <cellStyle name="Percent" xfId="2" builtinId="5"/>
    <cellStyle name="Style 1" xfId="45" xr:uid="{713C5D38-BB92-450C-B09D-BFA6AF73A969}"/>
    <cellStyle name="Title 2" xfId="46" xr:uid="{1AA9894C-2EA9-43DC-846D-D006D09B8838}"/>
    <cellStyle name="Total 2" xfId="47" xr:uid="{1546F674-1B39-4C56-B4BE-9435E04841C6}"/>
    <cellStyle name="Warning Text 2" xfId="48" xr:uid="{AFC5AC3A-248A-4CD0-8B5F-81F2202420D3}"/>
    <cellStyle name="Обычный_RTS_select_issues" xfId="49" xr:uid="{B6CC644C-1792-4840-96D1-4D11C084A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'Loblaws Share Price'!$C$3</c:f>
              <c:strCache>
                <c:ptCount val="1"/>
                <c:pt idx="0">
                  <c:v>Open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'Loblaws Share Price'!$B$4:$B$1260</c:f>
              <c:numCache>
                <c:formatCode>m/d/yyyy</c:formatCode>
                <c:ptCount val="1257"/>
                <c:pt idx="0">
                  <c:v>43790</c:v>
                </c:pt>
                <c:pt idx="1">
                  <c:v>43791</c:v>
                </c:pt>
                <c:pt idx="2">
                  <c:v>43794</c:v>
                </c:pt>
                <c:pt idx="3">
                  <c:v>43795</c:v>
                </c:pt>
                <c:pt idx="4">
                  <c:v>43796</c:v>
                </c:pt>
                <c:pt idx="5">
                  <c:v>43797</c:v>
                </c:pt>
                <c:pt idx="6">
                  <c:v>43798</c:v>
                </c:pt>
                <c:pt idx="7">
                  <c:v>43801</c:v>
                </c:pt>
                <c:pt idx="8">
                  <c:v>43802</c:v>
                </c:pt>
                <c:pt idx="9">
                  <c:v>43803</c:v>
                </c:pt>
                <c:pt idx="10">
                  <c:v>43804</c:v>
                </c:pt>
                <c:pt idx="11">
                  <c:v>43805</c:v>
                </c:pt>
                <c:pt idx="12">
                  <c:v>43808</c:v>
                </c:pt>
                <c:pt idx="13">
                  <c:v>43809</c:v>
                </c:pt>
                <c:pt idx="14">
                  <c:v>43810</c:v>
                </c:pt>
                <c:pt idx="15">
                  <c:v>43811</c:v>
                </c:pt>
                <c:pt idx="16">
                  <c:v>43812</c:v>
                </c:pt>
                <c:pt idx="17">
                  <c:v>43815</c:v>
                </c:pt>
                <c:pt idx="18">
                  <c:v>43816</c:v>
                </c:pt>
                <c:pt idx="19">
                  <c:v>43817</c:v>
                </c:pt>
                <c:pt idx="20">
                  <c:v>43818</c:v>
                </c:pt>
                <c:pt idx="21">
                  <c:v>43819</c:v>
                </c:pt>
                <c:pt idx="22">
                  <c:v>43822</c:v>
                </c:pt>
                <c:pt idx="23">
                  <c:v>43823</c:v>
                </c:pt>
                <c:pt idx="24">
                  <c:v>43826</c:v>
                </c:pt>
                <c:pt idx="25">
                  <c:v>43829</c:v>
                </c:pt>
                <c:pt idx="26">
                  <c:v>43830</c:v>
                </c:pt>
                <c:pt idx="27">
                  <c:v>43832</c:v>
                </c:pt>
                <c:pt idx="28">
                  <c:v>43833</c:v>
                </c:pt>
                <c:pt idx="29">
                  <c:v>43836</c:v>
                </c:pt>
                <c:pt idx="30">
                  <c:v>43837</c:v>
                </c:pt>
                <c:pt idx="31">
                  <c:v>43838</c:v>
                </c:pt>
                <c:pt idx="32">
                  <c:v>43839</c:v>
                </c:pt>
                <c:pt idx="33">
                  <c:v>43840</c:v>
                </c:pt>
                <c:pt idx="34">
                  <c:v>43843</c:v>
                </c:pt>
                <c:pt idx="35">
                  <c:v>43844</c:v>
                </c:pt>
                <c:pt idx="36">
                  <c:v>43845</c:v>
                </c:pt>
                <c:pt idx="37">
                  <c:v>43846</c:v>
                </c:pt>
                <c:pt idx="38">
                  <c:v>43847</c:v>
                </c:pt>
                <c:pt idx="39">
                  <c:v>43850</c:v>
                </c:pt>
                <c:pt idx="40">
                  <c:v>43851</c:v>
                </c:pt>
                <c:pt idx="41">
                  <c:v>43852</c:v>
                </c:pt>
                <c:pt idx="42">
                  <c:v>43853</c:v>
                </c:pt>
                <c:pt idx="43">
                  <c:v>43854</c:v>
                </c:pt>
                <c:pt idx="44">
                  <c:v>43857</c:v>
                </c:pt>
                <c:pt idx="45">
                  <c:v>43858</c:v>
                </c:pt>
                <c:pt idx="46">
                  <c:v>43859</c:v>
                </c:pt>
                <c:pt idx="47">
                  <c:v>43860</c:v>
                </c:pt>
                <c:pt idx="48">
                  <c:v>43861</c:v>
                </c:pt>
                <c:pt idx="49">
                  <c:v>43864</c:v>
                </c:pt>
                <c:pt idx="50">
                  <c:v>43865</c:v>
                </c:pt>
                <c:pt idx="51">
                  <c:v>43866</c:v>
                </c:pt>
                <c:pt idx="52">
                  <c:v>43867</c:v>
                </c:pt>
                <c:pt idx="53">
                  <c:v>43868</c:v>
                </c:pt>
                <c:pt idx="54">
                  <c:v>43871</c:v>
                </c:pt>
                <c:pt idx="55">
                  <c:v>43872</c:v>
                </c:pt>
                <c:pt idx="56">
                  <c:v>43873</c:v>
                </c:pt>
                <c:pt idx="57">
                  <c:v>43874</c:v>
                </c:pt>
                <c:pt idx="58">
                  <c:v>43875</c:v>
                </c:pt>
                <c:pt idx="59">
                  <c:v>43879</c:v>
                </c:pt>
                <c:pt idx="60">
                  <c:v>43880</c:v>
                </c:pt>
                <c:pt idx="61">
                  <c:v>43881</c:v>
                </c:pt>
                <c:pt idx="62">
                  <c:v>43882</c:v>
                </c:pt>
                <c:pt idx="63">
                  <c:v>43885</c:v>
                </c:pt>
                <c:pt idx="64">
                  <c:v>43886</c:v>
                </c:pt>
                <c:pt idx="65">
                  <c:v>43887</c:v>
                </c:pt>
                <c:pt idx="66">
                  <c:v>43888</c:v>
                </c:pt>
                <c:pt idx="67">
                  <c:v>43889</c:v>
                </c:pt>
                <c:pt idx="68">
                  <c:v>43892</c:v>
                </c:pt>
                <c:pt idx="69">
                  <c:v>43893</c:v>
                </c:pt>
                <c:pt idx="70">
                  <c:v>43894</c:v>
                </c:pt>
                <c:pt idx="71">
                  <c:v>43895</c:v>
                </c:pt>
                <c:pt idx="72">
                  <c:v>43896</c:v>
                </c:pt>
                <c:pt idx="73">
                  <c:v>43899</c:v>
                </c:pt>
                <c:pt idx="74">
                  <c:v>43900</c:v>
                </c:pt>
                <c:pt idx="75">
                  <c:v>43901</c:v>
                </c:pt>
                <c:pt idx="76">
                  <c:v>43902</c:v>
                </c:pt>
                <c:pt idx="77">
                  <c:v>43903</c:v>
                </c:pt>
                <c:pt idx="78">
                  <c:v>43906</c:v>
                </c:pt>
                <c:pt idx="79">
                  <c:v>43907</c:v>
                </c:pt>
                <c:pt idx="80">
                  <c:v>43908</c:v>
                </c:pt>
                <c:pt idx="81">
                  <c:v>43909</c:v>
                </c:pt>
                <c:pt idx="82">
                  <c:v>43910</c:v>
                </c:pt>
                <c:pt idx="83">
                  <c:v>43913</c:v>
                </c:pt>
                <c:pt idx="84">
                  <c:v>43914</c:v>
                </c:pt>
                <c:pt idx="85">
                  <c:v>43915</c:v>
                </c:pt>
                <c:pt idx="86">
                  <c:v>43916</c:v>
                </c:pt>
                <c:pt idx="87">
                  <c:v>43917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43927</c:v>
                </c:pt>
                <c:pt idx="94">
                  <c:v>43928</c:v>
                </c:pt>
                <c:pt idx="95">
                  <c:v>43929</c:v>
                </c:pt>
                <c:pt idx="96">
                  <c:v>43930</c:v>
                </c:pt>
                <c:pt idx="97">
                  <c:v>43934</c:v>
                </c:pt>
                <c:pt idx="98">
                  <c:v>43935</c:v>
                </c:pt>
                <c:pt idx="99">
                  <c:v>43936</c:v>
                </c:pt>
                <c:pt idx="100">
                  <c:v>43937</c:v>
                </c:pt>
                <c:pt idx="101">
                  <c:v>43938</c:v>
                </c:pt>
                <c:pt idx="102">
                  <c:v>43941</c:v>
                </c:pt>
                <c:pt idx="103">
                  <c:v>43942</c:v>
                </c:pt>
                <c:pt idx="104">
                  <c:v>43943</c:v>
                </c:pt>
                <c:pt idx="105">
                  <c:v>43944</c:v>
                </c:pt>
                <c:pt idx="106">
                  <c:v>43945</c:v>
                </c:pt>
                <c:pt idx="107">
                  <c:v>43948</c:v>
                </c:pt>
                <c:pt idx="108">
                  <c:v>43949</c:v>
                </c:pt>
                <c:pt idx="109">
                  <c:v>43950</c:v>
                </c:pt>
                <c:pt idx="110">
                  <c:v>43951</c:v>
                </c:pt>
                <c:pt idx="111">
                  <c:v>43952</c:v>
                </c:pt>
                <c:pt idx="112">
                  <c:v>43955</c:v>
                </c:pt>
                <c:pt idx="113">
                  <c:v>43956</c:v>
                </c:pt>
                <c:pt idx="114">
                  <c:v>43957</c:v>
                </c:pt>
                <c:pt idx="115">
                  <c:v>43958</c:v>
                </c:pt>
                <c:pt idx="116">
                  <c:v>43959</c:v>
                </c:pt>
                <c:pt idx="117">
                  <c:v>43962</c:v>
                </c:pt>
                <c:pt idx="118">
                  <c:v>43963</c:v>
                </c:pt>
                <c:pt idx="119">
                  <c:v>43964</c:v>
                </c:pt>
                <c:pt idx="120">
                  <c:v>43965</c:v>
                </c:pt>
                <c:pt idx="121">
                  <c:v>43966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43976</c:v>
                </c:pt>
                <c:pt idx="127">
                  <c:v>43977</c:v>
                </c:pt>
                <c:pt idx="128">
                  <c:v>43978</c:v>
                </c:pt>
                <c:pt idx="129">
                  <c:v>43979</c:v>
                </c:pt>
                <c:pt idx="130">
                  <c:v>43980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43990</c:v>
                </c:pt>
                <c:pt idx="137">
                  <c:v>43991</c:v>
                </c:pt>
                <c:pt idx="138">
                  <c:v>43992</c:v>
                </c:pt>
                <c:pt idx="139">
                  <c:v>43993</c:v>
                </c:pt>
                <c:pt idx="140">
                  <c:v>43994</c:v>
                </c:pt>
                <c:pt idx="141">
                  <c:v>43997</c:v>
                </c:pt>
                <c:pt idx="142">
                  <c:v>43998</c:v>
                </c:pt>
                <c:pt idx="143">
                  <c:v>43999</c:v>
                </c:pt>
                <c:pt idx="144">
                  <c:v>44000</c:v>
                </c:pt>
                <c:pt idx="145">
                  <c:v>44001</c:v>
                </c:pt>
                <c:pt idx="146">
                  <c:v>44004</c:v>
                </c:pt>
                <c:pt idx="147">
                  <c:v>44005</c:v>
                </c:pt>
                <c:pt idx="148">
                  <c:v>44006</c:v>
                </c:pt>
                <c:pt idx="149">
                  <c:v>44007</c:v>
                </c:pt>
                <c:pt idx="150">
                  <c:v>44008</c:v>
                </c:pt>
                <c:pt idx="151">
                  <c:v>44011</c:v>
                </c:pt>
                <c:pt idx="152">
                  <c:v>44012</c:v>
                </c:pt>
                <c:pt idx="153">
                  <c:v>44014</c:v>
                </c:pt>
                <c:pt idx="154">
                  <c:v>44015</c:v>
                </c:pt>
                <c:pt idx="155">
                  <c:v>44018</c:v>
                </c:pt>
                <c:pt idx="156">
                  <c:v>44019</c:v>
                </c:pt>
                <c:pt idx="157">
                  <c:v>44020</c:v>
                </c:pt>
                <c:pt idx="158">
                  <c:v>44021</c:v>
                </c:pt>
                <c:pt idx="159">
                  <c:v>44022</c:v>
                </c:pt>
                <c:pt idx="160">
                  <c:v>44025</c:v>
                </c:pt>
                <c:pt idx="161">
                  <c:v>44026</c:v>
                </c:pt>
                <c:pt idx="162">
                  <c:v>44027</c:v>
                </c:pt>
                <c:pt idx="163">
                  <c:v>44028</c:v>
                </c:pt>
                <c:pt idx="164">
                  <c:v>44029</c:v>
                </c:pt>
                <c:pt idx="165">
                  <c:v>44032</c:v>
                </c:pt>
                <c:pt idx="166">
                  <c:v>44033</c:v>
                </c:pt>
                <c:pt idx="167">
                  <c:v>44034</c:v>
                </c:pt>
                <c:pt idx="168">
                  <c:v>44035</c:v>
                </c:pt>
                <c:pt idx="169">
                  <c:v>44036</c:v>
                </c:pt>
                <c:pt idx="170">
                  <c:v>44039</c:v>
                </c:pt>
                <c:pt idx="171">
                  <c:v>44040</c:v>
                </c:pt>
                <c:pt idx="172">
                  <c:v>44041</c:v>
                </c:pt>
                <c:pt idx="173">
                  <c:v>44042</c:v>
                </c:pt>
                <c:pt idx="174">
                  <c:v>44043</c:v>
                </c:pt>
                <c:pt idx="175">
                  <c:v>44047</c:v>
                </c:pt>
                <c:pt idx="176">
                  <c:v>44048</c:v>
                </c:pt>
                <c:pt idx="177">
                  <c:v>44049</c:v>
                </c:pt>
                <c:pt idx="178">
                  <c:v>44050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44067</c:v>
                </c:pt>
                <c:pt idx="190">
                  <c:v>44068</c:v>
                </c:pt>
                <c:pt idx="191">
                  <c:v>44069</c:v>
                </c:pt>
                <c:pt idx="192">
                  <c:v>44070</c:v>
                </c:pt>
                <c:pt idx="193">
                  <c:v>44071</c:v>
                </c:pt>
                <c:pt idx="194">
                  <c:v>44074</c:v>
                </c:pt>
                <c:pt idx="195">
                  <c:v>44075</c:v>
                </c:pt>
                <c:pt idx="196">
                  <c:v>44076</c:v>
                </c:pt>
                <c:pt idx="197">
                  <c:v>44077</c:v>
                </c:pt>
                <c:pt idx="198">
                  <c:v>44078</c:v>
                </c:pt>
                <c:pt idx="199">
                  <c:v>44082</c:v>
                </c:pt>
                <c:pt idx="200">
                  <c:v>44083</c:v>
                </c:pt>
                <c:pt idx="201">
                  <c:v>44084</c:v>
                </c:pt>
                <c:pt idx="202">
                  <c:v>44085</c:v>
                </c:pt>
                <c:pt idx="203">
                  <c:v>44088</c:v>
                </c:pt>
                <c:pt idx="204">
                  <c:v>44089</c:v>
                </c:pt>
                <c:pt idx="205">
                  <c:v>44090</c:v>
                </c:pt>
                <c:pt idx="206">
                  <c:v>44091</c:v>
                </c:pt>
                <c:pt idx="207">
                  <c:v>44092</c:v>
                </c:pt>
                <c:pt idx="208">
                  <c:v>44095</c:v>
                </c:pt>
                <c:pt idx="209">
                  <c:v>44096</c:v>
                </c:pt>
                <c:pt idx="210">
                  <c:v>44097</c:v>
                </c:pt>
                <c:pt idx="211">
                  <c:v>44098</c:v>
                </c:pt>
                <c:pt idx="212">
                  <c:v>44099</c:v>
                </c:pt>
                <c:pt idx="213">
                  <c:v>44102</c:v>
                </c:pt>
                <c:pt idx="214">
                  <c:v>44103</c:v>
                </c:pt>
                <c:pt idx="215">
                  <c:v>44104</c:v>
                </c:pt>
                <c:pt idx="216">
                  <c:v>44105</c:v>
                </c:pt>
                <c:pt idx="217">
                  <c:v>44106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  <c:pt idx="221">
                  <c:v>44112</c:v>
                </c:pt>
                <c:pt idx="222">
                  <c:v>44113</c:v>
                </c:pt>
                <c:pt idx="223">
                  <c:v>44117</c:v>
                </c:pt>
                <c:pt idx="224">
                  <c:v>44118</c:v>
                </c:pt>
                <c:pt idx="225">
                  <c:v>44119</c:v>
                </c:pt>
                <c:pt idx="226">
                  <c:v>44120</c:v>
                </c:pt>
                <c:pt idx="227">
                  <c:v>44123</c:v>
                </c:pt>
                <c:pt idx="228">
                  <c:v>44124</c:v>
                </c:pt>
                <c:pt idx="229">
                  <c:v>44125</c:v>
                </c:pt>
                <c:pt idx="230">
                  <c:v>44126</c:v>
                </c:pt>
                <c:pt idx="231">
                  <c:v>44127</c:v>
                </c:pt>
                <c:pt idx="232">
                  <c:v>44130</c:v>
                </c:pt>
                <c:pt idx="233">
                  <c:v>44131</c:v>
                </c:pt>
                <c:pt idx="234">
                  <c:v>44132</c:v>
                </c:pt>
                <c:pt idx="235">
                  <c:v>44133</c:v>
                </c:pt>
                <c:pt idx="236">
                  <c:v>44134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44151</c:v>
                </c:pt>
                <c:pt idx="248">
                  <c:v>44152</c:v>
                </c:pt>
                <c:pt idx="249">
                  <c:v>44153</c:v>
                </c:pt>
                <c:pt idx="250">
                  <c:v>44154</c:v>
                </c:pt>
                <c:pt idx="251">
                  <c:v>44155</c:v>
                </c:pt>
                <c:pt idx="252">
                  <c:v>44158</c:v>
                </c:pt>
                <c:pt idx="253">
                  <c:v>44159</c:v>
                </c:pt>
                <c:pt idx="254">
                  <c:v>44160</c:v>
                </c:pt>
                <c:pt idx="255">
                  <c:v>44161</c:v>
                </c:pt>
                <c:pt idx="256">
                  <c:v>44162</c:v>
                </c:pt>
                <c:pt idx="257">
                  <c:v>44165</c:v>
                </c:pt>
                <c:pt idx="258">
                  <c:v>44166</c:v>
                </c:pt>
                <c:pt idx="259">
                  <c:v>44167</c:v>
                </c:pt>
                <c:pt idx="260">
                  <c:v>44168</c:v>
                </c:pt>
                <c:pt idx="261">
                  <c:v>44169</c:v>
                </c:pt>
                <c:pt idx="262">
                  <c:v>44172</c:v>
                </c:pt>
                <c:pt idx="263">
                  <c:v>44173</c:v>
                </c:pt>
                <c:pt idx="264">
                  <c:v>44174</c:v>
                </c:pt>
                <c:pt idx="265">
                  <c:v>44175</c:v>
                </c:pt>
                <c:pt idx="266">
                  <c:v>44176</c:v>
                </c:pt>
                <c:pt idx="267">
                  <c:v>44179</c:v>
                </c:pt>
                <c:pt idx="268">
                  <c:v>44180</c:v>
                </c:pt>
                <c:pt idx="269">
                  <c:v>44181</c:v>
                </c:pt>
                <c:pt idx="270">
                  <c:v>44182</c:v>
                </c:pt>
                <c:pt idx="271">
                  <c:v>44183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44194</c:v>
                </c:pt>
                <c:pt idx="277">
                  <c:v>44195</c:v>
                </c:pt>
                <c:pt idx="278">
                  <c:v>44196</c:v>
                </c:pt>
                <c:pt idx="279">
                  <c:v>44200</c:v>
                </c:pt>
                <c:pt idx="280">
                  <c:v>44201</c:v>
                </c:pt>
                <c:pt idx="281">
                  <c:v>44202</c:v>
                </c:pt>
                <c:pt idx="282">
                  <c:v>44203</c:v>
                </c:pt>
                <c:pt idx="283">
                  <c:v>44204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44214</c:v>
                </c:pt>
                <c:pt idx="290">
                  <c:v>44215</c:v>
                </c:pt>
                <c:pt idx="291">
                  <c:v>44216</c:v>
                </c:pt>
                <c:pt idx="292">
                  <c:v>44217</c:v>
                </c:pt>
                <c:pt idx="293">
                  <c:v>44218</c:v>
                </c:pt>
                <c:pt idx="294">
                  <c:v>44221</c:v>
                </c:pt>
                <c:pt idx="295">
                  <c:v>44222</c:v>
                </c:pt>
                <c:pt idx="296">
                  <c:v>44223</c:v>
                </c:pt>
                <c:pt idx="297">
                  <c:v>44224</c:v>
                </c:pt>
                <c:pt idx="298">
                  <c:v>44225</c:v>
                </c:pt>
                <c:pt idx="299">
                  <c:v>44228</c:v>
                </c:pt>
                <c:pt idx="300">
                  <c:v>44229</c:v>
                </c:pt>
                <c:pt idx="301">
                  <c:v>44230</c:v>
                </c:pt>
                <c:pt idx="302">
                  <c:v>44231</c:v>
                </c:pt>
                <c:pt idx="303">
                  <c:v>44232</c:v>
                </c:pt>
                <c:pt idx="304">
                  <c:v>44235</c:v>
                </c:pt>
                <c:pt idx="305">
                  <c:v>44236</c:v>
                </c:pt>
                <c:pt idx="306">
                  <c:v>44237</c:v>
                </c:pt>
                <c:pt idx="307">
                  <c:v>44238</c:v>
                </c:pt>
                <c:pt idx="308">
                  <c:v>44239</c:v>
                </c:pt>
                <c:pt idx="309">
                  <c:v>44243</c:v>
                </c:pt>
                <c:pt idx="310">
                  <c:v>44244</c:v>
                </c:pt>
                <c:pt idx="311">
                  <c:v>44245</c:v>
                </c:pt>
                <c:pt idx="312">
                  <c:v>44246</c:v>
                </c:pt>
                <c:pt idx="313">
                  <c:v>44249</c:v>
                </c:pt>
                <c:pt idx="314">
                  <c:v>44250</c:v>
                </c:pt>
                <c:pt idx="315">
                  <c:v>44251</c:v>
                </c:pt>
                <c:pt idx="316">
                  <c:v>44252</c:v>
                </c:pt>
                <c:pt idx="317">
                  <c:v>44253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44263</c:v>
                </c:pt>
                <c:pt idx="324">
                  <c:v>44264</c:v>
                </c:pt>
                <c:pt idx="325">
                  <c:v>44265</c:v>
                </c:pt>
                <c:pt idx="326">
                  <c:v>44266</c:v>
                </c:pt>
                <c:pt idx="327">
                  <c:v>44267</c:v>
                </c:pt>
                <c:pt idx="328">
                  <c:v>44270</c:v>
                </c:pt>
                <c:pt idx="329">
                  <c:v>44271</c:v>
                </c:pt>
                <c:pt idx="330">
                  <c:v>44272</c:v>
                </c:pt>
                <c:pt idx="331">
                  <c:v>44273</c:v>
                </c:pt>
                <c:pt idx="332">
                  <c:v>44274</c:v>
                </c:pt>
                <c:pt idx="333">
                  <c:v>44277</c:v>
                </c:pt>
                <c:pt idx="334">
                  <c:v>44278</c:v>
                </c:pt>
                <c:pt idx="335">
                  <c:v>44279</c:v>
                </c:pt>
                <c:pt idx="336">
                  <c:v>44280</c:v>
                </c:pt>
                <c:pt idx="337">
                  <c:v>44281</c:v>
                </c:pt>
                <c:pt idx="338">
                  <c:v>44284</c:v>
                </c:pt>
                <c:pt idx="339">
                  <c:v>44285</c:v>
                </c:pt>
                <c:pt idx="340">
                  <c:v>44286</c:v>
                </c:pt>
                <c:pt idx="341">
                  <c:v>44287</c:v>
                </c:pt>
                <c:pt idx="342">
                  <c:v>44291</c:v>
                </c:pt>
                <c:pt idx="343">
                  <c:v>44292</c:v>
                </c:pt>
                <c:pt idx="344">
                  <c:v>44293</c:v>
                </c:pt>
                <c:pt idx="345">
                  <c:v>44294</c:v>
                </c:pt>
                <c:pt idx="346">
                  <c:v>44295</c:v>
                </c:pt>
                <c:pt idx="347">
                  <c:v>44298</c:v>
                </c:pt>
                <c:pt idx="348">
                  <c:v>44299</c:v>
                </c:pt>
                <c:pt idx="349">
                  <c:v>44300</c:v>
                </c:pt>
                <c:pt idx="350">
                  <c:v>44301</c:v>
                </c:pt>
                <c:pt idx="351">
                  <c:v>44302</c:v>
                </c:pt>
                <c:pt idx="352">
                  <c:v>44305</c:v>
                </c:pt>
                <c:pt idx="353">
                  <c:v>44306</c:v>
                </c:pt>
                <c:pt idx="354">
                  <c:v>44307</c:v>
                </c:pt>
                <c:pt idx="355">
                  <c:v>44308</c:v>
                </c:pt>
                <c:pt idx="356">
                  <c:v>44309</c:v>
                </c:pt>
                <c:pt idx="357">
                  <c:v>44312</c:v>
                </c:pt>
                <c:pt idx="358">
                  <c:v>44313</c:v>
                </c:pt>
                <c:pt idx="359">
                  <c:v>44314</c:v>
                </c:pt>
                <c:pt idx="360">
                  <c:v>44315</c:v>
                </c:pt>
                <c:pt idx="361">
                  <c:v>44316</c:v>
                </c:pt>
                <c:pt idx="362">
                  <c:v>44319</c:v>
                </c:pt>
                <c:pt idx="363">
                  <c:v>44320</c:v>
                </c:pt>
                <c:pt idx="364">
                  <c:v>44321</c:v>
                </c:pt>
                <c:pt idx="365">
                  <c:v>44322</c:v>
                </c:pt>
                <c:pt idx="366">
                  <c:v>44323</c:v>
                </c:pt>
                <c:pt idx="367">
                  <c:v>44326</c:v>
                </c:pt>
                <c:pt idx="368">
                  <c:v>44327</c:v>
                </c:pt>
                <c:pt idx="369">
                  <c:v>44328</c:v>
                </c:pt>
                <c:pt idx="370">
                  <c:v>44329</c:v>
                </c:pt>
                <c:pt idx="371">
                  <c:v>44330</c:v>
                </c:pt>
                <c:pt idx="372">
                  <c:v>44333</c:v>
                </c:pt>
                <c:pt idx="373">
                  <c:v>44334</c:v>
                </c:pt>
                <c:pt idx="374">
                  <c:v>44335</c:v>
                </c:pt>
                <c:pt idx="375">
                  <c:v>44336</c:v>
                </c:pt>
                <c:pt idx="376">
                  <c:v>44337</c:v>
                </c:pt>
                <c:pt idx="377">
                  <c:v>44341</c:v>
                </c:pt>
                <c:pt idx="378">
                  <c:v>44342</c:v>
                </c:pt>
                <c:pt idx="379">
                  <c:v>44343</c:v>
                </c:pt>
                <c:pt idx="380">
                  <c:v>44344</c:v>
                </c:pt>
                <c:pt idx="381">
                  <c:v>44347</c:v>
                </c:pt>
                <c:pt idx="382">
                  <c:v>44348</c:v>
                </c:pt>
                <c:pt idx="383">
                  <c:v>44349</c:v>
                </c:pt>
                <c:pt idx="384">
                  <c:v>44350</c:v>
                </c:pt>
                <c:pt idx="385">
                  <c:v>44351</c:v>
                </c:pt>
                <c:pt idx="386">
                  <c:v>44354</c:v>
                </c:pt>
                <c:pt idx="387">
                  <c:v>44355</c:v>
                </c:pt>
                <c:pt idx="388">
                  <c:v>44356</c:v>
                </c:pt>
                <c:pt idx="389">
                  <c:v>44357</c:v>
                </c:pt>
                <c:pt idx="390">
                  <c:v>44358</c:v>
                </c:pt>
                <c:pt idx="391">
                  <c:v>44361</c:v>
                </c:pt>
                <c:pt idx="392">
                  <c:v>44362</c:v>
                </c:pt>
                <c:pt idx="393">
                  <c:v>44363</c:v>
                </c:pt>
                <c:pt idx="394">
                  <c:v>44364</c:v>
                </c:pt>
                <c:pt idx="395">
                  <c:v>44365</c:v>
                </c:pt>
                <c:pt idx="396">
                  <c:v>44368</c:v>
                </c:pt>
                <c:pt idx="397">
                  <c:v>44369</c:v>
                </c:pt>
                <c:pt idx="398">
                  <c:v>44370</c:v>
                </c:pt>
                <c:pt idx="399">
                  <c:v>44371</c:v>
                </c:pt>
                <c:pt idx="400">
                  <c:v>44372</c:v>
                </c:pt>
                <c:pt idx="401">
                  <c:v>44375</c:v>
                </c:pt>
                <c:pt idx="402">
                  <c:v>44376</c:v>
                </c:pt>
                <c:pt idx="403">
                  <c:v>44377</c:v>
                </c:pt>
                <c:pt idx="404">
                  <c:v>44379</c:v>
                </c:pt>
                <c:pt idx="405">
                  <c:v>44382</c:v>
                </c:pt>
                <c:pt idx="406">
                  <c:v>44383</c:v>
                </c:pt>
                <c:pt idx="407">
                  <c:v>44384</c:v>
                </c:pt>
                <c:pt idx="408">
                  <c:v>44385</c:v>
                </c:pt>
                <c:pt idx="409">
                  <c:v>44386</c:v>
                </c:pt>
                <c:pt idx="410">
                  <c:v>44389</c:v>
                </c:pt>
                <c:pt idx="411">
                  <c:v>44390</c:v>
                </c:pt>
                <c:pt idx="412">
                  <c:v>44391</c:v>
                </c:pt>
                <c:pt idx="413">
                  <c:v>44392</c:v>
                </c:pt>
                <c:pt idx="414">
                  <c:v>44393</c:v>
                </c:pt>
                <c:pt idx="415">
                  <c:v>44396</c:v>
                </c:pt>
                <c:pt idx="416">
                  <c:v>44397</c:v>
                </c:pt>
                <c:pt idx="417">
                  <c:v>44398</c:v>
                </c:pt>
                <c:pt idx="418">
                  <c:v>44399</c:v>
                </c:pt>
                <c:pt idx="419">
                  <c:v>44400</c:v>
                </c:pt>
                <c:pt idx="420">
                  <c:v>44403</c:v>
                </c:pt>
                <c:pt idx="421">
                  <c:v>44404</c:v>
                </c:pt>
                <c:pt idx="422">
                  <c:v>44405</c:v>
                </c:pt>
                <c:pt idx="423">
                  <c:v>44406</c:v>
                </c:pt>
                <c:pt idx="424">
                  <c:v>44407</c:v>
                </c:pt>
                <c:pt idx="425">
                  <c:v>44411</c:v>
                </c:pt>
                <c:pt idx="426">
                  <c:v>44412</c:v>
                </c:pt>
                <c:pt idx="427">
                  <c:v>44413</c:v>
                </c:pt>
                <c:pt idx="428">
                  <c:v>44414</c:v>
                </c:pt>
                <c:pt idx="429">
                  <c:v>44417</c:v>
                </c:pt>
                <c:pt idx="430">
                  <c:v>44418</c:v>
                </c:pt>
                <c:pt idx="431">
                  <c:v>44419</c:v>
                </c:pt>
                <c:pt idx="432">
                  <c:v>44420</c:v>
                </c:pt>
                <c:pt idx="433">
                  <c:v>44421</c:v>
                </c:pt>
                <c:pt idx="434">
                  <c:v>44424</c:v>
                </c:pt>
                <c:pt idx="435">
                  <c:v>44425</c:v>
                </c:pt>
                <c:pt idx="436">
                  <c:v>44426</c:v>
                </c:pt>
                <c:pt idx="437">
                  <c:v>44427</c:v>
                </c:pt>
                <c:pt idx="438">
                  <c:v>44428</c:v>
                </c:pt>
                <c:pt idx="439">
                  <c:v>44431</c:v>
                </c:pt>
                <c:pt idx="440">
                  <c:v>44432</c:v>
                </c:pt>
                <c:pt idx="441">
                  <c:v>44433</c:v>
                </c:pt>
                <c:pt idx="442">
                  <c:v>44434</c:v>
                </c:pt>
                <c:pt idx="443">
                  <c:v>44435</c:v>
                </c:pt>
                <c:pt idx="444">
                  <c:v>44438</c:v>
                </c:pt>
                <c:pt idx="445">
                  <c:v>44439</c:v>
                </c:pt>
                <c:pt idx="446">
                  <c:v>44440</c:v>
                </c:pt>
                <c:pt idx="447">
                  <c:v>44441</c:v>
                </c:pt>
                <c:pt idx="448">
                  <c:v>44442</c:v>
                </c:pt>
                <c:pt idx="449">
                  <c:v>44446</c:v>
                </c:pt>
                <c:pt idx="450">
                  <c:v>44447</c:v>
                </c:pt>
                <c:pt idx="451">
                  <c:v>44448</c:v>
                </c:pt>
                <c:pt idx="452">
                  <c:v>44449</c:v>
                </c:pt>
                <c:pt idx="453">
                  <c:v>44452</c:v>
                </c:pt>
                <c:pt idx="454">
                  <c:v>44453</c:v>
                </c:pt>
                <c:pt idx="455">
                  <c:v>44454</c:v>
                </c:pt>
                <c:pt idx="456">
                  <c:v>44455</c:v>
                </c:pt>
                <c:pt idx="457">
                  <c:v>44456</c:v>
                </c:pt>
                <c:pt idx="458">
                  <c:v>44459</c:v>
                </c:pt>
                <c:pt idx="459">
                  <c:v>44460</c:v>
                </c:pt>
                <c:pt idx="460">
                  <c:v>44461</c:v>
                </c:pt>
                <c:pt idx="461">
                  <c:v>44462</c:v>
                </c:pt>
                <c:pt idx="462">
                  <c:v>44463</c:v>
                </c:pt>
                <c:pt idx="463">
                  <c:v>44466</c:v>
                </c:pt>
                <c:pt idx="464">
                  <c:v>44467</c:v>
                </c:pt>
                <c:pt idx="465">
                  <c:v>44468</c:v>
                </c:pt>
                <c:pt idx="466">
                  <c:v>44469</c:v>
                </c:pt>
                <c:pt idx="467">
                  <c:v>44470</c:v>
                </c:pt>
                <c:pt idx="468">
                  <c:v>44473</c:v>
                </c:pt>
                <c:pt idx="469">
                  <c:v>44474</c:v>
                </c:pt>
                <c:pt idx="470">
                  <c:v>44475</c:v>
                </c:pt>
                <c:pt idx="471">
                  <c:v>44476</c:v>
                </c:pt>
                <c:pt idx="472">
                  <c:v>44477</c:v>
                </c:pt>
                <c:pt idx="473">
                  <c:v>44481</c:v>
                </c:pt>
                <c:pt idx="474">
                  <c:v>44482</c:v>
                </c:pt>
                <c:pt idx="475">
                  <c:v>44483</c:v>
                </c:pt>
                <c:pt idx="476">
                  <c:v>44484</c:v>
                </c:pt>
                <c:pt idx="477">
                  <c:v>44487</c:v>
                </c:pt>
                <c:pt idx="478">
                  <c:v>44488</c:v>
                </c:pt>
                <c:pt idx="479">
                  <c:v>44489</c:v>
                </c:pt>
                <c:pt idx="480">
                  <c:v>44490</c:v>
                </c:pt>
                <c:pt idx="481">
                  <c:v>44491</c:v>
                </c:pt>
                <c:pt idx="482">
                  <c:v>44494</c:v>
                </c:pt>
                <c:pt idx="483">
                  <c:v>44495</c:v>
                </c:pt>
                <c:pt idx="484">
                  <c:v>44496</c:v>
                </c:pt>
                <c:pt idx="485">
                  <c:v>44497</c:v>
                </c:pt>
                <c:pt idx="486">
                  <c:v>44498</c:v>
                </c:pt>
                <c:pt idx="487">
                  <c:v>44501</c:v>
                </c:pt>
                <c:pt idx="488">
                  <c:v>44502</c:v>
                </c:pt>
                <c:pt idx="489">
                  <c:v>44503</c:v>
                </c:pt>
                <c:pt idx="490">
                  <c:v>44504</c:v>
                </c:pt>
                <c:pt idx="491">
                  <c:v>44505</c:v>
                </c:pt>
                <c:pt idx="492">
                  <c:v>44508</c:v>
                </c:pt>
                <c:pt idx="493">
                  <c:v>44509</c:v>
                </c:pt>
                <c:pt idx="494">
                  <c:v>44510</c:v>
                </c:pt>
                <c:pt idx="495">
                  <c:v>44511</c:v>
                </c:pt>
                <c:pt idx="496">
                  <c:v>44512</c:v>
                </c:pt>
                <c:pt idx="497">
                  <c:v>44515</c:v>
                </c:pt>
                <c:pt idx="498">
                  <c:v>44516</c:v>
                </c:pt>
                <c:pt idx="499">
                  <c:v>44517</c:v>
                </c:pt>
                <c:pt idx="500">
                  <c:v>44518</c:v>
                </c:pt>
                <c:pt idx="501">
                  <c:v>44519</c:v>
                </c:pt>
                <c:pt idx="502">
                  <c:v>44522</c:v>
                </c:pt>
                <c:pt idx="503">
                  <c:v>44523</c:v>
                </c:pt>
                <c:pt idx="504">
                  <c:v>44524</c:v>
                </c:pt>
                <c:pt idx="505">
                  <c:v>44525</c:v>
                </c:pt>
                <c:pt idx="506">
                  <c:v>44526</c:v>
                </c:pt>
                <c:pt idx="507">
                  <c:v>44529</c:v>
                </c:pt>
                <c:pt idx="508">
                  <c:v>44530</c:v>
                </c:pt>
                <c:pt idx="509">
                  <c:v>44531</c:v>
                </c:pt>
                <c:pt idx="510">
                  <c:v>44532</c:v>
                </c:pt>
                <c:pt idx="511">
                  <c:v>44533</c:v>
                </c:pt>
                <c:pt idx="512">
                  <c:v>44536</c:v>
                </c:pt>
                <c:pt idx="513">
                  <c:v>44537</c:v>
                </c:pt>
                <c:pt idx="514">
                  <c:v>44538</c:v>
                </c:pt>
                <c:pt idx="515">
                  <c:v>44539</c:v>
                </c:pt>
                <c:pt idx="516">
                  <c:v>44540</c:v>
                </c:pt>
                <c:pt idx="517">
                  <c:v>44543</c:v>
                </c:pt>
                <c:pt idx="518">
                  <c:v>44544</c:v>
                </c:pt>
                <c:pt idx="519">
                  <c:v>44545</c:v>
                </c:pt>
                <c:pt idx="520">
                  <c:v>44546</c:v>
                </c:pt>
                <c:pt idx="521">
                  <c:v>44547</c:v>
                </c:pt>
                <c:pt idx="522">
                  <c:v>44550</c:v>
                </c:pt>
                <c:pt idx="523">
                  <c:v>44551</c:v>
                </c:pt>
                <c:pt idx="524">
                  <c:v>44552</c:v>
                </c:pt>
                <c:pt idx="525">
                  <c:v>44553</c:v>
                </c:pt>
                <c:pt idx="526">
                  <c:v>44554</c:v>
                </c:pt>
                <c:pt idx="527">
                  <c:v>44559</c:v>
                </c:pt>
                <c:pt idx="528">
                  <c:v>44560</c:v>
                </c:pt>
                <c:pt idx="529">
                  <c:v>44561</c:v>
                </c:pt>
                <c:pt idx="530">
                  <c:v>44565</c:v>
                </c:pt>
                <c:pt idx="531">
                  <c:v>44566</c:v>
                </c:pt>
                <c:pt idx="532">
                  <c:v>44567</c:v>
                </c:pt>
                <c:pt idx="533">
                  <c:v>44568</c:v>
                </c:pt>
                <c:pt idx="534">
                  <c:v>44571</c:v>
                </c:pt>
                <c:pt idx="535">
                  <c:v>44572</c:v>
                </c:pt>
                <c:pt idx="536">
                  <c:v>44573</c:v>
                </c:pt>
                <c:pt idx="537">
                  <c:v>44574</c:v>
                </c:pt>
                <c:pt idx="538">
                  <c:v>44575</c:v>
                </c:pt>
                <c:pt idx="539">
                  <c:v>44578</c:v>
                </c:pt>
                <c:pt idx="540">
                  <c:v>44579</c:v>
                </c:pt>
                <c:pt idx="541">
                  <c:v>44580</c:v>
                </c:pt>
                <c:pt idx="542">
                  <c:v>44581</c:v>
                </c:pt>
                <c:pt idx="543">
                  <c:v>44582</c:v>
                </c:pt>
                <c:pt idx="544">
                  <c:v>44585</c:v>
                </c:pt>
                <c:pt idx="545">
                  <c:v>44586</c:v>
                </c:pt>
                <c:pt idx="546">
                  <c:v>44587</c:v>
                </c:pt>
                <c:pt idx="547">
                  <c:v>44588</c:v>
                </c:pt>
                <c:pt idx="548">
                  <c:v>44589</c:v>
                </c:pt>
                <c:pt idx="549">
                  <c:v>44592</c:v>
                </c:pt>
                <c:pt idx="550">
                  <c:v>44593</c:v>
                </c:pt>
                <c:pt idx="551">
                  <c:v>44594</c:v>
                </c:pt>
                <c:pt idx="552">
                  <c:v>44595</c:v>
                </c:pt>
                <c:pt idx="553">
                  <c:v>44596</c:v>
                </c:pt>
                <c:pt idx="554">
                  <c:v>44599</c:v>
                </c:pt>
                <c:pt idx="555">
                  <c:v>44600</c:v>
                </c:pt>
                <c:pt idx="556">
                  <c:v>44601</c:v>
                </c:pt>
                <c:pt idx="557">
                  <c:v>44602</c:v>
                </c:pt>
                <c:pt idx="558">
                  <c:v>44603</c:v>
                </c:pt>
                <c:pt idx="559">
                  <c:v>44606</c:v>
                </c:pt>
                <c:pt idx="560">
                  <c:v>44607</c:v>
                </c:pt>
                <c:pt idx="561">
                  <c:v>44608</c:v>
                </c:pt>
                <c:pt idx="562">
                  <c:v>44609</c:v>
                </c:pt>
                <c:pt idx="563">
                  <c:v>44610</c:v>
                </c:pt>
                <c:pt idx="564">
                  <c:v>44614</c:v>
                </c:pt>
                <c:pt idx="565">
                  <c:v>44615</c:v>
                </c:pt>
                <c:pt idx="566">
                  <c:v>44616</c:v>
                </c:pt>
                <c:pt idx="567">
                  <c:v>44617</c:v>
                </c:pt>
                <c:pt idx="568">
                  <c:v>44620</c:v>
                </c:pt>
                <c:pt idx="569">
                  <c:v>44621</c:v>
                </c:pt>
                <c:pt idx="570">
                  <c:v>44622</c:v>
                </c:pt>
                <c:pt idx="571">
                  <c:v>44623</c:v>
                </c:pt>
                <c:pt idx="572">
                  <c:v>44624</c:v>
                </c:pt>
                <c:pt idx="573">
                  <c:v>44627</c:v>
                </c:pt>
                <c:pt idx="574">
                  <c:v>44628</c:v>
                </c:pt>
                <c:pt idx="575">
                  <c:v>44629</c:v>
                </c:pt>
                <c:pt idx="576">
                  <c:v>44630</c:v>
                </c:pt>
                <c:pt idx="577">
                  <c:v>44631</c:v>
                </c:pt>
                <c:pt idx="578">
                  <c:v>44634</c:v>
                </c:pt>
                <c:pt idx="579">
                  <c:v>44635</c:v>
                </c:pt>
                <c:pt idx="580">
                  <c:v>44636</c:v>
                </c:pt>
                <c:pt idx="581">
                  <c:v>44637</c:v>
                </c:pt>
                <c:pt idx="582">
                  <c:v>44638</c:v>
                </c:pt>
                <c:pt idx="583">
                  <c:v>44641</c:v>
                </c:pt>
                <c:pt idx="584">
                  <c:v>44642</c:v>
                </c:pt>
                <c:pt idx="585">
                  <c:v>44643</c:v>
                </c:pt>
                <c:pt idx="586">
                  <c:v>44644</c:v>
                </c:pt>
                <c:pt idx="587">
                  <c:v>44645</c:v>
                </c:pt>
                <c:pt idx="588">
                  <c:v>44648</c:v>
                </c:pt>
                <c:pt idx="589">
                  <c:v>44649</c:v>
                </c:pt>
                <c:pt idx="590">
                  <c:v>44650</c:v>
                </c:pt>
                <c:pt idx="591">
                  <c:v>44651</c:v>
                </c:pt>
                <c:pt idx="592">
                  <c:v>44652</c:v>
                </c:pt>
                <c:pt idx="593">
                  <c:v>44655</c:v>
                </c:pt>
                <c:pt idx="594">
                  <c:v>44656</c:v>
                </c:pt>
                <c:pt idx="595">
                  <c:v>44657</c:v>
                </c:pt>
                <c:pt idx="596">
                  <c:v>44658</c:v>
                </c:pt>
                <c:pt idx="597">
                  <c:v>44659</c:v>
                </c:pt>
                <c:pt idx="598">
                  <c:v>44662</c:v>
                </c:pt>
                <c:pt idx="599">
                  <c:v>44663</c:v>
                </c:pt>
                <c:pt idx="600">
                  <c:v>44664</c:v>
                </c:pt>
                <c:pt idx="601">
                  <c:v>44665</c:v>
                </c:pt>
                <c:pt idx="602">
                  <c:v>44669</c:v>
                </c:pt>
                <c:pt idx="603">
                  <c:v>44670</c:v>
                </c:pt>
                <c:pt idx="604">
                  <c:v>44671</c:v>
                </c:pt>
                <c:pt idx="605">
                  <c:v>44672</c:v>
                </c:pt>
                <c:pt idx="606">
                  <c:v>44673</c:v>
                </c:pt>
                <c:pt idx="607">
                  <c:v>44676</c:v>
                </c:pt>
                <c:pt idx="608">
                  <c:v>44677</c:v>
                </c:pt>
                <c:pt idx="609">
                  <c:v>44678</c:v>
                </c:pt>
                <c:pt idx="610">
                  <c:v>44679</c:v>
                </c:pt>
                <c:pt idx="611">
                  <c:v>44680</c:v>
                </c:pt>
                <c:pt idx="612">
                  <c:v>44683</c:v>
                </c:pt>
                <c:pt idx="613">
                  <c:v>44684</c:v>
                </c:pt>
                <c:pt idx="614">
                  <c:v>44685</c:v>
                </c:pt>
                <c:pt idx="615">
                  <c:v>44686</c:v>
                </c:pt>
                <c:pt idx="616">
                  <c:v>44687</c:v>
                </c:pt>
                <c:pt idx="617">
                  <c:v>44690</c:v>
                </c:pt>
                <c:pt idx="618">
                  <c:v>44691</c:v>
                </c:pt>
                <c:pt idx="619">
                  <c:v>44692</c:v>
                </c:pt>
                <c:pt idx="620">
                  <c:v>44693</c:v>
                </c:pt>
                <c:pt idx="621">
                  <c:v>44694</c:v>
                </c:pt>
                <c:pt idx="622">
                  <c:v>44697</c:v>
                </c:pt>
                <c:pt idx="623">
                  <c:v>44698</c:v>
                </c:pt>
                <c:pt idx="624">
                  <c:v>44699</c:v>
                </c:pt>
                <c:pt idx="625">
                  <c:v>44700</c:v>
                </c:pt>
                <c:pt idx="626">
                  <c:v>44701</c:v>
                </c:pt>
                <c:pt idx="627">
                  <c:v>44705</c:v>
                </c:pt>
                <c:pt idx="628">
                  <c:v>44706</c:v>
                </c:pt>
                <c:pt idx="629">
                  <c:v>44707</c:v>
                </c:pt>
                <c:pt idx="630">
                  <c:v>44708</c:v>
                </c:pt>
                <c:pt idx="631">
                  <c:v>44711</c:v>
                </c:pt>
                <c:pt idx="632">
                  <c:v>44712</c:v>
                </c:pt>
                <c:pt idx="633">
                  <c:v>44713</c:v>
                </c:pt>
                <c:pt idx="634">
                  <c:v>44714</c:v>
                </c:pt>
                <c:pt idx="635">
                  <c:v>44715</c:v>
                </c:pt>
                <c:pt idx="636">
                  <c:v>44718</c:v>
                </c:pt>
                <c:pt idx="637">
                  <c:v>44719</c:v>
                </c:pt>
                <c:pt idx="638">
                  <c:v>44720</c:v>
                </c:pt>
                <c:pt idx="639">
                  <c:v>44721</c:v>
                </c:pt>
                <c:pt idx="640">
                  <c:v>44722</c:v>
                </c:pt>
                <c:pt idx="641">
                  <c:v>44725</c:v>
                </c:pt>
                <c:pt idx="642">
                  <c:v>44726</c:v>
                </c:pt>
                <c:pt idx="643">
                  <c:v>44727</c:v>
                </c:pt>
                <c:pt idx="644">
                  <c:v>44728</c:v>
                </c:pt>
                <c:pt idx="645">
                  <c:v>44729</c:v>
                </c:pt>
                <c:pt idx="646">
                  <c:v>44732</c:v>
                </c:pt>
                <c:pt idx="647">
                  <c:v>44733</c:v>
                </c:pt>
                <c:pt idx="648">
                  <c:v>44734</c:v>
                </c:pt>
                <c:pt idx="649">
                  <c:v>44735</c:v>
                </c:pt>
                <c:pt idx="650">
                  <c:v>44736</c:v>
                </c:pt>
                <c:pt idx="651">
                  <c:v>44739</c:v>
                </c:pt>
                <c:pt idx="652">
                  <c:v>44740</c:v>
                </c:pt>
                <c:pt idx="653">
                  <c:v>44741</c:v>
                </c:pt>
                <c:pt idx="654">
                  <c:v>44742</c:v>
                </c:pt>
                <c:pt idx="655">
                  <c:v>44746</c:v>
                </c:pt>
                <c:pt idx="656">
                  <c:v>44747</c:v>
                </c:pt>
                <c:pt idx="657">
                  <c:v>44748</c:v>
                </c:pt>
                <c:pt idx="658">
                  <c:v>44749</c:v>
                </c:pt>
                <c:pt idx="659">
                  <c:v>44750</c:v>
                </c:pt>
                <c:pt idx="660">
                  <c:v>44753</c:v>
                </c:pt>
                <c:pt idx="661">
                  <c:v>44754</c:v>
                </c:pt>
                <c:pt idx="662">
                  <c:v>44755</c:v>
                </c:pt>
                <c:pt idx="663">
                  <c:v>44756</c:v>
                </c:pt>
                <c:pt idx="664">
                  <c:v>44757</c:v>
                </c:pt>
                <c:pt idx="665">
                  <c:v>44760</c:v>
                </c:pt>
                <c:pt idx="666">
                  <c:v>44761</c:v>
                </c:pt>
                <c:pt idx="667">
                  <c:v>44762</c:v>
                </c:pt>
                <c:pt idx="668">
                  <c:v>44763</c:v>
                </c:pt>
                <c:pt idx="669">
                  <c:v>44764</c:v>
                </c:pt>
                <c:pt idx="670">
                  <c:v>44767</c:v>
                </c:pt>
                <c:pt idx="671">
                  <c:v>44768</c:v>
                </c:pt>
                <c:pt idx="672">
                  <c:v>44769</c:v>
                </c:pt>
                <c:pt idx="673">
                  <c:v>44770</c:v>
                </c:pt>
                <c:pt idx="674">
                  <c:v>44771</c:v>
                </c:pt>
                <c:pt idx="675">
                  <c:v>44775</c:v>
                </c:pt>
                <c:pt idx="676">
                  <c:v>44776</c:v>
                </c:pt>
                <c:pt idx="677">
                  <c:v>44777</c:v>
                </c:pt>
                <c:pt idx="678">
                  <c:v>44778</c:v>
                </c:pt>
                <c:pt idx="679">
                  <c:v>44781</c:v>
                </c:pt>
                <c:pt idx="680">
                  <c:v>44782</c:v>
                </c:pt>
                <c:pt idx="681">
                  <c:v>44783</c:v>
                </c:pt>
                <c:pt idx="682">
                  <c:v>44784</c:v>
                </c:pt>
                <c:pt idx="683">
                  <c:v>44785</c:v>
                </c:pt>
                <c:pt idx="684">
                  <c:v>44788</c:v>
                </c:pt>
                <c:pt idx="685">
                  <c:v>44789</c:v>
                </c:pt>
                <c:pt idx="686">
                  <c:v>44790</c:v>
                </c:pt>
                <c:pt idx="687">
                  <c:v>44791</c:v>
                </c:pt>
                <c:pt idx="688">
                  <c:v>44792</c:v>
                </c:pt>
                <c:pt idx="689">
                  <c:v>44795</c:v>
                </c:pt>
                <c:pt idx="690">
                  <c:v>44796</c:v>
                </c:pt>
                <c:pt idx="691">
                  <c:v>44797</c:v>
                </c:pt>
                <c:pt idx="692">
                  <c:v>44798</c:v>
                </c:pt>
                <c:pt idx="693">
                  <c:v>44799</c:v>
                </c:pt>
                <c:pt idx="694">
                  <c:v>44802</c:v>
                </c:pt>
                <c:pt idx="695">
                  <c:v>44803</c:v>
                </c:pt>
                <c:pt idx="696">
                  <c:v>44804</c:v>
                </c:pt>
                <c:pt idx="697">
                  <c:v>44805</c:v>
                </c:pt>
                <c:pt idx="698">
                  <c:v>44806</c:v>
                </c:pt>
                <c:pt idx="699">
                  <c:v>44810</c:v>
                </c:pt>
                <c:pt idx="700">
                  <c:v>44811</c:v>
                </c:pt>
                <c:pt idx="701">
                  <c:v>44812</c:v>
                </c:pt>
                <c:pt idx="702">
                  <c:v>44813</c:v>
                </c:pt>
                <c:pt idx="703">
                  <c:v>44816</c:v>
                </c:pt>
                <c:pt idx="704">
                  <c:v>44817</c:v>
                </c:pt>
                <c:pt idx="705">
                  <c:v>44818</c:v>
                </c:pt>
                <c:pt idx="706">
                  <c:v>44819</c:v>
                </c:pt>
                <c:pt idx="707">
                  <c:v>44820</c:v>
                </c:pt>
                <c:pt idx="708">
                  <c:v>44823</c:v>
                </c:pt>
                <c:pt idx="709">
                  <c:v>44824</c:v>
                </c:pt>
                <c:pt idx="710">
                  <c:v>44825</c:v>
                </c:pt>
                <c:pt idx="711">
                  <c:v>44826</c:v>
                </c:pt>
                <c:pt idx="712">
                  <c:v>44827</c:v>
                </c:pt>
                <c:pt idx="713">
                  <c:v>44830</c:v>
                </c:pt>
                <c:pt idx="714">
                  <c:v>44831</c:v>
                </c:pt>
                <c:pt idx="715">
                  <c:v>44832</c:v>
                </c:pt>
                <c:pt idx="716">
                  <c:v>44833</c:v>
                </c:pt>
                <c:pt idx="717">
                  <c:v>44834</c:v>
                </c:pt>
                <c:pt idx="718">
                  <c:v>44837</c:v>
                </c:pt>
                <c:pt idx="719">
                  <c:v>44838</c:v>
                </c:pt>
                <c:pt idx="720">
                  <c:v>44839</c:v>
                </c:pt>
                <c:pt idx="721">
                  <c:v>44840</c:v>
                </c:pt>
                <c:pt idx="722">
                  <c:v>44841</c:v>
                </c:pt>
                <c:pt idx="723">
                  <c:v>44845</c:v>
                </c:pt>
                <c:pt idx="724">
                  <c:v>44846</c:v>
                </c:pt>
                <c:pt idx="725">
                  <c:v>44847</c:v>
                </c:pt>
                <c:pt idx="726">
                  <c:v>44848</c:v>
                </c:pt>
                <c:pt idx="727">
                  <c:v>44851</c:v>
                </c:pt>
                <c:pt idx="728">
                  <c:v>44852</c:v>
                </c:pt>
                <c:pt idx="729">
                  <c:v>44853</c:v>
                </c:pt>
                <c:pt idx="730">
                  <c:v>44854</c:v>
                </c:pt>
                <c:pt idx="731">
                  <c:v>44855</c:v>
                </c:pt>
                <c:pt idx="732">
                  <c:v>44858</c:v>
                </c:pt>
                <c:pt idx="733">
                  <c:v>44859</c:v>
                </c:pt>
                <c:pt idx="734">
                  <c:v>44860</c:v>
                </c:pt>
                <c:pt idx="735">
                  <c:v>44861</c:v>
                </c:pt>
                <c:pt idx="736">
                  <c:v>44862</c:v>
                </c:pt>
                <c:pt idx="737">
                  <c:v>44865</c:v>
                </c:pt>
                <c:pt idx="738">
                  <c:v>44866</c:v>
                </c:pt>
                <c:pt idx="739">
                  <c:v>44867</c:v>
                </c:pt>
                <c:pt idx="740">
                  <c:v>44868</c:v>
                </c:pt>
                <c:pt idx="741">
                  <c:v>44869</c:v>
                </c:pt>
                <c:pt idx="742">
                  <c:v>44872</c:v>
                </c:pt>
                <c:pt idx="743">
                  <c:v>44873</c:v>
                </c:pt>
                <c:pt idx="744">
                  <c:v>44874</c:v>
                </c:pt>
                <c:pt idx="745">
                  <c:v>44875</c:v>
                </c:pt>
                <c:pt idx="746">
                  <c:v>44876</c:v>
                </c:pt>
                <c:pt idx="747">
                  <c:v>44879</c:v>
                </c:pt>
                <c:pt idx="748">
                  <c:v>44880</c:v>
                </c:pt>
                <c:pt idx="749">
                  <c:v>44881</c:v>
                </c:pt>
                <c:pt idx="750">
                  <c:v>44882</c:v>
                </c:pt>
                <c:pt idx="751">
                  <c:v>44883</c:v>
                </c:pt>
                <c:pt idx="752">
                  <c:v>44886</c:v>
                </c:pt>
                <c:pt idx="753">
                  <c:v>44887</c:v>
                </c:pt>
                <c:pt idx="754">
                  <c:v>44888</c:v>
                </c:pt>
                <c:pt idx="755">
                  <c:v>44889</c:v>
                </c:pt>
                <c:pt idx="756">
                  <c:v>44890</c:v>
                </c:pt>
                <c:pt idx="757">
                  <c:v>44893</c:v>
                </c:pt>
                <c:pt idx="758">
                  <c:v>44894</c:v>
                </c:pt>
                <c:pt idx="759">
                  <c:v>44895</c:v>
                </c:pt>
                <c:pt idx="760">
                  <c:v>44896</c:v>
                </c:pt>
                <c:pt idx="761">
                  <c:v>44897</c:v>
                </c:pt>
                <c:pt idx="762">
                  <c:v>44900</c:v>
                </c:pt>
                <c:pt idx="763">
                  <c:v>44901</c:v>
                </c:pt>
                <c:pt idx="764">
                  <c:v>44902</c:v>
                </c:pt>
                <c:pt idx="765">
                  <c:v>44903</c:v>
                </c:pt>
                <c:pt idx="766">
                  <c:v>44904</c:v>
                </c:pt>
                <c:pt idx="767">
                  <c:v>44907</c:v>
                </c:pt>
                <c:pt idx="768">
                  <c:v>44908</c:v>
                </c:pt>
                <c:pt idx="769">
                  <c:v>44909</c:v>
                </c:pt>
                <c:pt idx="770">
                  <c:v>44910</c:v>
                </c:pt>
                <c:pt idx="771">
                  <c:v>44911</c:v>
                </c:pt>
                <c:pt idx="772">
                  <c:v>44914</c:v>
                </c:pt>
                <c:pt idx="773">
                  <c:v>44915</c:v>
                </c:pt>
                <c:pt idx="774">
                  <c:v>44916</c:v>
                </c:pt>
                <c:pt idx="775">
                  <c:v>44917</c:v>
                </c:pt>
                <c:pt idx="776">
                  <c:v>44918</c:v>
                </c:pt>
                <c:pt idx="777">
                  <c:v>44923</c:v>
                </c:pt>
                <c:pt idx="778">
                  <c:v>44924</c:v>
                </c:pt>
                <c:pt idx="779">
                  <c:v>44925</c:v>
                </c:pt>
                <c:pt idx="780">
                  <c:v>44929</c:v>
                </c:pt>
                <c:pt idx="781">
                  <c:v>44930</c:v>
                </c:pt>
                <c:pt idx="782">
                  <c:v>44931</c:v>
                </c:pt>
                <c:pt idx="783">
                  <c:v>44932</c:v>
                </c:pt>
                <c:pt idx="784">
                  <c:v>44935</c:v>
                </c:pt>
                <c:pt idx="785">
                  <c:v>44936</c:v>
                </c:pt>
                <c:pt idx="786">
                  <c:v>44937</c:v>
                </c:pt>
                <c:pt idx="787">
                  <c:v>44938</c:v>
                </c:pt>
                <c:pt idx="788">
                  <c:v>44939</c:v>
                </c:pt>
                <c:pt idx="789">
                  <c:v>44942</c:v>
                </c:pt>
                <c:pt idx="790">
                  <c:v>44943</c:v>
                </c:pt>
                <c:pt idx="791">
                  <c:v>44944</c:v>
                </c:pt>
                <c:pt idx="792">
                  <c:v>44945</c:v>
                </c:pt>
                <c:pt idx="793">
                  <c:v>44946</c:v>
                </c:pt>
                <c:pt idx="794">
                  <c:v>44949</c:v>
                </c:pt>
                <c:pt idx="795">
                  <c:v>44950</c:v>
                </c:pt>
                <c:pt idx="796">
                  <c:v>44951</c:v>
                </c:pt>
                <c:pt idx="797">
                  <c:v>44952</c:v>
                </c:pt>
                <c:pt idx="798">
                  <c:v>44953</c:v>
                </c:pt>
                <c:pt idx="799">
                  <c:v>44956</c:v>
                </c:pt>
                <c:pt idx="800">
                  <c:v>44957</c:v>
                </c:pt>
                <c:pt idx="801">
                  <c:v>44958</c:v>
                </c:pt>
                <c:pt idx="802">
                  <c:v>44959</c:v>
                </c:pt>
                <c:pt idx="803">
                  <c:v>44960</c:v>
                </c:pt>
                <c:pt idx="804">
                  <c:v>44963</c:v>
                </c:pt>
                <c:pt idx="805">
                  <c:v>44964</c:v>
                </c:pt>
                <c:pt idx="806">
                  <c:v>44965</c:v>
                </c:pt>
                <c:pt idx="807">
                  <c:v>44966</c:v>
                </c:pt>
                <c:pt idx="808">
                  <c:v>44967</c:v>
                </c:pt>
                <c:pt idx="809">
                  <c:v>44970</c:v>
                </c:pt>
                <c:pt idx="810">
                  <c:v>44971</c:v>
                </c:pt>
                <c:pt idx="811">
                  <c:v>44972</c:v>
                </c:pt>
                <c:pt idx="812">
                  <c:v>44973</c:v>
                </c:pt>
                <c:pt idx="813">
                  <c:v>44974</c:v>
                </c:pt>
                <c:pt idx="814">
                  <c:v>44978</c:v>
                </c:pt>
                <c:pt idx="815">
                  <c:v>44979</c:v>
                </c:pt>
                <c:pt idx="816">
                  <c:v>44980</c:v>
                </c:pt>
                <c:pt idx="817">
                  <c:v>44981</c:v>
                </c:pt>
                <c:pt idx="818">
                  <c:v>44984</c:v>
                </c:pt>
                <c:pt idx="819">
                  <c:v>44985</c:v>
                </c:pt>
                <c:pt idx="820">
                  <c:v>44986</c:v>
                </c:pt>
                <c:pt idx="821">
                  <c:v>44987</c:v>
                </c:pt>
                <c:pt idx="822">
                  <c:v>44988</c:v>
                </c:pt>
                <c:pt idx="823">
                  <c:v>44991</c:v>
                </c:pt>
                <c:pt idx="824">
                  <c:v>44992</c:v>
                </c:pt>
                <c:pt idx="825">
                  <c:v>44993</c:v>
                </c:pt>
                <c:pt idx="826">
                  <c:v>44994</c:v>
                </c:pt>
                <c:pt idx="827">
                  <c:v>44995</c:v>
                </c:pt>
                <c:pt idx="828">
                  <c:v>44998</c:v>
                </c:pt>
                <c:pt idx="829">
                  <c:v>44999</c:v>
                </c:pt>
                <c:pt idx="830">
                  <c:v>45000</c:v>
                </c:pt>
                <c:pt idx="831">
                  <c:v>45001</c:v>
                </c:pt>
                <c:pt idx="832">
                  <c:v>45002</c:v>
                </c:pt>
                <c:pt idx="833">
                  <c:v>45005</c:v>
                </c:pt>
                <c:pt idx="834">
                  <c:v>45006</c:v>
                </c:pt>
                <c:pt idx="835">
                  <c:v>45007</c:v>
                </c:pt>
                <c:pt idx="836">
                  <c:v>45008</c:v>
                </c:pt>
                <c:pt idx="837">
                  <c:v>45009</c:v>
                </c:pt>
                <c:pt idx="838">
                  <c:v>45012</c:v>
                </c:pt>
                <c:pt idx="839">
                  <c:v>45013</c:v>
                </c:pt>
                <c:pt idx="840">
                  <c:v>45014</c:v>
                </c:pt>
                <c:pt idx="841">
                  <c:v>45015</c:v>
                </c:pt>
                <c:pt idx="842">
                  <c:v>45016</c:v>
                </c:pt>
                <c:pt idx="843">
                  <c:v>45019</c:v>
                </c:pt>
                <c:pt idx="844">
                  <c:v>45020</c:v>
                </c:pt>
                <c:pt idx="845">
                  <c:v>45021</c:v>
                </c:pt>
                <c:pt idx="846">
                  <c:v>45022</c:v>
                </c:pt>
                <c:pt idx="847">
                  <c:v>45026</c:v>
                </c:pt>
                <c:pt idx="848">
                  <c:v>45027</c:v>
                </c:pt>
                <c:pt idx="849">
                  <c:v>45028</c:v>
                </c:pt>
                <c:pt idx="850">
                  <c:v>45029</c:v>
                </c:pt>
                <c:pt idx="851">
                  <c:v>45030</c:v>
                </c:pt>
                <c:pt idx="852">
                  <c:v>45033</c:v>
                </c:pt>
                <c:pt idx="853">
                  <c:v>45034</c:v>
                </c:pt>
                <c:pt idx="854">
                  <c:v>45035</c:v>
                </c:pt>
                <c:pt idx="855">
                  <c:v>45036</c:v>
                </c:pt>
                <c:pt idx="856">
                  <c:v>45037</c:v>
                </c:pt>
                <c:pt idx="857">
                  <c:v>45040</c:v>
                </c:pt>
                <c:pt idx="858">
                  <c:v>45041</c:v>
                </c:pt>
                <c:pt idx="859">
                  <c:v>45042</c:v>
                </c:pt>
                <c:pt idx="860">
                  <c:v>45043</c:v>
                </c:pt>
                <c:pt idx="861">
                  <c:v>45044</c:v>
                </c:pt>
                <c:pt idx="862">
                  <c:v>45047</c:v>
                </c:pt>
                <c:pt idx="863">
                  <c:v>45048</c:v>
                </c:pt>
                <c:pt idx="864">
                  <c:v>45049</c:v>
                </c:pt>
                <c:pt idx="865">
                  <c:v>45050</c:v>
                </c:pt>
                <c:pt idx="866">
                  <c:v>45051</c:v>
                </c:pt>
                <c:pt idx="867">
                  <c:v>45054</c:v>
                </c:pt>
                <c:pt idx="868">
                  <c:v>45055</c:v>
                </c:pt>
                <c:pt idx="869">
                  <c:v>45056</c:v>
                </c:pt>
                <c:pt idx="870">
                  <c:v>45057</c:v>
                </c:pt>
                <c:pt idx="871">
                  <c:v>45058</c:v>
                </c:pt>
                <c:pt idx="872">
                  <c:v>45061</c:v>
                </c:pt>
                <c:pt idx="873">
                  <c:v>45062</c:v>
                </c:pt>
                <c:pt idx="874">
                  <c:v>45063</c:v>
                </c:pt>
                <c:pt idx="875">
                  <c:v>45064</c:v>
                </c:pt>
                <c:pt idx="876">
                  <c:v>45065</c:v>
                </c:pt>
                <c:pt idx="877">
                  <c:v>45069</c:v>
                </c:pt>
                <c:pt idx="878">
                  <c:v>45070</c:v>
                </c:pt>
                <c:pt idx="879">
                  <c:v>45071</c:v>
                </c:pt>
                <c:pt idx="880">
                  <c:v>45072</c:v>
                </c:pt>
                <c:pt idx="881">
                  <c:v>45075</c:v>
                </c:pt>
                <c:pt idx="882">
                  <c:v>45076</c:v>
                </c:pt>
                <c:pt idx="883">
                  <c:v>45077</c:v>
                </c:pt>
                <c:pt idx="884">
                  <c:v>45078</c:v>
                </c:pt>
                <c:pt idx="885">
                  <c:v>45079</c:v>
                </c:pt>
                <c:pt idx="886">
                  <c:v>45082</c:v>
                </c:pt>
                <c:pt idx="887">
                  <c:v>45083</c:v>
                </c:pt>
                <c:pt idx="888">
                  <c:v>45084</c:v>
                </c:pt>
                <c:pt idx="889">
                  <c:v>45085</c:v>
                </c:pt>
                <c:pt idx="890">
                  <c:v>45086</c:v>
                </c:pt>
                <c:pt idx="891">
                  <c:v>45089</c:v>
                </c:pt>
                <c:pt idx="892">
                  <c:v>45090</c:v>
                </c:pt>
                <c:pt idx="893">
                  <c:v>45091</c:v>
                </c:pt>
                <c:pt idx="894">
                  <c:v>45092</c:v>
                </c:pt>
                <c:pt idx="895">
                  <c:v>45093</c:v>
                </c:pt>
                <c:pt idx="896">
                  <c:v>45096</c:v>
                </c:pt>
                <c:pt idx="897">
                  <c:v>45097</c:v>
                </c:pt>
                <c:pt idx="898">
                  <c:v>45098</c:v>
                </c:pt>
                <c:pt idx="899">
                  <c:v>45099</c:v>
                </c:pt>
                <c:pt idx="900">
                  <c:v>45100</c:v>
                </c:pt>
                <c:pt idx="901">
                  <c:v>45103</c:v>
                </c:pt>
                <c:pt idx="902">
                  <c:v>45104</c:v>
                </c:pt>
                <c:pt idx="903">
                  <c:v>45105</c:v>
                </c:pt>
                <c:pt idx="904">
                  <c:v>45106</c:v>
                </c:pt>
                <c:pt idx="905">
                  <c:v>45107</c:v>
                </c:pt>
                <c:pt idx="906">
                  <c:v>45111</c:v>
                </c:pt>
                <c:pt idx="907">
                  <c:v>45112</c:v>
                </c:pt>
                <c:pt idx="908">
                  <c:v>45113</c:v>
                </c:pt>
                <c:pt idx="909">
                  <c:v>45114</c:v>
                </c:pt>
                <c:pt idx="910">
                  <c:v>45117</c:v>
                </c:pt>
                <c:pt idx="911">
                  <c:v>45118</c:v>
                </c:pt>
                <c:pt idx="912">
                  <c:v>45119</c:v>
                </c:pt>
                <c:pt idx="913">
                  <c:v>45120</c:v>
                </c:pt>
                <c:pt idx="914">
                  <c:v>45121</c:v>
                </c:pt>
                <c:pt idx="915">
                  <c:v>45124</c:v>
                </c:pt>
                <c:pt idx="916">
                  <c:v>45125</c:v>
                </c:pt>
                <c:pt idx="917">
                  <c:v>45126</c:v>
                </c:pt>
                <c:pt idx="918">
                  <c:v>45127</c:v>
                </c:pt>
                <c:pt idx="919">
                  <c:v>45128</c:v>
                </c:pt>
                <c:pt idx="920">
                  <c:v>45131</c:v>
                </c:pt>
                <c:pt idx="921">
                  <c:v>45132</c:v>
                </c:pt>
                <c:pt idx="922">
                  <c:v>45133</c:v>
                </c:pt>
                <c:pt idx="923">
                  <c:v>45134</c:v>
                </c:pt>
                <c:pt idx="924">
                  <c:v>45135</c:v>
                </c:pt>
                <c:pt idx="925">
                  <c:v>45138</c:v>
                </c:pt>
                <c:pt idx="926">
                  <c:v>45139</c:v>
                </c:pt>
                <c:pt idx="927">
                  <c:v>45140</c:v>
                </c:pt>
                <c:pt idx="928">
                  <c:v>45141</c:v>
                </c:pt>
                <c:pt idx="929">
                  <c:v>45142</c:v>
                </c:pt>
                <c:pt idx="930">
                  <c:v>45146</c:v>
                </c:pt>
                <c:pt idx="931">
                  <c:v>45147</c:v>
                </c:pt>
                <c:pt idx="932">
                  <c:v>45148</c:v>
                </c:pt>
                <c:pt idx="933">
                  <c:v>45149</c:v>
                </c:pt>
                <c:pt idx="934">
                  <c:v>45152</c:v>
                </c:pt>
                <c:pt idx="935">
                  <c:v>45153</c:v>
                </c:pt>
                <c:pt idx="936">
                  <c:v>45154</c:v>
                </c:pt>
                <c:pt idx="937">
                  <c:v>45155</c:v>
                </c:pt>
                <c:pt idx="938">
                  <c:v>45156</c:v>
                </c:pt>
                <c:pt idx="939">
                  <c:v>45159</c:v>
                </c:pt>
                <c:pt idx="940">
                  <c:v>45160</c:v>
                </c:pt>
                <c:pt idx="941">
                  <c:v>45161</c:v>
                </c:pt>
                <c:pt idx="942">
                  <c:v>45162</c:v>
                </c:pt>
                <c:pt idx="943">
                  <c:v>45163</c:v>
                </c:pt>
                <c:pt idx="944">
                  <c:v>45166</c:v>
                </c:pt>
                <c:pt idx="945">
                  <c:v>45167</c:v>
                </c:pt>
                <c:pt idx="946">
                  <c:v>45168</c:v>
                </c:pt>
                <c:pt idx="947">
                  <c:v>45169</c:v>
                </c:pt>
                <c:pt idx="948">
                  <c:v>45170</c:v>
                </c:pt>
                <c:pt idx="949">
                  <c:v>45174</c:v>
                </c:pt>
                <c:pt idx="950">
                  <c:v>45175</c:v>
                </c:pt>
                <c:pt idx="951">
                  <c:v>45176</c:v>
                </c:pt>
                <c:pt idx="952">
                  <c:v>45177</c:v>
                </c:pt>
                <c:pt idx="953">
                  <c:v>45180</c:v>
                </c:pt>
                <c:pt idx="954">
                  <c:v>45181</c:v>
                </c:pt>
                <c:pt idx="955">
                  <c:v>45182</c:v>
                </c:pt>
                <c:pt idx="956">
                  <c:v>45183</c:v>
                </c:pt>
                <c:pt idx="957">
                  <c:v>45184</c:v>
                </c:pt>
                <c:pt idx="958">
                  <c:v>45187</c:v>
                </c:pt>
                <c:pt idx="959">
                  <c:v>45188</c:v>
                </c:pt>
                <c:pt idx="960">
                  <c:v>45189</c:v>
                </c:pt>
                <c:pt idx="961">
                  <c:v>45190</c:v>
                </c:pt>
                <c:pt idx="962">
                  <c:v>45191</c:v>
                </c:pt>
                <c:pt idx="963">
                  <c:v>45194</c:v>
                </c:pt>
                <c:pt idx="964">
                  <c:v>45195</c:v>
                </c:pt>
                <c:pt idx="965">
                  <c:v>45196</c:v>
                </c:pt>
                <c:pt idx="966">
                  <c:v>45197</c:v>
                </c:pt>
                <c:pt idx="967">
                  <c:v>45198</c:v>
                </c:pt>
                <c:pt idx="968">
                  <c:v>45201</c:v>
                </c:pt>
                <c:pt idx="969">
                  <c:v>45202</c:v>
                </c:pt>
                <c:pt idx="970">
                  <c:v>45203</c:v>
                </c:pt>
                <c:pt idx="971">
                  <c:v>45204</c:v>
                </c:pt>
                <c:pt idx="972">
                  <c:v>45205</c:v>
                </c:pt>
                <c:pt idx="973">
                  <c:v>45209</c:v>
                </c:pt>
                <c:pt idx="974">
                  <c:v>45210</c:v>
                </c:pt>
                <c:pt idx="975">
                  <c:v>45211</c:v>
                </c:pt>
                <c:pt idx="976">
                  <c:v>45212</c:v>
                </c:pt>
                <c:pt idx="977">
                  <c:v>45215</c:v>
                </c:pt>
                <c:pt idx="978">
                  <c:v>45216</c:v>
                </c:pt>
                <c:pt idx="979">
                  <c:v>45217</c:v>
                </c:pt>
                <c:pt idx="980">
                  <c:v>45218</c:v>
                </c:pt>
                <c:pt idx="981">
                  <c:v>45219</c:v>
                </c:pt>
                <c:pt idx="982">
                  <c:v>45222</c:v>
                </c:pt>
                <c:pt idx="983">
                  <c:v>45223</c:v>
                </c:pt>
                <c:pt idx="984">
                  <c:v>45224</c:v>
                </c:pt>
                <c:pt idx="985">
                  <c:v>45225</c:v>
                </c:pt>
                <c:pt idx="986">
                  <c:v>45226</c:v>
                </c:pt>
                <c:pt idx="987">
                  <c:v>45229</c:v>
                </c:pt>
                <c:pt idx="988">
                  <c:v>45230</c:v>
                </c:pt>
                <c:pt idx="989">
                  <c:v>45231</c:v>
                </c:pt>
                <c:pt idx="990">
                  <c:v>45232</c:v>
                </c:pt>
                <c:pt idx="991">
                  <c:v>45233</c:v>
                </c:pt>
                <c:pt idx="992">
                  <c:v>45236</c:v>
                </c:pt>
                <c:pt idx="993">
                  <c:v>45237</c:v>
                </c:pt>
                <c:pt idx="994">
                  <c:v>45238</c:v>
                </c:pt>
                <c:pt idx="995">
                  <c:v>45239</c:v>
                </c:pt>
                <c:pt idx="996">
                  <c:v>45240</c:v>
                </c:pt>
                <c:pt idx="997">
                  <c:v>45243</c:v>
                </c:pt>
                <c:pt idx="998">
                  <c:v>45244</c:v>
                </c:pt>
                <c:pt idx="999">
                  <c:v>45245</c:v>
                </c:pt>
                <c:pt idx="1000">
                  <c:v>45246</c:v>
                </c:pt>
                <c:pt idx="1001">
                  <c:v>45247</c:v>
                </c:pt>
                <c:pt idx="1002">
                  <c:v>45250</c:v>
                </c:pt>
                <c:pt idx="1003">
                  <c:v>45251</c:v>
                </c:pt>
                <c:pt idx="1004">
                  <c:v>45252</c:v>
                </c:pt>
                <c:pt idx="1005">
                  <c:v>45253</c:v>
                </c:pt>
                <c:pt idx="1006">
                  <c:v>45254</c:v>
                </c:pt>
                <c:pt idx="1007">
                  <c:v>45257</c:v>
                </c:pt>
                <c:pt idx="1008">
                  <c:v>45258</c:v>
                </c:pt>
                <c:pt idx="1009">
                  <c:v>45259</c:v>
                </c:pt>
                <c:pt idx="1010">
                  <c:v>45260</c:v>
                </c:pt>
                <c:pt idx="1011">
                  <c:v>45261</c:v>
                </c:pt>
                <c:pt idx="1012">
                  <c:v>45264</c:v>
                </c:pt>
                <c:pt idx="1013">
                  <c:v>45265</c:v>
                </c:pt>
                <c:pt idx="1014">
                  <c:v>45266</c:v>
                </c:pt>
                <c:pt idx="1015">
                  <c:v>45267</c:v>
                </c:pt>
                <c:pt idx="1016">
                  <c:v>45268</c:v>
                </c:pt>
                <c:pt idx="1017">
                  <c:v>45271</c:v>
                </c:pt>
                <c:pt idx="1018">
                  <c:v>45272</c:v>
                </c:pt>
                <c:pt idx="1019">
                  <c:v>45273</c:v>
                </c:pt>
                <c:pt idx="1020">
                  <c:v>45274</c:v>
                </c:pt>
                <c:pt idx="1021">
                  <c:v>45275</c:v>
                </c:pt>
                <c:pt idx="1022">
                  <c:v>45278</c:v>
                </c:pt>
                <c:pt idx="1023">
                  <c:v>45279</c:v>
                </c:pt>
                <c:pt idx="1024">
                  <c:v>45280</c:v>
                </c:pt>
                <c:pt idx="1025">
                  <c:v>45281</c:v>
                </c:pt>
                <c:pt idx="1026">
                  <c:v>45282</c:v>
                </c:pt>
                <c:pt idx="1027">
                  <c:v>45287</c:v>
                </c:pt>
                <c:pt idx="1028">
                  <c:v>45288</c:v>
                </c:pt>
                <c:pt idx="1029">
                  <c:v>45289</c:v>
                </c:pt>
                <c:pt idx="1030">
                  <c:v>45293</c:v>
                </c:pt>
                <c:pt idx="1031">
                  <c:v>45294</c:v>
                </c:pt>
                <c:pt idx="1032">
                  <c:v>45295</c:v>
                </c:pt>
                <c:pt idx="1033">
                  <c:v>45296</c:v>
                </c:pt>
                <c:pt idx="1034">
                  <c:v>45299</c:v>
                </c:pt>
                <c:pt idx="1035">
                  <c:v>45300</c:v>
                </c:pt>
                <c:pt idx="1036">
                  <c:v>45301</c:v>
                </c:pt>
                <c:pt idx="1037">
                  <c:v>45302</c:v>
                </c:pt>
                <c:pt idx="1038">
                  <c:v>45303</c:v>
                </c:pt>
                <c:pt idx="1039">
                  <c:v>45306</c:v>
                </c:pt>
                <c:pt idx="1040">
                  <c:v>45307</c:v>
                </c:pt>
                <c:pt idx="1041">
                  <c:v>45308</c:v>
                </c:pt>
                <c:pt idx="1042">
                  <c:v>45309</c:v>
                </c:pt>
                <c:pt idx="1043">
                  <c:v>45310</c:v>
                </c:pt>
                <c:pt idx="1044">
                  <c:v>45313</c:v>
                </c:pt>
                <c:pt idx="1045">
                  <c:v>45314</c:v>
                </c:pt>
                <c:pt idx="1046">
                  <c:v>45315</c:v>
                </c:pt>
                <c:pt idx="1047">
                  <c:v>45316</c:v>
                </c:pt>
                <c:pt idx="1048">
                  <c:v>45317</c:v>
                </c:pt>
                <c:pt idx="1049">
                  <c:v>45320</c:v>
                </c:pt>
                <c:pt idx="1050">
                  <c:v>45321</c:v>
                </c:pt>
                <c:pt idx="1051">
                  <c:v>45322</c:v>
                </c:pt>
                <c:pt idx="1052">
                  <c:v>45323</c:v>
                </c:pt>
                <c:pt idx="1053">
                  <c:v>45324</c:v>
                </c:pt>
                <c:pt idx="1054">
                  <c:v>45327</c:v>
                </c:pt>
                <c:pt idx="1055">
                  <c:v>45328</c:v>
                </c:pt>
                <c:pt idx="1056">
                  <c:v>45329</c:v>
                </c:pt>
                <c:pt idx="1057">
                  <c:v>45330</c:v>
                </c:pt>
                <c:pt idx="1058">
                  <c:v>45331</c:v>
                </c:pt>
                <c:pt idx="1059">
                  <c:v>45334</c:v>
                </c:pt>
                <c:pt idx="1060">
                  <c:v>45335</c:v>
                </c:pt>
                <c:pt idx="1061">
                  <c:v>45336</c:v>
                </c:pt>
                <c:pt idx="1062">
                  <c:v>45337</c:v>
                </c:pt>
                <c:pt idx="1063">
                  <c:v>45338</c:v>
                </c:pt>
                <c:pt idx="1064">
                  <c:v>45342</c:v>
                </c:pt>
                <c:pt idx="1065">
                  <c:v>45343</c:v>
                </c:pt>
                <c:pt idx="1066">
                  <c:v>45344</c:v>
                </c:pt>
                <c:pt idx="1067">
                  <c:v>45345</c:v>
                </c:pt>
                <c:pt idx="1068">
                  <c:v>45348</c:v>
                </c:pt>
                <c:pt idx="1069">
                  <c:v>45349</c:v>
                </c:pt>
                <c:pt idx="1070">
                  <c:v>45350</c:v>
                </c:pt>
                <c:pt idx="1071">
                  <c:v>45351</c:v>
                </c:pt>
                <c:pt idx="1072">
                  <c:v>45352</c:v>
                </c:pt>
                <c:pt idx="1073">
                  <c:v>45355</c:v>
                </c:pt>
                <c:pt idx="1074">
                  <c:v>45356</c:v>
                </c:pt>
                <c:pt idx="1075">
                  <c:v>45357</c:v>
                </c:pt>
                <c:pt idx="1076">
                  <c:v>45358</c:v>
                </c:pt>
                <c:pt idx="1077">
                  <c:v>45359</c:v>
                </c:pt>
                <c:pt idx="1078">
                  <c:v>45362</c:v>
                </c:pt>
                <c:pt idx="1079">
                  <c:v>45363</c:v>
                </c:pt>
                <c:pt idx="1080">
                  <c:v>45364</c:v>
                </c:pt>
                <c:pt idx="1081">
                  <c:v>45365</c:v>
                </c:pt>
                <c:pt idx="1082">
                  <c:v>45366</c:v>
                </c:pt>
                <c:pt idx="1083">
                  <c:v>45369</c:v>
                </c:pt>
                <c:pt idx="1084">
                  <c:v>45370</c:v>
                </c:pt>
                <c:pt idx="1085">
                  <c:v>45371</c:v>
                </c:pt>
                <c:pt idx="1086">
                  <c:v>45372</c:v>
                </c:pt>
                <c:pt idx="1087">
                  <c:v>45373</c:v>
                </c:pt>
                <c:pt idx="1088">
                  <c:v>45376</c:v>
                </c:pt>
                <c:pt idx="1089">
                  <c:v>45377</c:v>
                </c:pt>
                <c:pt idx="1090">
                  <c:v>45378</c:v>
                </c:pt>
                <c:pt idx="1091">
                  <c:v>45379</c:v>
                </c:pt>
                <c:pt idx="1092">
                  <c:v>45383</c:v>
                </c:pt>
                <c:pt idx="1093">
                  <c:v>45384</c:v>
                </c:pt>
                <c:pt idx="1094">
                  <c:v>45385</c:v>
                </c:pt>
                <c:pt idx="1095">
                  <c:v>45386</c:v>
                </c:pt>
                <c:pt idx="1096">
                  <c:v>45387</c:v>
                </c:pt>
                <c:pt idx="1097">
                  <c:v>45390</c:v>
                </c:pt>
                <c:pt idx="1098">
                  <c:v>45391</c:v>
                </c:pt>
                <c:pt idx="1099">
                  <c:v>45392</c:v>
                </c:pt>
                <c:pt idx="1100">
                  <c:v>45393</c:v>
                </c:pt>
                <c:pt idx="1101">
                  <c:v>45394</c:v>
                </c:pt>
                <c:pt idx="1102">
                  <c:v>45397</c:v>
                </c:pt>
                <c:pt idx="1103">
                  <c:v>45398</c:v>
                </c:pt>
                <c:pt idx="1104">
                  <c:v>45399</c:v>
                </c:pt>
                <c:pt idx="1105">
                  <c:v>45400</c:v>
                </c:pt>
                <c:pt idx="1106">
                  <c:v>45401</c:v>
                </c:pt>
                <c:pt idx="1107">
                  <c:v>45404</c:v>
                </c:pt>
                <c:pt idx="1108">
                  <c:v>45405</c:v>
                </c:pt>
                <c:pt idx="1109">
                  <c:v>45406</c:v>
                </c:pt>
                <c:pt idx="1110">
                  <c:v>45407</c:v>
                </c:pt>
                <c:pt idx="1111">
                  <c:v>45408</c:v>
                </c:pt>
                <c:pt idx="1112">
                  <c:v>45411</c:v>
                </c:pt>
                <c:pt idx="1113">
                  <c:v>45412</c:v>
                </c:pt>
                <c:pt idx="1114">
                  <c:v>45413</c:v>
                </c:pt>
                <c:pt idx="1115">
                  <c:v>45414</c:v>
                </c:pt>
                <c:pt idx="1116">
                  <c:v>45415</c:v>
                </c:pt>
                <c:pt idx="1117">
                  <c:v>45418</c:v>
                </c:pt>
                <c:pt idx="1118">
                  <c:v>45419</c:v>
                </c:pt>
                <c:pt idx="1119">
                  <c:v>45420</c:v>
                </c:pt>
                <c:pt idx="1120">
                  <c:v>45421</c:v>
                </c:pt>
                <c:pt idx="1121">
                  <c:v>45422</c:v>
                </c:pt>
                <c:pt idx="1122">
                  <c:v>45425</c:v>
                </c:pt>
                <c:pt idx="1123">
                  <c:v>45426</c:v>
                </c:pt>
                <c:pt idx="1124">
                  <c:v>45427</c:v>
                </c:pt>
                <c:pt idx="1125">
                  <c:v>45428</c:v>
                </c:pt>
                <c:pt idx="1126">
                  <c:v>45429</c:v>
                </c:pt>
                <c:pt idx="1127">
                  <c:v>45433</c:v>
                </c:pt>
                <c:pt idx="1128">
                  <c:v>45434</c:v>
                </c:pt>
                <c:pt idx="1129">
                  <c:v>45435</c:v>
                </c:pt>
                <c:pt idx="1130">
                  <c:v>45436</c:v>
                </c:pt>
                <c:pt idx="1131">
                  <c:v>45439</c:v>
                </c:pt>
                <c:pt idx="1132">
                  <c:v>45440</c:v>
                </c:pt>
                <c:pt idx="1133">
                  <c:v>45441</c:v>
                </c:pt>
                <c:pt idx="1134">
                  <c:v>45442</c:v>
                </c:pt>
                <c:pt idx="1135">
                  <c:v>45443</c:v>
                </c:pt>
                <c:pt idx="1136">
                  <c:v>45446</c:v>
                </c:pt>
                <c:pt idx="1137">
                  <c:v>45447</c:v>
                </c:pt>
                <c:pt idx="1138">
                  <c:v>45448</c:v>
                </c:pt>
                <c:pt idx="1139">
                  <c:v>45449</c:v>
                </c:pt>
                <c:pt idx="1140">
                  <c:v>45450</c:v>
                </c:pt>
                <c:pt idx="1141">
                  <c:v>45453</c:v>
                </c:pt>
                <c:pt idx="1142">
                  <c:v>45454</c:v>
                </c:pt>
                <c:pt idx="1143">
                  <c:v>45455</c:v>
                </c:pt>
                <c:pt idx="1144">
                  <c:v>45456</c:v>
                </c:pt>
                <c:pt idx="1145">
                  <c:v>45457</c:v>
                </c:pt>
                <c:pt idx="1146">
                  <c:v>45460</c:v>
                </c:pt>
                <c:pt idx="1147">
                  <c:v>45461</c:v>
                </c:pt>
                <c:pt idx="1148">
                  <c:v>45462</c:v>
                </c:pt>
                <c:pt idx="1149">
                  <c:v>45463</c:v>
                </c:pt>
                <c:pt idx="1150">
                  <c:v>45464</c:v>
                </c:pt>
                <c:pt idx="1151">
                  <c:v>45467</c:v>
                </c:pt>
                <c:pt idx="1152">
                  <c:v>45468</c:v>
                </c:pt>
                <c:pt idx="1153">
                  <c:v>45469</c:v>
                </c:pt>
                <c:pt idx="1154">
                  <c:v>45470</c:v>
                </c:pt>
                <c:pt idx="1155">
                  <c:v>45471</c:v>
                </c:pt>
                <c:pt idx="1156">
                  <c:v>45475</c:v>
                </c:pt>
                <c:pt idx="1157">
                  <c:v>45476</c:v>
                </c:pt>
                <c:pt idx="1158">
                  <c:v>45477</c:v>
                </c:pt>
                <c:pt idx="1159">
                  <c:v>45478</c:v>
                </c:pt>
                <c:pt idx="1160">
                  <c:v>45481</c:v>
                </c:pt>
                <c:pt idx="1161">
                  <c:v>45482</c:v>
                </c:pt>
                <c:pt idx="1162">
                  <c:v>45483</c:v>
                </c:pt>
                <c:pt idx="1163">
                  <c:v>45484</c:v>
                </c:pt>
                <c:pt idx="1164">
                  <c:v>45485</c:v>
                </c:pt>
                <c:pt idx="1165">
                  <c:v>45488</c:v>
                </c:pt>
                <c:pt idx="1166">
                  <c:v>45489</c:v>
                </c:pt>
                <c:pt idx="1167">
                  <c:v>45490</c:v>
                </c:pt>
                <c:pt idx="1168">
                  <c:v>45491</c:v>
                </c:pt>
                <c:pt idx="1169">
                  <c:v>45492</c:v>
                </c:pt>
                <c:pt idx="1170">
                  <c:v>45495</c:v>
                </c:pt>
                <c:pt idx="1171">
                  <c:v>45496</c:v>
                </c:pt>
                <c:pt idx="1172">
                  <c:v>45497</c:v>
                </c:pt>
                <c:pt idx="1173">
                  <c:v>45498</c:v>
                </c:pt>
                <c:pt idx="1174">
                  <c:v>45499</c:v>
                </c:pt>
                <c:pt idx="1175">
                  <c:v>45502</c:v>
                </c:pt>
                <c:pt idx="1176">
                  <c:v>45503</c:v>
                </c:pt>
                <c:pt idx="1177">
                  <c:v>45504</c:v>
                </c:pt>
                <c:pt idx="1178">
                  <c:v>45505</c:v>
                </c:pt>
                <c:pt idx="1179">
                  <c:v>45506</c:v>
                </c:pt>
                <c:pt idx="1180">
                  <c:v>45510</c:v>
                </c:pt>
                <c:pt idx="1181">
                  <c:v>45511</c:v>
                </c:pt>
                <c:pt idx="1182">
                  <c:v>45512</c:v>
                </c:pt>
                <c:pt idx="1183">
                  <c:v>45513</c:v>
                </c:pt>
                <c:pt idx="1184">
                  <c:v>45516</c:v>
                </c:pt>
                <c:pt idx="1185">
                  <c:v>45517</c:v>
                </c:pt>
                <c:pt idx="1186">
                  <c:v>45518</c:v>
                </c:pt>
                <c:pt idx="1187">
                  <c:v>45519</c:v>
                </c:pt>
                <c:pt idx="1188">
                  <c:v>45520</c:v>
                </c:pt>
                <c:pt idx="1189">
                  <c:v>45523</c:v>
                </c:pt>
                <c:pt idx="1190">
                  <c:v>45524</c:v>
                </c:pt>
                <c:pt idx="1191">
                  <c:v>45525</c:v>
                </c:pt>
                <c:pt idx="1192">
                  <c:v>45526</c:v>
                </c:pt>
                <c:pt idx="1193">
                  <c:v>45527</c:v>
                </c:pt>
                <c:pt idx="1194">
                  <c:v>45530</c:v>
                </c:pt>
                <c:pt idx="1195">
                  <c:v>45531</c:v>
                </c:pt>
                <c:pt idx="1196">
                  <c:v>45532</c:v>
                </c:pt>
                <c:pt idx="1197">
                  <c:v>45533</c:v>
                </c:pt>
                <c:pt idx="1198">
                  <c:v>45534</c:v>
                </c:pt>
                <c:pt idx="1199">
                  <c:v>45538</c:v>
                </c:pt>
                <c:pt idx="1200">
                  <c:v>45539</c:v>
                </c:pt>
                <c:pt idx="1201">
                  <c:v>45540</c:v>
                </c:pt>
                <c:pt idx="1202">
                  <c:v>45541</c:v>
                </c:pt>
                <c:pt idx="1203">
                  <c:v>45544</c:v>
                </c:pt>
                <c:pt idx="1204">
                  <c:v>45545</c:v>
                </c:pt>
                <c:pt idx="1205">
                  <c:v>45546</c:v>
                </c:pt>
                <c:pt idx="1206">
                  <c:v>45547</c:v>
                </c:pt>
                <c:pt idx="1207">
                  <c:v>45548</c:v>
                </c:pt>
                <c:pt idx="1208">
                  <c:v>45551</c:v>
                </c:pt>
                <c:pt idx="1209">
                  <c:v>45552</c:v>
                </c:pt>
                <c:pt idx="1210">
                  <c:v>45553</c:v>
                </c:pt>
                <c:pt idx="1211">
                  <c:v>45554</c:v>
                </c:pt>
                <c:pt idx="1212">
                  <c:v>45555</c:v>
                </c:pt>
                <c:pt idx="1213">
                  <c:v>45558</c:v>
                </c:pt>
                <c:pt idx="1214">
                  <c:v>45559</c:v>
                </c:pt>
                <c:pt idx="1215">
                  <c:v>45560</c:v>
                </c:pt>
                <c:pt idx="1216">
                  <c:v>45561</c:v>
                </c:pt>
                <c:pt idx="1217">
                  <c:v>45562</c:v>
                </c:pt>
                <c:pt idx="1218">
                  <c:v>45565</c:v>
                </c:pt>
                <c:pt idx="1219">
                  <c:v>45566</c:v>
                </c:pt>
                <c:pt idx="1220">
                  <c:v>45567</c:v>
                </c:pt>
                <c:pt idx="1221">
                  <c:v>45568</c:v>
                </c:pt>
                <c:pt idx="1222">
                  <c:v>45569</c:v>
                </c:pt>
                <c:pt idx="1223">
                  <c:v>45572</c:v>
                </c:pt>
                <c:pt idx="1224">
                  <c:v>45573</c:v>
                </c:pt>
                <c:pt idx="1225">
                  <c:v>45574</c:v>
                </c:pt>
                <c:pt idx="1226">
                  <c:v>45575</c:v>
                </c:pt>
                <c:pt idx="1227">
                  <c:v>45576</c:v>
                </c:pt>
                <c:pt idx="1228">
                  <c:v>45580</c:v>
                </c:pt>
                <c:pt idx="1229">
                  <c:v>45581</c:v>
                </c:pt>
                <c:pt idx="1230">
                  <c:v>45582</c:v>
                </c:pt>
                <c:pt idx="1231">
                  <c:v>45583</c:v>
                </c:pt>
                <c:pt idx="1232">
                  <c:v>45586</c:v>
                </c:pt>
                <c:pt idx="1233">
                  <c:v>45587</c:v>
                </c:pt>
                <c:pt idx="1234">
                  <c:v>45588</c:v>
                </c:pt>
                <c:pt idx="1235">
                  <c:v>45589</c:v>
                </c:pt>
                <c:pt idx="1236">
                  <c:v>45590</c:v>
                </c:pt>
                <c:pt idx="1237">
                  <c:v>45593</c:v>
                </c:pt>
                <c:pt idx="1238">
                  <c:v>45594</c:v>
                </c:pt>
                <c:pt idx="1239">
                  <c:v>45595</c:v>
                </c:pt>
                <c:pt idx="1240">
                  <c:v>45596</c:v>
                </c:pt>
                <c:pt idx="1241">
                  <c:v>45597</c:v>
                </c:pt>
                <c:pt idx="1242">
                  <c:v>45600</c:v>
                </c:pt>
                <c:pt idx="1243">
                  <c:v>45601</c:v>
                </c:pt>
                <c:pt idx="1244">
                  <c:v>45602</c:v>
                </c:pt>
                <c:pt idx="1245">
                  <c:v>45603</c:v>
                </c:pt>
                <c:pt idx="1246">
                  <c:v>45604</c:v>
                </c:pt>
                <c:pt idx="1247">
                  <c:v>45607</c:v>
                </c:pt>
                <c:pt idx="1248">
                  <c:v>45608</c:v>
                </c:pt>
                <c:pt idx="1249">
                  <c:v>45609</c:v>
                </c:pt>
                <c:pt idx="1250">
                  <c:v>45610</c:v>
                </c:pt>
                <c:pt idx="1251">
                  <c:v>45611</c:v>
                </c:pt>
                <c:pt idx="1252">
                  <c:v>45614</c:v>
                </c:pt>
                <c:pt idx="1253">
                  <c:v>45615</c:v>
                </c:pt>
                <c:pt idx="1254">
                  <c:v>45616</c:v>
                </c:pt>
                <c:pt idx="1255">
                  <c:v>45617</c:v>
                </c:pt>
                <c:pt idx="1256">
                  <c:v>45618</c:v>
                </c:pt>
              </c:numCache>
            </c:numRef>
          </c:cat>
          <c:val>
            <c:numRef>
              <c:f>'Loblaws Share Price'!$C$4:$C$1260</c:f>
              <c:numCache>
                <c:formatCode>General</c:formatCode>
                <c:ptCount val="1257"/>
                <c:pt idx="0">
                  <c:v>70.52</c:v>
                </c:pt>
                <c:pt idx="1">
                  <c:v>70.75</c:v>
                </c:pt>
                <c:pt idx="2">
                  <c:v>70.42</c:v>
                </c:pt>
                <c:pt idx="3">
                  <c:v>71</c:v>
                </c:pt>
                <c:pt idx="4">
                  <c:v>71.39</c:v>
                </c:pt>
                <c:pt idx="5">
                  <c:v>71.75</c:v>
                </c:pt>
                <c:pt idx="6">
                  <c:v>71.849999999999994</c:v>
                </c:pt>
                <c:pt idx="7">
                  <c:v>71.569999999999993</c:v>
                </c:pt>
                <c:pt idx="8">
                  <c:v>71.739999999999995</c:v>
                </c:pt>
                <c:pt idx="9">
                  <c:v>71.959999999999994</c:v>
                </c:pt>
                <c:pt idx="10">
                  <c:v>71.540000000000006</c:v>
                </c:pt>
                <c:pt idx="11">
                  <c:v>72</c:v>
                </c:pt>
                <c:pt idx="12">
                  <c:v>71.89</c:v>
                </c:pt>
                <c:pt idx="13">
                  <c:v>71.959999999999994</c:v>
                </c:pt>
                <c:pt idx="14">
                  <c:v>71.94</c:v>
                </c:pt>
                <c:pt idx="15">
                  <c:v>71.25</c:v>
                </c:pt>
                <c:pt idx="16">
                  <c:v>69.91</c:v>
                </c:pt>
                <c:pt idx="17">
                  <c:v>69.180000000000007</c:v>
                </c:pt>
                <c:pt idx="18">
                  <c:v>69.510000000000005</c:v>
                </c:pt>
                <c:pt idx="19">
                  <c:v>69.319999999999993</c:v>
                </c:pt>
                <c:pt idx="20">
                  <c:v>68.63</c:v>
                </c:pt>
                <c:pt idx="21">
                  <c:v>67.53</c:v>
                </c:pt>
                <c:pt idx="22">
                  <c:v>67.680000000000007</c:v>
                </c:pt>
                <c:pt idx="23">
                  <c:v>67.599999999999994</c:v>
                </c:pt>
                <c:pt idx="24">
                  <c:v>67.7</c:v>
                </c:pt>
                <c:pt idx="25">
                  <c:v>67.599999999999994</c:v>
                </c:pt>
                <c:pt idx="26">
                  <c:v>67.06</c:v>
                </c:pt>
                <c:pt idx="27">
                  <c:v>67.010000000000005</c:v>
                </c:pt>
                <c:pt idx="28">
                  <c:v>66.47</c:v>
                </c:pt>
                <c:pt idx="29">
                  <c:v>66.97</c:v>
                </c:pt>
                <c:pt idx="30">
                  <c:v>66.77</c:v>
                </c:pt>
                <c:pt idx="31">
                  <c:v>67.22</c:v>
                </c:pt>
                <c:pt idx="32">
                  <c:v>67.760000000000005</c:v>
                </c:pt>
                <c:pt idx="33">
                  <c:v>67.98</c:v>
                </c:pt>
                <c:pt idx="34">
                  <c:v>67.88</c:v>
                </c:pt>
                <c:pt idx="35">
                  <c:v>66.709999999999994</c:v>
                </c:pt>
                <c:pt idx="36">
                  <c:v>67.06</c:v>
                </c:pt>
                <c:pt idx="37">
                  <c:v>67.39</c:v>
                </c:pt>
                <c:pt idx="38">
                  <c:v>68.12</c:v>
                </c:pt>
                <c:pt idx="39">
                  <c:v>68.099999999999994</c:v>
                </c:pt>
                <c:pt idx="40">
                  <c:v>68.599999999999994</c:v>
                </c:pt>
                <c:pt idx="41">
                  <c:v>68.599999999999994</c:v>
                </c:pt>
                <c:pt idx="42">
                  <c:v>69.05</c:v>
                </c:pt>
                <c:pt idx="43">
                  <c:v>69.12</c:v>
                </c:pt>
                <c:pt idx="44">
                  <c:v>68.47</c:v>
                </c:pt>
                <c:pt idx="45">
                  <c:v>69.63</c:v>
                </c:pt>
                <c:pt idx="46">
                  <c:v>69.319999999999993</c:v>
                </c:pt>
                <c:pt idx="47">
                  <c:v>69.3</c:v>
                </c:pt>
                <c:pt idx="48">
                  <c:v>69.62</c:v>
                </c:pt>
                <c:pt idx="49">
                  <c:v>69.47</c:v>
                </c:pt>
                <c:pt idx="50">
                  <c:v>69.53</c:v>
                </c:pt>
                <c:pt idx="51">
                  <c:v>69.69</c:v>
                </c:pt>
                <c:pt idx="52">
                  <c:v>69.8</c:v>
                </c:pt>
                <c:pt idx="53">
                  <c:v>70.63</c:v>
                </c:pt>
                <c:pt idx="54">
                  <c:v>70.39</c:v>
                </c:pt>
                <c:pt idx="55">
                  <c:v>71.010000000000005</c:v>
                </c:pt>
                <c:pt idx="56">
                  <c:v>70.62</c:v>
                </c:pt>
                <c:pt idx="57">
                  <c:v>70.47</c:v>
                </c:pt>
                <c:pt idx="58">
                  <c:v>70.77</c:v>
                </c:pt>
                <c:pt idx="59">
                  <c:v>71</c:v>
                </c:pt>
                <c:pt idx="60">
                  <c:v>71.16</c:v>
                </c:pt>
                <c:pt idx="61">
                  <c:v>69.98</c:v>
                </c:pt>
                <c:pt idx="62">
                  <c:v>69.819999999999993</c:v>
                </c:pt>
                <c:pt idx="63">
                  <c:v>69.16</c:v>
                </c:pt>
                <c:pt idx="64">
                  <c:v>69.61</c:v>
                </c:pt>
                <c:pt idx="65">
                  <c:v>69.010000000000005</c:v>
                </c:pt>
                <c:pt idx="66">
                  <c:v>69.45</c:v>
                </c:pt>
                <c:pt idx="67">
                  <c:v>68.88</c:v>
                </c:pt>
                <c:pt idx="68">
                  <c:v>66.86</c:v>
                </c:pt>
                <c:pt idx="69">
                  <c:v>67.41</c:v>
                </c:pt>
                <c:pt idx="70">
                  <c:v>69.81</c:v>
                </c:pt>
                <c:pt idx="71">
                  <c:v>71.13</c:v>
                </c:pt>
                <c:pt idx="72">
                  <c:v>71.239999999999995</c:v>
                </c:pt>
                <c:pt idx="73">
                  <c:v>67.36</c:v>
                </c:pt>
                <c:pt idx="74">
                  <c:v>68.5</c:v>
                </c:pt>
                <c:pt idx="75">
                  <c:v>67.62</c:v>
                </c:pt>
                <c:pt idx="76">
                  <c:v>65.180000000000007</c:v>
                </c:pt>
                <c:pt idx="77">
                  <c:v>61.2</c:v>
                </c:pt>
                <c:pt idx="78">
                  <c:v>60.01</c:v>
                </c:pt>
                <c:pt idx="79">
                  <c:v>66.86</c:v>
                </c:pt>
                <c:pt idx="80">
                  <c:v>68.22</c:v>
                </c:pt>
                <c:pt idx="81">
                  <c:v>67.55</c:v>
                </c:pt>
                <c:pt idx="82">
                  <c:v>67.27</c:v>
                </c:pt>
                <c:pt idx="83">
                  <c:v>66.72</c:v>
                </c:pt>
                <c:pt idx="84">
                  <c:v>61.79</c:v>
                </c:pt>
                <c:pt idx="85">
                  <c:v>63.58</c:v>
                </c:pt>
                <c:pt idx="86">
                  <c:v>67.760000000000005</c:v>
                </c:pt>
                <c:pt idx="87">
                  <c:v>67.87</c:v>
                </c:pt>
                <c:pt idx="88">
                  <c:v>68</c:v>
                </c:pt>
                <c:pt idx="89">
                  <c:v>68.38</c:v>
                </c:pt>
                <c:pt idx="90">
                  <c:v>71.069999999999993</c:v>
                </c:pt>
                <c:pt idx="91">
                  <c:v>71.319999999999993</c:v>
                </c:pt>
                <c:pt idx="92">
                  <c:v>71.17</c:v>
                </c:pt>
                <c:pt idx="93">
                  <c:v>74</c:v>
                </c:pt>
                <c:pt idx="94">
                  <c:v>75.569999999999993</c:v>
                </c:pt>
                <c:pt idx="95">
                  <c:v>75.790000000000006</c:v>
                </c:pt>
                <c:pt idx="96">
                  <c:v>74.849999999999994</c:v>
                </c:pt>
                <c:pt idx="97">
                  <c:v>71.81</c:v>
                </c:pt>
                <c:pt idx="98">
                  <c:v>72.959999999999994</c:v>
                </c:pt>
                <c:pt idx="99">
                  <c:v>73.209999999999994</c:v>
                </c:pt>
                <c:pt idx="100">
                  <c:v>73.7</c:v>
                </c:pt>
                <c:pt idx="101">
                  <c:v>74.599999999999994</c:v>
                </c:pt>
                <c:pt idx="102">
                  <c:v>73.3</c:v>
                </c:pt>
                <c:pt idx="103">
                  <c:v>73.819999999999993</c:v>
                </c:pt>
                <c:pt idx="104">
                  <c:v>72.97</c:v>
                </c:pt>
                <c:pt idx="105">
                  <c:v>74.47</c:v>
                </c:pt>
                <c:pt idx="106">
                  <c:v>74.31</c:v>
                </c:pt>
                <c:pt idx="107">
                  <c:v>75.25</c:v>
                </c:pt>
                <c:pt idx="108">
                  <c:v>75.14</c:v>
                </c:pt>
                <c:pt idx="109">
                  <c:v>74</c:v>
                </c:pt>
                <c:pt idx="110">
                  <c:v>70.75</c:v>
                </c:pt>
                <c:pt idx="111">
                  <c:v>68.03</c:v>
                </c:pt>
                <c:pt idx="112">
                  <c:v>68.33</c:v>
                </c:pt>
                <c:pt idx="113">
                  <c:v>67.77</c:v>
                </c:pt>
                <c:pt idx="114">
                  <c:v>69.25</c:v>
                </c:pt>
                <c:pt idx="115">
                  <c:v>68.510000000000005</c:v>
                </c:pt>
                <c:pt idx="116">
                  <c:v>67.7</c:v>
                </c:pt>
                <c:pt idx="117">
                  <c:v>69.290000000000006</c:v>
                </c:pt>
                <c:pt idx="118">
                  <c:v>71.55</c:v>
                </c:pt>
                <c:pt idx="119">
                  <c:v>69.989999999999995</c:v>
                </c:pt>
                <c:pt idx="120">
                  <c:v>67.680000000000007</c:v>
                </c:pt>
                <c:pt idx="121">
                  <c:v>67.790000000000006</c:v>
                </c:pt>
                <c:pt idx="122">
                  <c:v>68.489999999999995</c:v>
                </c:pt>
                <c:pt idx="123">
                  <c:v>69.19</c:v>
                </c:pt>
                <c:pt idx="124">
                  <c:v>67.599999999999994</c:v>
                </c:pt>
                <c:pt idx="125">
                  <c:v>67.05</c:v>
                </c:pt>
                <c:pt idx="126">
                  <c:v>66.73</c:v>
                </c:pt>
                <c:pt idx="127">
                  <c:v>67.44</c:v>
                </c:pt>
                <c:pt idx="128">
                  <c:v>67.2</c:v>
                </c:pt>
                <c:pt idx="129">
                  <c:v>66.69</c:v>
                </c:pt>
                <c:pt idx="130">
                  <c:v>68.09</c:v>
                </c:pt>
                <c:pt idx="131">
                  <c:v>68.19</c:v>
                </c:pt>
                <c:pt idx="132">
                  <c:v>67.2</c:v>
                </c:pt>
                <c:pt idx="133">
                  <c:v>68</c:v>
                </c:pt>
                <c:pt idx="134">
                  <c:v>67.81</c:v>
                </c:pt>
                <c:pt idx="135">
                  <c:v>67.98</c:v>
                </c:pt>
                <c:pt idx="136">
                  <c:v>67.47</c:v>
                </c:pt>
                <c:pt idx="137">
                  <c:v>66.27</c:v>
                </c:pt>
                <c:pt idx="138">
                  <c:v>66.08</c:v>
                </c:pt>
                <c:pt idx="139">
                  <c:v>66.42</c:v>
                </c:pt>
                <c:pt idx="140">
                  <c:v>66.239999999999995</c:v>
                </c:pt>
                <c:pt idx="141">
                  <c:v>65.95</c:v>
                </c:pt>
                <c:pt idx="142">
                  <c:v>67.06</c:v>
                </c:pt>
                <c:pt idx="143">
                  <c:v>66.88</c:v>
                </c:pt>
                <c:pt idx="144">
                  <c:v>66.12</c:v>
                </c:pt>
                <c:pt idx="145">
                  <c:v>66.7</c:v>
                </c:pt>
                <c:pt idx="146">
                  <c:v>67.13</c:v>
                </c:pt>
                <c:pt idx="147">
                  <c:v>66.75</c:v>
                </c:pt>
                <c:pt idx="148">
                  <c:v>65.16</c:v>
                </c:pt>
                <c:pt idx="149">
                  <c:v>66.150000000000006</c:v>
                </c:pt>
                <c:pt idx="150">
                  <c:v>66.64</c:v>
                </c:pt>
                <c:pt idx="151">
                  <c:v>65.489999999999995</c:v>
                </c:pt>
                <c:pt idx="152">
                  <c:v>67.06</c:v>
                </c:pt>
                <c:pt idx="153">
                  <c:v>66.62</c:v>
                </c:pt>
                <c:pt idx="154">
                  <c:v>66.819999999999993</c:v>
                </c:pt>
                <c:pt idx="155">
                  <c:v>66.88</c:v>
                </c:pt>
                <c:pt idx="156">
                  <c:v>67.22</c:v>
                </c:pt>
                <c:pt idx="157">
                  <c:v>67.25</c:v>
                </c:pt>
                <c:pt idx="158">
                  <c:v>66.81</c:v>
                </c:pt>
                <c:pt idx="159">
                  <c:v>66.959999999999994</c:v>
                </c:pt>
                <c:pt idx="160">
                  <c:v>67.42</c:v>
                </c:pt>
                <c:pt idx="161">
                  <c:v>67.87</c:v>
                </c:pt>
                <c:pt idx="162">
                  <c:v>68.69</c:v>
                </c:pt>
                <c:pt idx="163">
                  <c:v>69.14</c:v>
                </c:pt>
                <c:pt idx="164">
                  <c:v>69.540000000000006</c:v>
                </c:pt>
                <c:pt idx="165">
                  <c:v>70.540000000000006</c:v>
                </c:pt>
                <c:pt idx="166">
                  <c:v>70.19</c:v>
                </c:pt>
                <c:pt idx="167">
                  <c:v>68.989999999999995</c:v>
                </c:pt>
                <c:pt idx="168">
                  <c:v>69.23</c:v>
                </c:pt>
                <c:pt idx="169">
                  <c:v>69.53</c:v>
                </c:pt>
                <c:pt idx="170">
                  <c:v>68.790000000000006</c:v>
                </c:pt>
                <c:pt idx="171">
                  <c:v>69</c:v>
                </c:pt>
                <c:pt idx="172">
                  <c:v>69.12</c:v>
                </c:pt>
                <c:pt idx="173">
                  <c:v>69.599999999999994</c:v>
                </c:pt>
                <c:pt idx="174">
                  <c:v>69.55</c:v>
                </c:pt>
                <c:pt idx="175">
                  <c:v>69.849999999999994</c:v>
                </c:pt>
                <c:pt idx="176">
                  <c:v>69.790000000000006</c:v>
                </c:pt>
                <c:pt idx="177">
                  <c:v>69.56</c:v>
                </c:pt>
                <c:pt idx="178">
                  <c:v>69.91</c:v>
                </c:pt>
                <c:pt idx="179">
                  <c:v>69.91</c:v>
                </c:pt>
                <c:pt idx="180">
                  <c:v>69.760000000000005</c:v>
                </c:pt>
                <c:pt idx="181">
                  <c:v>70.31</c:v>
                </c:pt>
                <c:pt idx="182">
                  <c:v>70.13</c:v>
                </c:pt>
                <c:pt idx="183">
                  <c:v>70.88</c:v>
                </c:pt>
                <c:pt idx="184">
                  <c:v>70.78</c:v>
                </c:pt>
                <c:pt idx="185">
                  <c:v>70.81</c:v>
                </c:pt>
                <c:pt idx="186">
                  <c:v>70.89</c:v>
                </c:pt>
                <c:pt idx="187">
                  <c:v>70.790000000000006</c:v>
                </c:pt>
                <c:pt idx="188">
                  <c:v>70.760000000000005</c:v>
                </c:pt>
                <c:pt idx="189">
                  <c:v>71.09</c:v>
                </c:pt>
                <c:pt idx="190">
                  <c:v>71.040000000000006</c:v>
                </c:pt>
                <c:pt idx="191">
                  <c:v>70.34</c:v>
                </c:pt>
                <c:pt idx="192">
                  <c:v>69.69</c:v>
                </c:pt>
                <c:pt idx="193">
                  <c:v>69.709999999999994</c:v>
                </c:pt>
                <c:pt idx="194">
                  <c:v>68.400000000000006</c:v>
                </c:pt>
                <c:pt idx="195">
                  <c:v>67.03</c:v>
                </c:pt>
                <c:pt idx="196">
                  <c:v>67.209999999999994</c:v>
                </c:pt>
                <c:pt idx="197">
                  <c:v>68.8</c:v>
                </c:pt>
                <c:pt idx="198">
                  <c:v>68.099999999999994</c:v>
                </c:pt>
                <c:pt idx="199">
                  <c:v>66.849999999999994</c:v>
                </c:pt>
                <c:pt idx="200">
                  <c:v>67.19</c:v>
                </c:pt>
                <c:pt idx="201">
                  <c:v>68.599999999999994</c:v>
                </c:pt>
                <c:pt idx="202">
                  <c:v>68.81</c:v>
                </c:pt>
                <c:pt idx="203">
                  <c:v>68</c:v>
                </c:pt>
                <c:pt idx="204">
                  <c:v>68.489999999999995</c:v>
                </c:pt>
                <c:pt idx="205">
                  <c:v>68.64</c:v>
                </c:pt>
                <c:pt idx="206">
                  <c:v>67.180000000000007</c:v>
                </c:pt>
                <c:pt idx="207">
                  <c:v>68.22</c:v>
                </c:pt>
                <c:pt idx="208">
                  <c:v>67.5</c:v>
                </c:pt>
                <c:pt idx="209">
                  <c:v>68.14</c:v>
                </c:pt>
                <c:pt idx="210">
                  <c:v>69.900000000000006</c:v>
                </c:pt>
                <c:pt idx="211">
                  <c:v>69.489999999999995</c:v>
                </c:pt>
                <c:pt idx="212">
                  <c:v>69.95</c:v>
                </c:pt>
                <c:pt idx="213">
                  <c:v>70.73</c:v>
                </c:pt>
                <c:pt idx="214">
                  <c:v>70.599999999999994</c:v>
                </c:pt>
                <c:pt idx="215">
                  <c:v>70.319999999999993</c:v>
                </c:pt>
                <c:pt idx="216">
                  <c:v>69.73</c:v>
                </c:pt>
                <c:pt idx="217">
                  <c:v>69.260000000000005</c:v>
                </c:pt>
                <c:pt idx="218">
                  <c:v>69.19</c:v>
                </c:pt>
                <c:pt idx="219">
                  <c:v>69.55</c:v>
                </c:pt>
                <c:pt idx="220">
                  <c:v>69.75</c:v>
                </c:pt>
                <c:pt idx="221">
                  <c:v>69.48</c:v>
                </c:pt>
                <c:pt idx="222">
                  <c:v>69.38</c:v>
                </c:pt>
                <c:pt idx="223">
                  <c:v>69.709999999999994</c:v>
                </c:pt>
                <c:pt idx="224">
                  <c:v>68.78</c:v>
                </c:pt>
                <c:pt idx="225">
                  <c:v>68.569999999999993</c:v>
                </c:pt>
                <c:pt idx="226">
                  <c:v>69.319999999999993</c:v>
                </c:pt>
                <c:pt idx="227">
                  <c:v>69.37</c:v>
                </c:pt>
                <c:pt idx="228">
                  <c:v>68.62</c:v>
                </c:pt>
                <c:pt idx="229">
                  <c:v>68.45</c:v>
                </c:pt>
                <c:pt idx="230">
                  <c:v>68.459999999999994</c:v>
                </c:pt>
                <c:pt idx="231">
                  <c:v>67.849999999999994</c:v>
                </c:pt>
                <c:pt idx="232">
                  <c:v>67.48</c:v>
                </c:pt>
                <c:pt idx="233">
                  <c:v>67.19</c:v>
                </c:pt>
                <c:pt idx="234">
                  <c:v>66.88</c:v>
                </c:pt>
                <c:pt idx="235">
                  <c:v>67</c:v>
                </c:pt>
                <c:pt idx="236">
                  <c:v>66.650000000000006</c:v>
                </c:pt>
                <c:pt idx="237">
                  <c:v>66.760000000000005</c:v>
                </c:pt>
                <c:pt idx="238">
                  <c:v>66.17</c:v>
                </c:pt>
                <c:pt idx="239">
                  <c:v>66.2</c:v>
                </c:pt>
                <c:pt idx="240">
                  <c:v>66.23</c:v>
                </c:pt>
                <c:pt idx="241">
                  <c:v>65.86</c:v>
                </c:pt>
                <c:pt idx="242">
                  <c:v>67.25</c:v>
                </c:pt>
                <c:pt idx="243">
                  <c:v>66.02</c:v>
                </c:pt>
                <c:pt idx="244">
                  <c:v>66.040000000000006</c:v>
                </c:pt>
                <c:pt idx="245">
                  <c:v>67.94</c:v>
                </c:pt>
                <c:pt idx="246">
                  <c:v>67.2</c:v>
                </c:pt>
                <c:pt idx="247">
                  <c:v>65.7</c:v>
                </c:pt>
                <c:pt idx="248">
                  <c:v>65.099999999999994</c:v>
                </c:pt>
                <c:pt idx="249">
                  <c:v>65.150000000000006</c:v>
                </c:pt>
                <c:pt idx="250">
                  <c:v>64.08</c:v>
                </c:pt>
                <c:pt idx="251">
                  <c:v>64.400000000000006</c:v>
                </c:pt>
                <c:pt idx="252">
                  <c:v>64.510000000000005</c:v>
                </c:pt>
                <c:pt idx="253">
                  <c:v>64.91</c:v>
                </c:pt>
                <c:pt idx="254">
                  <c:v>64.349999999999994</c:v>
                </c:pt>
                <c:pt idx="255">
                  <c:v>64</c:v>
                </c:pt>
                <c:pt idx="256">
                  <c:v>64.03</c:v>
                </c:pt>
                <c:pt idx="257">
                  <c:v>64.599999999999994</c:v>
                </c:pt>
                <c:pt idx="258">
                  <c:v>64.37</c:v>
                </c:pt>
                <c:pt idx="259">
                  <c:v>63.5</c:v>
                </c:pt>
                <c:pt idx="260">
                  <c:v>63.43</c:v>
                </c:pt>
                <c:pt idx="261">
                  <c:v>64.09</c:v>
                </c:pt>
                <c:pt idx="262">
                  <c:v>63.56</c:v>
                </c:pt>
                <c:pt idx="263">
                  <c:v>63.14</c:v>
                </c:pt>
                <c:pt idx="264">
                  <c:v>64.28</c:v>
                </c:pt>
                <c:pt idx="265">
                  <c:v>65.680000000000007</c:v>
                </c:pt>
                <c:pt idx="266">
                  <c:v>65.25</c:v>
                </c:pt>
                <c:pt idx="267">
                  <c:v>65.239999999999995</c:v>
                </c:pt>
                <c:pt idx="268">
                  <c:v>65.22</c:v>
                </c:pt>
                <c:pt idx="269">
                  <c:v>65.52</c:v>
                </c:pt>
                <c:pt idx="270">
                  <c:v>65.58</c:v>
                </c:pt>
                <c:pt idx="271">
                  <c:v>64.67</c:v>
                </c:pt>
                <c:pt idx="272">
                  <c:v>64.5</c:v>
                </c:pt>
                <c:pt idx="273">
                  <c:v>64.099999999999994</c:v>
                </c:pt>
                <c:pt idx="274">
                  <c:v>64.12</c:v>
                </c:pt>
                <c:pt idx="275">
                  <c:v>63.57</c:v>
                </c:pt>
                <c:pt idx="276">
                  <c:v>63.67</c:v>
                </c:pt>
                <c:pt idx="277">
                  <c:v>63.52</c:v>
                </c:pt>
                <c:pt idx="278">
                  <c:v>63.06</c:v>
                </c:pt>
                <c:pt idx="279">
                  <c:v>63.01</c:v>
                </c:pt>
                <c:pt idx="280">
                  <c:v>63.49</c:v>
                </c:pt>
                <c:pt idx="281">
                  <c:v>63.52</c:v>
                </c:pt>
                <c:pt idx="282">
                  <c:v>64.62</c:v>
                </c:pt>
                <c:pt idx="283">
                  <c:v>64.2</c:v>
                </c:pt>
                <c:pt idx="284">
                  <c:v>65.260000000000005</c:v>
                </c:pt>
                <c:pt idx="285">
                  <c:v>64.34</c:v>
                </c:pt>
                <c:pt idx="286">
                  <c:v>64</c:v>
                </c:pt>
                <c:pt idx="287">
                  <c:v>63.52</c:v>
                </c:pt>
                <c:pt idx="288">
                  <c:v>63.47</c:v>
                </c:pt>
                <c:pt idx="289">
                  <c:v>64.459999999999994</c:v>
                </c:pt>
                <c:pt idx="290">
                  <c:v>63.98</c:v>
                </c:pt>
                <c:pt idx="291">
                  <c:v>63.63</c:v>
                </c:pt>
                <c:pt idx="292">
                  <c:v>63.24</c:v>
                </c:pt>
                <c:pt idx="293">
                  <c:v>63.44</c:v>
                </c:pt>
                <c:pt idx="294">
                  <c:v>63.35</c:v>
                </c:pt>
                <c:pt idx="295">
                  <c:v>64.25</c:v>
                </c:pt>
                <c:pt idx="296">
                  <c:v>64.150000000000006</c:v>
                </c:pt>
                <c:pt idx="297">
                  <c:v>63.58</c:v>
                </c:pt>
                <c:pt idx="298">
                  <c:v>63</c:v>
                </c:pt>
                <c:pt idx="299">
                  <c:v>61.8</c:v>
                </c:pt>
                <c:pt idx="300">
                  <c:v>63.11</c:v>
                </c:pt>
                <c:pt idx="301">
                  <c:v>62.65</c:v>
                </c:pt>
                <c:pt idx="302">
                  <c:v>61.84</c:v>
                </c:pt>
                <c:pt idx="303">
                  <c:v>62.14</c:v>
                </c:pt>
                <c:pt idx="304">
                  <c:v>62.04</c:v>
                </c:pt>
                <c:pt idx="305">
                  <c:v>62.11</c:v>
                </c:pt>
                <c:pt idx="306">
                  <c:v>62.6</c:v>
                </c:pt>
                <c:pt idx="307">
                  <c:v>62.23</c:v>
                </c:pt>
                <c:pt idx="308">
                  <c:v>62.04</c:v>
                </c:pt>
                <c:pt idx="309">
                  <c:v>62.76</c:v>
                </c:pt>
                <c:pt idx="310">
                  <c:v>62.57</c:v>
                </c:pt>
                <c:pt idx="311">
                  <c:v>62.12</c:v>
                </c:pt>
                <c:pt idx="312">
                  <c:v>62.12</c:v>
                </c:pt>
                <c:pt idx="313">
                  <c:v>61.81</c:v>
                </c:pt>
                <c:pt idx="314">
                  <c:v>61.62</c:v>
                </c:pt>
                <c:pt idx="315">
                  <c:v>61.67</c:v>
                </c:pt>
                <c:pt idx="316">
                  <c:v>61.3</c:v>
                </c:pt>
                <c:pt idx="317">
                  <c:v>62.6</c:v>
                </c:pt>
                <c:pt idx="318">
                  <c:v>61.89</c:v>
                </c:pt>
                <c:pt idx="319">
                  <c:v>61.81</c:v>
                </c:pt>
                <c:pt idx="320">
                  <c:v>62.57</c:v>
                </c:pt>
                <c:pt idx="321">
                  <c:v>62.77</c:v>
                </c:pt>
                <c:pt idx="322">
                  <c:v>64.13</c:v>
                </c:pt>
                <c:pt idx="323">
                  <c:v>64.739999999999995</c:v>
                </c:pt>
                <c:pt idx="324">
                  <c:v>65.180000000000007</c:v>
                </c:pt>
                <c:pt idx="325">
                  <c:v>65.48</c:v>
                </c:pt>
                <c:pt idx="326">
                  <c:v>65.95</c:v>
                </c:pt>
                <c:pt idx="327">
                  <c:v>65.56</c:v>
                </c:pt>
                <c:pt idx="328">
                  <c:v>65.709999999999994</c:v>
                </c:pt>
                <c:pt idx="329">
                  <c:v>66.3</c:v>
                </c:pt>
                <c:pt idx="330">
                  <c:v>67.38</c:v>
                </c:pt>
                <c:pt idx="331">
                  <c:v>66.64</c:v>
                </c:pt>
                <c:pt idx="332">
                  <c:v>66.41</c:v>
                </c:pt>
                <c:pt idx="333">
                  <c:v>66.56</c:v>
                </c:pt>
                <c:pt idx="334">
                  <c:v>67.27</c:v>
                </c:pt>
                <c:pt idx="335">
                  <c:v>69.14</c:v>
                </c:pt>
                <c:pt idx="336">
                  <c:v>69.069999999999993</c:v>
                </c:pt>
                <c:pt idx="337">
                  <c:v>68.150000000000006</c:v>
                </c:pt>
                <c:pt idx="338">
                  <c:v>68.38</c:v>
                </c:pt>
                <c:pt idx="339">
                  <c:v>69.87</c:v>
                </c:pt>
                <c:pt idx="340">
                  <c:v>69.97</c:v>
                </c:pt>
                <c:pt idx="341">
                  <c:v>70.319999999999993</c:v>
                </c:pt>
                <c:pt idx="342">
                  <c:v>70.36</c:v>
                </c:pt>
                <c:pt idx="343">
                  <c:v>70.709999999999994</c:v>
                </c:pt>
                <c:pt idx="344">
                  <c:v>71.2</c:v>
                </c:pt>
                <c:pt idx="345">
                  <c:v>71.09</c:v>
                </c:pt>
                <c:pt idx="346">
                  <c:v>70.22</c:v>
                </c:pt>
                <c:pt idx="347">
                  <c:v>70.16</c:v>
                </c:pt>
                <c:pt idx="348">
                  <c:v>70.489999999999995</c:v>
                </c:pt>
                <c:pt idx="349">
                  <c:v>69.510000000000005</c:v>
                </c:pt>
                <c:pt idx="350">
                  <c:v>69.069999999999993</c:v>
                </c:pt>
                <c:pt idx="351">
                  <c:v>70.02</c:v>
                </c:pt>
                <c:pt idx="352">
                  <c:v>69.81</c:v>
                </c:pt>
                <c:pt idx="353">
                  <c:v>69.900000000000006</c:v>
                </c:pt>
                <c:pt idx="354">
                  <c:v>70.63</c:v>
                </c:pt>
                <c:pt idx="355">
                  <c:v>70.11</c:v>
                </c:pt>
                <c:pt idx="356">
                  <c:v>70.11</c:v>
                </c:pt>
                <c:pt idx="357">
                  <c:v>69.150000000000006</c:v>
                </c:pt>
                <c:pt idx="358">
                  <c:v>69.23</c:v>
                </c:pt>
                <c:pt idx="359">
                  <c:v>68.62</c:v>
                </c:pt>
                <c:pt idx="360">
                  <c:v>68.400000000000006</c:v>
                </c:pt>
                <c:pt idx="361">
                  <c:v>68.22</c:v>
                </c:pt>
                <c:pt idx="362">
                  <c:v>68.45</c:v>
                </c:pt>
                <c:pt idx="363">
                  <c:v>68.06</c:v>
                </c:pt>
                <c:pt idx="364">
                  <c:v>68.5</c:v>
                </c:pt>
                <c:pt idx="365">
                  <c:v>70.09</c:v>
                </c:pt>
                <c:pt idx="366">
                  <c:v>70.05</c:v>
                </c:pt>
                <c:pt idx="367">
                  <c:v>70.38</c:v>
                </c:pt>
                <c:pt idx="368">
                  <c:v>71.209999999999994</c:v>
                </c:pt>
                <c:pt idx="369">
                  <c:v>71.180000000000007</c:v>
                </c:pt>
                <c:pt idx="370">
                  <c:v>71.34</c:v>
                </c:pt>
                <c:pt idx="371">
                  <c:v>71.900000000000006</c:v>
                </c:pt>
                <c:pt idx="372">
                  <c:v>71.91</c:v>
                </c:pt>
                <c:pt idx="373">
                  <c:v>72.19</c:v>
                </c:pt>
                <c:pt idx="374">
                  <c:v>72.150000000000006</c:v>
                </c:pt>
                <c:pt idx="375">
                  <c:v>73.930000000000007</c:v>
                </c:pt>
                <c:pt idx="376">
                  <c:v>74.36</c:v>
                </c:pt>
                <c:pt idx="377">
                  <c:v>74</c:v>
                </c:pt>
                <c:pt idx="378">
                  <c:v>74.91</c:v>
                </c:pt>
                <c:pt idx="379">
                  <c:v>75.16</c:v>
                </c:pt>
                <c:pt idx="380">
                  <c:v>74.23</c:v>
                </c:pt>
                <c:pt idx="381">
                  <c:v>74.36</c:v>
                </c:pt>
                <c:pt idx="382">
                  <c:v>74.069999999999993</c:v>
                </c:pt>
                <c:pt idx="383">
                  <c:v>74.94</c:v>
                </c:pt>
                <c:pt idx="384">
                  <c:v>74.5</c:v>
                </c:pt>
                <c:pt idx="385">
                  <c:v>74.91</c:v>
                </c:pt>
                <c:pt idx="386">
                  <c:v>75.08</c:v>
                </c:pt>
                <c:pt idx="387">
                  <c:v>75.5</c:v>
                </c:pt>
                <c:pt idx="388">
                  <c:v>75.64</c:v>
                </c:pt>
                <c:pt idx="389">
                  <c:v>75.69</c:v>
                </c:pt>
                <c:pt idx="390">
                  <c:v>76.11</c:v>
                </c:pt>
                <c:pt idx="391">
                  <c:v>75.510000000000005</c:v>
                </c:pt>
                <c:pt idx="392">
                  <c:v>75.8</c:v>
                </c:pt>
                <c:pt idx="393">
                  <c:v>76.05</c:v>
                </c:pt>
                <c:pt idx="394">
                  <c:v>75.459999999999994</c:v>
                </c:pt>
                <c:pt idx="395">
                  <c:v>75.41</c:v>
                </c:pt>
                <c:pt idx="396">
                  <c:v>74.83</c:v>
                </c:pt>
                <c:pt idx="397">
                  <c:v>75.19</c:v>
                </c:pt>
                <c:pt idx="398">
                  <c:v>75.78</c:v>
                </c:pt>
                <c:pt idx="399">
                  <c:v>75.84</c:v>
                </c:pt>
                <c:pt idx="400">
                  <c:v>76.11</c:v>
                </c:pt>
                <c:pt idx="401">
                  <c:v>75.959999999999994</c:v>
                </c:pt>
                <c:pt idx="402">
                  <c:v>76.06</c:v>
                </c:pt>
                <c:pt idx="403">
                  <c:v>76.33</c:v>
                </c:pt>
                <c:pt idx="404">
                  <c:v>76.63</c:v>
                </c:pt>
                <c:pt idx="405">
                  <c:v>77.099999999999994</c:v>
                </c:pt>
                <c:pt idx="406">
                  <c:v>76.790000000000006</c:v>
                </c:pt>
                <c:pt idx="407">
                  <c:v>76.14</c:v>
                </c:pt>
                <c:pt idx="408">
                  <c:v>77.099999999999994</c:v>
                </c:pt>
                <c:pt idx="409">
                  <c:v>78.33</c:v>
                </c:pt>
                <c:pt idx="410">
                  <c:v>78.5</c:v>
                </c:pt>
                <c:pt idx="411">
                  <c:v>78.44</c:v>
                </c:pt>
                <c:pt idx="412">
                  <c:v>78.680000000000007</c:v>
                </c:pt>
                <c:pt idx="413">
                  <c:v>78.48</c:v>
                </c:pt>
                <c:pt idx="414">
                  <c:v>79.349999999999994</c:v>
                </c:pt>
                <c:pt idx="415">
                  <c:v>80.08</c:v>
                </c:pt>
                <c:pt idx="416">
                  <c:v>80.44</c:v>
                </c:pt>
                <c:pt idx="417">
                  <c:v>80.33</c:v>
                </c:pt>
                <c:pt idx="418">
                  <c:v>79.16</c:v>
                </c:pt>
                <c:pt idx="419">
                  <c:v>79.45</c:v>
                </c:pt>
                <c:pt idx="420">
                  <c:v>80.25</c:v>
                </c:pt>
                <c:pt idx="421">
                  <c:v>81.34</c:v>
                </c:pt>
                <c:pt idx="422">
                  <c:v>81.02</c:v>
                </c:pt>
                <c:pt idx="423">
                  <c:v>82.33</c:v>
                </c:pt>
                <c:pt idx="424">
                  <c:v>83.95</c:v>
                </c:pt>
                <c:pt idx="425">
                  <c:v>84.44</c:v>
                </c:pt>
                <c:pt idx="426">
                  <c:v>86.5</c:v>
                </c:pt>
                <c:pt idx="427">
                  <c:v>86.49</c:v>
                </c:pt>
                <c:pt idx="428">
                  <c:v>85.33</c:v>
                </c:pt>
                <c:pt idx="429">
                  <c:v>85.66</c:v>
                </c:pt>
                <c:pt idx="430">
                  <c:v>85.74</c:v>
                </c:pt>
                <c:pt idx="431">
                  <c:v>86.15</c:v>
                </c:pt>
                <c:pt idx="432">
                  <c:v>85.94</c:v>
                </c:pt>
                <c:pt idx="433">
                  <c:v>86.6</c:v>
                </c:pt>
                <c:pt idx="434">
                  <c:v>86.93</c:v>
                </c:pt>
                <c:pt idx="435">
                  <c:v>87.21</c:v>
                </c:pt>
                <c:pt idx="436">
                  <c:v>87.36</c:v>
                </c:pt>
                <c:pt idx="437">
                  <c:v>87.32</c:v>
                </c:pt>
                <c:pt idx="438">
                  <c:v>88.98</c:v>
                </c:pt>
                <c:pt idx="439">
                  <c:v>88.91</c:v>
                </c:pt>
                <c:pt idx="440">
                  <c:v>88.5</c:v>
                </c:pt>
                <c:pt idx="441">
                  <c:v>88.8</c:v>
                </c:pt>
                <c:pt idx="442">
                  <c:v>88.77</c:v>
                </c:pt>
                <c:pt idx="443">
                  <c:v>88.65</c:v>
                </c:pt>
                <c:pt idx="444">
                  <c:v>88.03</c:v>
                </c:pt>
                <c:pt idx="445">
                  <c:v>88.8</c:v>
                </c:pt>
                <c:pt idx="446">
                  <c:v>89</c:v>
                </c:pt>
                <c:pt idx="447">
                  <c:v>89.25</c:v>
                </c:pt>
                <c:pt idx="448">
                  <c:v>89.6</c:v>
                </c:pt>
                <c:pt idx="449">
                  <c:v>89.74</c:v>
                </c:pt>
                <c:pt idx="450">
                  <c:v>89.82</c:v>
                </c:pt>
                <c:pt idx="451">
                  <c:v>91.85</c:v>
                </c:pt>
                <c:pt idx="452">
                  <c:v>91.18</c:v>
                </c:pt>
                <c:pt idx="453">
                  <c:v>90.78</c:v>
                </c:pt>
                <c:pt idx="454">
                  <c:v>88.1</c:v>
                </c:pt>
                <c:pt idx="455">
                  <c:v>87.57</c:v>
                </c:pt>
                <c:pt idx="456">
                  <c:v>87.85</c:v>
                </c:pt>
                <c:pt idx="457">
                  <c:v>87.03</c:v>
                </c:pt>
                <c:pt idx="458">
                  <c:v>84.9</c:v>
                </c:pt>
                <c:pt idx="459">
                  <c:v>85.62</c:v>
                </c:pt>
                <c:pt idx="460">
                  <c:v>86.38</c:v>
                </c:pt>
                <c:pt idx="461">
                  <c:v>86.06</c:v>
                </c:pt>
                <c:pt idx="462">
                  <c:v>85.06</c:v>
                </c:pt>
                <c:pt idx="463">
                  <c:v>85.42</c:v>
                </c:pt>
                <c:pt idx="464">
                  <c:v>84.01</c:v>
                </c:pt>
                <c:pt idx="465">
                  <c:v>84.75</c:v>
                </c:pt>
                <c:pt idx="466">
                  <c:v>85.87</c:v>
                </c:pt>
                <c:pt idx="467">
                  <c:v>87.28</c:v>
                </c:pt>
                <c:pt idx="468">
                  <c:v>86.2</c:v>
                </c:pt>
                <c:pt idx="469">
                  <c:v>87.86</c:v>
                </c:pt>
                <c:pt idx="470">
                  <c:v>89.56</c:v>
                </c:pt>
                <c:pt idx="471">
                  <c:v>90.58</c:v>
                </c:pt>
                <c:pt idx="472">
                  <c:v>90.83</c:v>
                </c:pt>
                <c:pt idx="473">
                  <c:v>89.51</c:v>
                </c:pt>
                <c:pt idx="474">
                  <c:v>90.5</c:v>
                </c:pt>
                <c:pt idx="475">
                  <c:v>92</c:v>
                </c:pt>
                <c:pt idx="476">
                  <c:v>91.07</c:v>
                </c:pt>
                <c:pt idx="477">
                  <c:v>92</c:v>
                </c:pt>
                <c:pt idx="478">
                  <c:v>93.12</c:v>
                </c:pt>
                <c:pt idx="479">
                  <c:v>91.61</c:v>
                </c:pt>
                <c:pt idx="480">
                  <c:v>91.6</c:v>
                </c:pt>
                <c:pt idx="481">
                  <c:v>93.37</c:v>
                </c:pt>
                <c:pt idx="482">
                  <c:v>94.11</c:v>
                </c:pt>
                <c:pt idx="483">
                  <c:v>95.28</c:v>
                </c:pt>
                <c:pt idx="484">
                  <c:v>94.58</c:v>
                </c:pt>
                <c:pt idx="485">
                  <c:v>92.88</c:v>
                </c:pt>
                <c:pt idx="486">
                  <c:v>93.04</c:v>
                </c:pt>
                <c:pt idx="487">
                  <c:v>93.2</c:v>
                </c:pt>
                <c:pt idx="488">
                  <c:v>93.28</c:v>
                </c:pt>
                <c:pt idx="489">
                  <c:v>94.88</c:v>
                </c:pt>
                <c:pt idx="490">
                  <c:v>93.9</c:v>
                </c:pt>
                <c:pt idx="491">
                  <c:v>95.66</c:v>
                </c:pt>
                <c:pt idx="492">
                  <c:v>95.37</c:v>
                </c:pt>
                <c:pt idx="493">
                  <c:v>96.31</c:v>
                </c:pt>
                <c:pt idx="494">
                  <c:v>96.94</c:v>
                </c:pt>
                <c:pt idx="495">
                  <c:v>97.59</c:v>
                </c:pt>
                <c:pt idx="496">
                  <c:v>98.42</c:v>
                </c:pt>
                <c:pt idx="497">
                  <c:v>98.29</c:v>
                </c:pt>
                <c:pt idx="498">
                  <c:v>98.3</c:v>
                </c:pt>
                <c:pt idx="499">
                  <c:v>98.69</c:v>
                </c:pt>
                <c:pt idx="500">
                  <c:v>96.8</c:v>
                </c:pt>
                <c:pt idx="501">
                  <c:v>98.25</c:v>
                </c:pt>
                <c:pt idx="502">
                  <c:v>98</c:v>
                </c:pt>
                <c:pt idx="503">
                  <c:v>95.44</c:v>
                </c:pt>
                <c:pt idx="504">
                  <c:v>97.56</c:v>
                </c:pt>
                <c:pt idx="505">
                  <c:v>96.41</c:v>
                </c:pt>
                <c:pt idx="506">
                  <c:v>97.2</c:v>
                </c:pt>
                <c:pt idx="507">
                  <c:v>96.66</c:v>
                </c:pt>
                <c:pt idx="508">
                  <c:v>97.7</c:v>
                </c:pt>
                <c:pt idx="509">
                  <c:v>96.57</c:v>
                </c:pt>
                <c:pt idx="510">
                  <c:v>95.53</c:v>
                </c:pt>
                <c:pt idx="511">
                  <c:v>97.65</c:v>
                </c:pt>
                <c:pt idx="512">
                  <c:v>97.52</c:v>
                </c:pt>
                <c:pt idx="513">
                  <c:v>98.33</c:v>
                </c:pt>
                <c:pt idx="514">
                  <c:v>97.7</c:v>
                </c:pt>
                <c:pt idx="515">
                  <c:v>97.15</c:v>
                </c:pt>
                <c:pt idx="516">
                  <c:v>98.63</c:v>
                </c:pt>
                <c:pt idx="517">
                  <c:v>98.75</c:v>
                </c:pt>
                <c:pt idx="518">
                  <c:v>99.02</c:v>
                </c:pt>
                <c:pt idx="519">
                  <c:v>101</c:v>
                </c:pt>
                <c:pt idx="520">
                  <c:v>102.37</c:v>
                </c:pt>
                <c:pt idx="521">
                  <c:v>102.96</c:v>
                </c:pt>
                <c:pt idx="522">
                  <c:v>103.41</c:v>
                </c:pt>
                <c:pt idx="523">
                  <c:v>103.14</c:v>
                </c:pt>
                <c:pt idx="524">
                  <c:v>103.14</c:v>
                </c:pt>
                <c:pt idx="525">
                  <c:v>103.46</c:v>
                </c:pt>
                <c:pt idx="526">
                  <c:v>103.48</c:v>
                </c:pt>
                <c:pt idx="527">
                  <c:v>103.6</c:v>
                </c:pt>
                <c:pt idx="528">
                  <c:v>104.44</c:v>
                </c:pt>
                <c:pt idx="529">
                  <c:v>103.65</c:v>
                </c:pt>
                <c:pt idx="530">
                  <c:v>103.35</c:v>
                </c:pt>
                <c:pt idx="531">
                  <c:v>102.51</c:v>
                </c:pt>
                <c:pt idx="532">
                  <c:v>102</c:v>
                </c:pt>
                <c:pt idx="533">
                  <c:v>103.34</c:v>
                </c:pt>
                <c:pt idx="534">
                  <c:v>101.12</c:v>
                </c:pt>
                <c:pt idx="535">
                  <c:v>101.41</c:v>
                </c:pt>
                <c:pt idx="536">
                  <c:v>101.02</c:v>
                </c:pt>
                <c:pt idx="537">
                  <c:v>101.09</c:v>
                </c:pt>
                <c:pt idx="538">
                  <c:v>100.25</c:v>
                </c:pt>
                <c:pt idx="539">
                  <c:v>99</c:v>
                </c:pt>
                <c:pt idx="540">
                  <c:v>98</c:v>
                </c:pt>
                <c:pt idx="541">
                  <c:v>96.57</c:v>
                </c:pt>
                <c:pt idx="542">
                  <c:v>95.73</c:v>
                </c:pt>
                <c:pt idx="543">
                  <c:v>93.12</c:v>
                </c:pt>
                <c:pt idx="544">
                  <c:v>92</c:v>
                </c:pt>
                <c:pt idx="545">
                  <c:v>92.46</c:v>
                </c:pt>
                <c:pt idx="546">
                  <c:v>94.17</c:v>
                </c:pt>
                <c:pt idx="547">
                  <c:v>96.36</c:v>
                </c:pt>
                <c:pt idx="548">
                  <c:v>98.1</c:v>
                </c:pt>
                <c:pt idx="549">
                  <c:v>97.43</c:v>
                </c:pt>
                <c:pt idx="550">
                  <c:v>98.67</c:v>
                </c:pt>
                <c:pt idx="551">
                  <c:v>97.75</c:v>
                </c:pt>
                <c:pt idx="552">
                  <c:v>100.77</c:v>
                </c:pt>
                <c:pt idx="553">
                  <c:v>101.25</c:v>
                </c:pt>
                <c:pt idx="554">
                  <c:v>100.8</c:v>
                </c:pt>
                <c:pt idx="555">
                  <c:v>100.86</c:v>
                </c:pt>
                <c:pt idx="556">
                  <c:v>101.64</c:v>
                </c:pt>
                <c:pt idx="557">
                  <c:v>100.86</c:v>
                </c:pt>
                <c:pt idx="558">
                  <c:v>100.99</c:v>
                </c:pt>
                <c:pt idx="559">
                  <c:v>101.04</c:v>
                </c:pt>
                <c:pt idx="560">
                  <c:v>101.05</c:v>
                </c:pt>
                <c:pt idx="561">
                  <c:v>99.4</c:v>
                </c:pt>
                <c:pt idx="562">
                  <c:v>99.01</c:v>
                </c:pt>
                <c:pt idx="563">
                  <c:v>99.11</c:v>
                </c:pt>
                <c:pt idx="564">
                  <c:v>97.5</c:v>
                </c:pt>
                <c:pt idx="565">
                  <c:v>97.67</c:v>
                </c:pt>
                <c:pt idx="566">
                  <c:v>95.12</c:v>
                </c:pt>
                <c:pt idx="567">
                  <c:v>99.57</c:v>
                </c:pt>
                <c:pt idx="568">
                  <c:v>99.92</c:v>
                </c:pt>
                <c:pt idx="569">
                  <c:v>98.84</c:v>
                </c:pt>
                <c:pt idx="570">
                  <c:v>98.13</c:v>
                </c:pt>
                <c:pt idx="571">
                  <c:v>99.58</c:v>
                </c:pt>
                <c:pt idx="572">
                  <c:v>101.01</c:v>
                </c:pt>
                <c:pt idx="573">
                  <c:v>105.41</c:v>
                </c:pt>
                <c:pt idx="574">
                  <c:v>110.5</c:v>
                </c:pt>
                <c:pt idx="575">
                  <c:v>113.01</c:v>
                </c:pt>
                <c:pt idx="576">
                  <c:v>111.54</c:v>
                </c:pt>
                <c:pt idx="577">
                  <c:v>115.1</c:v>
                </c:pt>
                <c:pt idx="578">
                  <c:v>113.64</c:v>
                </c:pt>
                <c:pt idx="579">
                  <c:v>114.59</c:v>
                </c:pt>
                <c:pt idx="580">
                  <c:v>112.78</c:v>
                </c:pt>
                <c:pt idx="581">
                  <c:v>114</c:v>
                </c:pt>
                <c:pt idx="582">
                  <c:v>113</c:v>
                </c:pt>
                <c:pt idx="583">
                  <c:v>111.22</c:v>
                </c:pt>
                <c:pt idx="584">
                  <c:v>110.5</c:v>
                </c:pt>
                <c:pt idx="585">
                  <c:v>110.11</c:v>
                </c:pt>
                <c:pt idx="586">
                  <c:v>110.39</c:v>
                </c:pt>
                <c:pt idx="587">
                  <c:v>110.03</c:v>
                </c:pt>
                <c:pt idx="588">
                  <c:v>109.28</c:v>
                </c:pt>
                <c:pt idx="589">
                  <c:v>110.96</c:v>
                </c:pt>
                <c:pt idx="590">
                  <c:v>110.67</c:v>
                </c:pt>
                <c:pt idx="591">
                  <c:v>111.26</c:v>
                </c:pt>
                <c:pt idx="592">
                  <c:v>112.01</c:v>
                </c:pt>
                <c:pt idx="593">
                  <c:v>110.79</c:v>
                </c:pt>
                <c:pt idx="594">
                  <c:v>111.99</c:v>
                </c:pt>
                <c:pt idx="595">
                  <c:v>114.54</c:v>
                </c:pt>
                <c:pt idx="596">
                  <c:v>115.33</c:v>
                </c:pt>
                <c:pt idx="597">
                  <c:v>117</c:v>
                </c:pt>
                <c:pt idx="598">
                  <c:v>117.59</c:v>
                </c:pt>
                <c:pt idx="599">
                  <c:v>118.74</c:v>
                </c:pt>
                <c:pt idx="600">
                  <c:v>118.2</c:v>
                </c:pt>
                <c:pt idx="601">
                  <c:v>115.71</c:v>
                </c:pt>
                <c:pt idx="602">
                  <c:v>115.27</c:v>
                </c:pt>
                <c:pt idx="603">
                  <c:v>115.23</c:v>
                </c:pt>
                <c:pt idx="604">
                  <c:v>118.56</c:v>
                </c:pt>
                <c:pt idx="605">
                  <c:v>117.05</c:v>
                </c:pt>
                <c:pt idx="606">
                  <c:v>116.68</c:v>
                </c:pt>
                <c:pt idx="607">
                  <c:v>116.31</c:v>
                </c:pt>
                <c:pt idx="608">
                  <c:v>117.17</c:v>
                </c:pt>
                <c:pt idx="609">
                  <c:v>116.11</c:v>
                </c:pt>
                <c:pt idx="610">
                  <c:v>118.83</c:v>
                </c:pt>
                <c:pt idx="611">
                  <c:v>118.19</c:v>
                </c:pt>
                <c:pt idx="612">
                  <c:v>117.57</c:v>
                </c:pt>
                <c:pt idx="613">
                  <c:v>116.41</c:v>
                </c:pt>
                <c:pt idx="614">
                  <c:v>114.12</c:v>
                </c:pt>
                <c:pt idx="615">
                  <c:v>113</c:v>
                </c:pt>
                <c:pt idx="616">
                  <c:v>111.7</c:v>
                </c:pt>
                <c:pt idx="617">
                  <c:v>111.12</c:v>
                </c:pt>
                <c:pt idx="618">
                  <c:v>115.85</c:v>
                </c:pt>
                <c:pt idx="619">
                  <c:v>115.12</c:v>
                </c:pt>
                <c:pt idx="620">
                  <c:v>111.08</c:v>
                </c:pt>
                <c:pt idx="621">
                  <c:v>113.92</c:v>
                </c:pt>
                <c:pt idx="622">
                  <c:v>114.2</c:v>
                </c:pt>
                <c:pt idx="623">
                  <c:v>115</c:v>
                </c:pt>
                <c:pt idx="624">
                  <c:v>112.56</c:v>
                </c:pt>
                <c:pt idx="625">
                  <c:v>110</c:v>
                </c:pt>
                <c:pt idx="626">
                  <c:v>109.55</c:v>
                </c:pt>
                <c:pt idx="627">
                  <c:v>111.71</c:v>
                </c:pt>
                <c:pt idx="628">
                  <c:v>113.71</c:v>
                </c:pt>
                <c:pt idx="629">
                  <c:v>113.88</c:v>
                </c:pt>
                <c:pt idx="630">
                  <c:v>115.27</c:v>
                </c:pt>
                <c:pt idx="631">
                  <c:v>116.28</c:v>
                </c:pt>
                <c:pt idx="632">
                  <c:v>116.01</c:v>
                </c:pt>
                <c:pt idx="633">
                  <c:v>117.08</c:v>
                </c:pt>
                <c:pt idx="634">
                  <c:v>113.41</c:v>
                </c:pt>
                <c:pt idx="635">
                  <c:v>115.51</c:v>
                </c:pt>
                <c:pt idx="636">
                  <c:v>117.65</c:v>
                </c:pt>
                <c:pt idx="637">
                  <c:v>116.77</c:v>
                </c:pt>
                <c:pt idx="638">
                  <c:v>115.12</c:v>
                </c:pt>
                <c:pt idx="639">
                  <c:v>114.64</c:v>
                </c:pt>
                <c:pt idx="640">
                  <c:v>114.19</c:v>
                </c:pt>
                <c:pt idx="641">
                  <c:v>113.68</c:v>
                </c:pt>
                <c:pt idx="642">
                  <c:v>112.43</c:v>
                </c:pt>
                <c:pt idx="643">
                  <c:v>112.52</c:v>
                </c:pt>
                <c:pt idx="644">
                  <c:v>112.1</c:v>
                </c:pt>
                <c:pt idx="645">
                  <c:v>111.09</c:v>
                </c:pt>
                <c:pt idx="646">
                  <c:v>110.16</c:v>
                </c:pt>
                <c:pt idx="647">
                  <c:v>111.36</c:v>
                </c:pt>
                <c:pt idx="648">
                  <c:v>111.38</c:v>
                </c:pt>
                <c:pt idx="649">
                  <c:v>111.88</c:v>
                </c:pt>
                <c:pt idx="650">
                  <c:v>112.75</c:v>
                </c:pt>
                <c:pt idx="651">
                  <c:v>114.78</c:v>
                </c:pt>
                <c:pt idx="652">
                  <c:v>114.72</c:v>
                </c:pt>
                <c:pt idx="653">
                  <c:v>113.97</c:v>
                </c:pt>
                <c:pt idx="654">
                  <c:v>115.53</c:v>
                </c:pt>
                <c:pt idx="655">
                  <c:v>116.06</c:v>
                </c:pt>
                <c:pt idx="656">
                  <c:v>116.83</c:v>
                </c:pt>
                <c:pt idx="657">
                  <c:v>118.56</c:v>
                </c:pt>
                <c:pt idx="658">
                  <c:v>115.6</c:v>
                </c:pt>
                <c:pt idx="659">
                  <c:v>118.2</c:v>
                </c:pt>
                <c:pt idx="660">
                  <c:v>118.99</c:v>
                </c:pt>
                <c:pt idx="661">
                  <c:v>118.64</c:v>
                </c:pt>
                <c:pt idx="662">
                  <c:v>116.79</c:v>
                </c:pt>
                <c:pt idx="663">
                  <c:v>121.23</c:v>
                </c:pt>
                <c:pt idx="664">
                  <c:v>120.67</c:v>
                </c:pt>
                <c:pt idx="665">
                  <c:v>119.52</c:v>
                </c:pt>
                <c:pt idx="666">
                  <c:v>118.6</c:v>
                </c:pt>
                <c:pt idx="667">
                  <c:v>118.25</c:v>
                </c:pt>
                <c:pt idx="668">
                  <c:v>118.22</c:v>
                </c:pt>
                <c:pt idx="669">
                  <c:v>118.62</c:v>
                </c:pt>
                <c:pt idx="670">
                  <c:v>119.32</c:v>
                </c:pt>
                <c:pt idx="671">
                  <c:v>118.97</c:v>
                </c:pt>
                <c:pt idx="672">
                  <c:v>120.37</c:v>
                </c:pt>
                <c:pt idx="673">
                  <c:v>117.97</c:v>
                </c:pt>
                <c:pt idx="674">
                  <c:v>119.67</c:v>
                </c:pt>
                <c:pt idx="675">
                  <c:v>115.57</c:v>
                </c:pt>
                <c:pt idx="676">
                  <c:v>116.36</c:v>
                </c:pt>
                <c:pt idx="677">
                  <c:v>116.01</c:v>
                </c:pt>
                <c:pt idx="678">
                  <c:v>117.98</c:v>
                </c:pt>
                <c:pt idx="679">
                  <c:v>116.41</c:v>
                </c:pt>
                <c:pt idx="680">
                  <c:v>115.77</c:v>
                </c:pt>
                <c:pt idx="681">
                  <c:v>115.04</c:v>
                </c:pt>
                <c:pt idx="682">
                  <c:v>116.21</c:v>
                </c:pt>
                <c:pt idx="683">
                  <c:v>118.17</c:v>
                </c:pt>
                <c:pt idx="684">
                  <c:v>118</c:v>
                </c:pt>
                <c:pt idx="685">
                  <c:v>119.95</c:v>
                </c:pt>
                <c:pt idx="686">
                  <c:v>122.02</c:v>
                </c:pt>
                <c:pt idx="687">
                  <c:v>124</c:v>
                </c:pt>
                <c:pt idx="688">
                  <c:v>122.78</c:v>
                </c:pt>
                <c:pt idx="689">
                  <c:v>122.94</c:v>
                </c:pt>
                <c:pt idx="690">
                  <c:v>123.56</c:v>
                </c:pt>
                <c:pt idx="691">
                  <c:v>121.79</c:v>
                </c:pt>
                <c:pt idx="692">
                  <c:v>119.78</c:v>
                </c:pt>
                <c:pt idx="693">
                  <c:v>118.72</c:v>
                </c:pt>
                <c:pt idx="694">
                  <c:v>116.66</c:v>
                </c:pt>
                <c:pt idx="695">
                  <c:v>116.71</c:v>
                </c:pt>
                <c:pt idx="696">
                  <c:v>116</c:v>
                </c:pt>
                <c:pt idx="697">
                  <c:v>116.15</c:v>
                </c:pt>
                <c:pt idx="698">
                  <c:v>117.38</c:v>
                </c:pt>
                <c:pt idx="699">
                  <c:v>116.67</c:v>
                </c:pt>
                <c:pt idx="700">
                  <c:v>116.2</c:v>
                </c:pt>
                <c:pt idx="701">
                  <c:v>115.62</c:v>
                </c:pt>
                <c:pt idx="702">
                  <c:v>114.76</c:v>
                </c:pt>
                <c:pt idx="703">
                  <c:v>117.46</c:v>
                </c:pt>
                <c:pt idx="704">
                  <c:v>117.63</c:v>
                </c:pt>
                <c:pt idx="705">
                  <c:v>115.67</c:v>
                </c:pt>
                <c:pt idx="706">
                  <c:v>114.5</c:v>
                </c:pt>
                <c:pt idx="707">
                  <c:v>112.34</c:v>
                </c:pt>
                <c:pt idx="708">
                  <c:v>113.53</c:v>
                </c:pt>
                <c:pt idx="709">
                  <c:v>114.09</c:v>
                </c:pt>
                <c:pt idx="710">
                  <c:v>113.08</c:v>
                </c:pt>
                <c:pt idx="711">
                  <c:v>111.05</c:v>
                </c:pt>
                <c:pt idx="712">
                  <c:v>111.93</c:v>
                </c:pt>
                <c:pt idx="713">
                  <c:v>111.75</c:v>
                </c:pt>
                <c:pt idx="714">
                  <c:v>112.96</c:v>
                </c:pt>
                <c:pt idx="715">
                  <c:v>112.63</c:v>
                </c:pt>
                <c:pt idx="716">
                  <c:v>111.32</c:v>
                </c:pt>
                <c:pt idx="717">
                  <c:v>111.35</c:v>
                </c:pt>
                <c:pt idx="718">
                  <c:v>109.97</c:v>
                </c:pt>
                <c:pt idx="719">
                  <c:v>112.52</c:v>
                </c:pt>
                <c:pt idx="720">
                  <c:v>112.17</c:v>
                </c:pt>
                <c:pt idx="721">
                  <c:v>111.27</c:v>
                </c:pt>
                <c:pt idx="722">
                  <c:v>106.14</c:v>
                </c:pt>
                <c:pt idx="723">
                  <c:v>108</c:v>
                </c:pt>
                <c:pt idx="724">
                  <c:v>107.89</c:v>
                </c:pt>
                <c:pt idx="725">
                  <c:v>107.91</c:v>
                </c:pt>
                <c:pt idx="726">
                  <c:v>110.2</c:v>
                </c:pt>
                <c:pt idx="727">
                  <c:v>110.09</c:v>
                </c:pt>
                <c:pt idx="728">
                  <c:v>110.9</c:v>
                </c:pt>
                <c:pt idx="729">
                  <c:v>110.34</c:v>
                </c:pt>
                <c:pt idx="730">
                  <c:v>108.8</c:v>
                </c:pt>
                <c:pt idx="731">
                  <c:v>109.01</c:v>
                </c:pt>
                <c:pt idx="732">
                  <c:v>111.09</c:v>
                </c:pt>
                <c:pt idx="733">
                  <c:v>111.08</c:v>
                </c:pt>
                <c:pt idx="734">
                  <c:v>111.35</c:v>
                </c:pt>
                <c:pt idx="735">
                  <c:v>113.53</c:v>
                </c:pt>
                <c:pt idx="736">
                  <c:v>112.17</c:v>
                </c:pt>
                <c:pt idx="737">
                  <c:v>113.86</c:v>
                </c:pt>
                <c:pt idx="738">
                  <c:v>112.76</c:v>
                </c:pt>
                <c:pt idx="739">
                  <c:v>112.16</c:v>
                </c:pt>
                <c:pt idx="740">
                  <c:v>111.95</c:v>
                </c:pt>
                <c:pt idx="741">
                  <c:v>110.88</c:v>
                </c:pt>
                <c:pt idx="742">
                  <c:v>112.49</c:v>
                </c:pt>
                <c:pt idx="743">
                  <c:v>112.85</c:v>
                </c:pt>
                <c:pt idx="744">
                  <c:v>114.18</c:v>
                </c:pt>
                <c:pt idx="745">
                  <c:v>114.97</c:v>
                </c:pt>
                <c:pt idx="746">
                  <c:v>112.23</c:v>
                </c:pt>
                <c:pt idx="747">
                  <c:v>109.93</c:v>
                </c:pt>
                <c:pt idx="748">
                  <c:v>108.28</c:v>
                </c:pt>
                <c:pt idx="749">
                  <c:v>110.3</c:v>
                </c:pt>
                <c:pt idx="750">
                  <c:v>109.1</c:v>
                </c:pt>
                <c:pt idx="751">
                  <c:v>110.8</c:v>
                </c:pt>
                <c:pt idx="752">
                  <c:v>111.3</c:v>
                </c:pt>
                <c:pt idx="753">
                  <c:v>113.73</c:v>
                </c:pt>
                <c:pt idx="754">
                  <c:v>114.89</c:v>
                </c:pt>
                <c:pt idx="755">
                  <c:v>117.13</c:v>
                </c:pt>
                <c:pt idx="756">
                  <c:v>116.73</c:v>
                </c:pt>
                <c:pt idx="757">
                  <c:v>117.78</c:v>
                </c:pt>
                <c:pt idx="758">
                  <c:v>121.42</c:v>
                </c:pt>
                <c:pt idx="759">
                  <c:v>121.47</c:v>
                </c:pt>
                <c:pt idx="760">
                  <c:v>121.29</c:v>
                </c:pt>
                <c:pt idx="761">
                  <c:v>121</c:v>
                </c:pt>
                <c:pt idx="762">
                  <c:v>121.61</c:v>
                </c:pt>
                <c:pt idx="763">
                  <c:v>122.01</c:v>
                </c:pt>
                <c:pt idx="764">
                  <c:v>120.82</c:v>
                </c:pt>
                <c:pt idx="765">
                  <c:v>122.09</c:v>
                </c:pt>
                <c:pt idx="766">
                  <c:v>124.91</c:v>
                </c:pt>
                <c:pt idx="767">
                  <c:v>125.56</c:v>
                </c:pt>
                <c:pt idx="768">
                  <c:v>124.99</c:v>
                </c:pt>
                <c:pt idx="769">
                  <c:v>123.98</c:v>
                </c:pt>
                <c:pt idx="770">
                  <c:v>123.09</c:v>
                </c:pt>
                <c:pt idx="771">
                  <c:v>120.91</c:v>
                </c:pt>
                <c:pt idx="772">
                  <c:v>122.14</c:v>
                </c:pt>
                <c:pt idx="773">
                  <c:v>123.01</c:v>
                </c:pt>
                <c:pt idx="774">
                  <c:v>122.69</c:v>
                </c:pt>
                <c:pt idx="775">
                  <c:v>122.15</c:v>
                </c:pt>
                <c:pt idx="776">
                  <c:v>122.23</c:v>
                </c:pt>
                <c:pt idx="777">
                  <c:v>122.66</c:v>
                </c:pt>
                <c:pt idx="778">
                  <c:v>122.06</c:v>
                </c:pt>
                <c:pt idx="779">
                  <c:v>119.99</c:v>
                </c:pt>
                <c:pt idx="780">
                  <c:v>120.45</c:v>
                </c:pt>
                <c:pt idx="781">
                  <c:v>120.64</c:v>
                </c:pt>
                <c:pt idx="782">
                  <c:v>119.33</c:v>
                </c:pt>
                <c:pt idx="783">
                  <c:v>118.41</c:v>
                </c:pt>
                <c:pt idx="784">
                  <c:v>119.94</c:v>
                </c:pt>
                <c:pt idx="785">
                  <c:v>120.36</c:v>
                </c:pt>
                <c:pt idx="786">
                  <c:v>118.8</c:v>
                </c:pt>
                <c:pt idx="787">
                  <c:v>117.95</c:v>
                </c:pt>
                <c:pt idx="788">
                  <c:v>116.47</c:v>
                </c:pt>
                <c:pt idx="789">
                  <c:v>115.53</c:v>
                </c:pt>
                <c:pt idx="790">
                  <c:v>118.42</c:v>
                </c:pt>
                <c:pt idx="791">
                  <c:v>117.79</c:v>
                </c:pt>
                <c:pt idx="792">
                  <c:v>117.3</c:v>
                </c:pt>
                <c:pt idx="793">
                  <c:v>117.79</c:v>
                </c:pt>
                <c:pt idx="794">
                  <c:v>118.15</c:v>
                </c:pt>
                <c:pt idx="795">
                  <c:v>118.57</c:v>
                </c:pt>
                <c:pt idx="796">
                  <c:v>119.38</c:v>
                </c:pt>
                <c:pt idx="797">
                  <c:v>119.85</c:v>
                </c:pt>
                <c:pt idx="798">
                  <c:v>119.98</c:v>
                </c:pt>
                <c:pt idx="799">
                  <c:v>120.92</c:v>
                </c:pt>
                <c:pt idx="800">
                  <c:v>118.65</c:v>
                </c:pt>
                <c:pt idx="801">
                  <c:v>119.28</c:v>
                </c:pt>
                <c:pt idx="802">
                  <c:v>115.32</c:v>
                </c:pt>
                <c:pt idx="803">
                  <c:v>115.05</c:v>
                </c:pt>
                <c:pt idx="804">
                  <c:v>115</c:v>
                </c:pt>
                <c:pt idx="805">
                  <c:v>116.87</c:v>
                </c:pt>
                <c:pt idx="806">
                  <c:v>114.04</c:v>
                </c:pt>
                <c:pt idx="807">
                  <c:v>116.71</c:v>
                </c:pt>
                <c:pt idx="808">
                  <c:v>117.13</c:v>
                </c:pt>
                <c:pt idx="809">
                  <c:v>117.21</c:v>
                </c:pt>
                <c:pt idx="810">
                  <c:v>118.01</c:v>
                </c:pt>
                <c:pt idx="811">
                  <c:v>116.9</c:v>
                </c:pt>
                <c:pt idx="812">
                  <c:v>118.26</c:v>
                </c:pt>
                <c:pt idx="813">
                  <c:v>118.36</c:v>
                </c:pt>
                <c:pt idx="814">
                  <c:v>118.17</c:v>
                </c:pt>
                <c:pt idx="815">
                  <c:v>116.55</c:v>
                </c:pt>
                <c:pt idx="816">
                  <c:v>119</c:v>
                </c:pt>
                <c:pt idx="817">
                  <c:v>117.99</c:v>
                </c:pt>
                <c:pt idx="818">
                  <c:v>119.33</c:v>
                </c:pt>
                <c:pt idx="819">
                  <c:v>116.4</c:v>
                </c:pt>
                <c:pt idx="820">
                  <c:v>116.15</c:v>
                </c:pt>
                <c:pt idx="821">
                  <c:v>116.79</c:v>
                </c:pt>
                <c:pt idx="822">
                  <c:v>115.75</c:v>
                </c:pt>
                <c:pt idx="823">
                  <c:v>116.77</c:v>
                </c:pt>
                <c:pt idx="824">
                  <c:v>117.58</c:v>
                </c:pt>
                <c:pt idx="825">
                  <c:v>117.54</c:v>
                </c:pt>
                <c:pt idx="826">
                  <c:v>117.68</c:v>
                </c:pt>
                <c:pt idx="827">
                  <c:v>117</c:v>
                </c:pt>
                <c:pt idx="828">
                  <c:v>115</c:v>
                </c:pt>
                <c:pt idx="829">
                  <c:v>114.44</c:v>
                </c:pt>
                <c:pt idx="830">
                  <c:v>113.95</c:v>
                </c:pt>
                <c:pt idx="831">
                  <c:v>116.51</c:v>
                </c:pt>
                <c:pt idx="832">
                  <c:v>114.22</c:v>
                </c:pt>
                <c:pt idx="833">
                  <c:v>116.04</c:v>
                </c:pt>
                <c:pt idx="834">
                  <c:v>116.56</c:v>
                </c:pt>
                <c:pt idx="835">
                  <c:v>114.34</c:v>
                </c:pt>
                <c:pt idx="836">
                  <c:v>114.25</c:v>
                </c:pt>
                <c:pt idx="837">
                  <c:v>115.59</c:v>
                </c:pt>
                <c:pt idx="838">
                  <c:v>116.48</c:v>
                </c:pt>
                <c:pt idx="839">
                  <c:v>118.71</c:v>
                </c:pt>
                <c:pt idx="840">
                  <c:v>120.01</c:v>
                </c:pt>
                <c:pt idx="841">
                  <c:v>121.61</c:v>
                </c:pt>
                <c:pt idx="842">
                  <c:v>122.92</c:v>
                </c:pt>
                <c:pt idx="843">
                  <c:v>122.8</c:v>
                </c:pt>
                <c:pt idx="844">
                  <c:v>124.29</c:v>
                </c:pt>
                <c:pt idx="845">
                  <c:v>125.85</c:v>
                </c:pt>
                <c:pt idx="846">
                  <c:v>125.97</c:v>
                </c:pt>
                <c:pt idx="847">
                  <c:v>126.1</c:v>
                </c:pt>
                <c:pt idx="848">
                  <c:v>125.57</c:v>
                </c:pt>
                <c:pt idx="849">
                  <c:v>126.84</c:v>
                </c:pt>
                <c:pt idx="850">
                  <c:v>125.99</c:v>
                </c:pt>
                <c:pt idx="851">
                  <c:v>125.35</c:v>
                </c:pt>
                <c:pt idx="852">
                  <c:v>126.16</c:v>
                </c:pt>
                <c:pt idx="853">
                  <c:v>124.14</c:v>
                </c:pt>
                <c:pt idx="854">
                  <c:v>122.72</c:v>
                </c:pt>
                <c:pt idx="855">
                  <c:v>122.21</c:v>
                </c:pt>
                <c:pt idx="856">
                  <c:v>122.91</c:v>
                </c:pt>
                <c:pt idx="857">
                  <c:v>124.55</c:v>
                </c:pt>
                <c:pt idx="858">
                  <c:v>125.76</c:v>
                </c:pt>
                <c:pt idx="859">
                  <c:v>125.28</c:v>
                </c:pt>
                <c:pt idx="860">
                  <c:v>127.14</c:v>
                </c:pt>
                <c:pt idx="861">
                  <c:v>127.46</c:v>
                </c:pt>
                <c:pt idx="862">
                  <c:v>127.71</c:v>
                </c:pt>
                <c:pt idx="863">
                  <c:v>128.13</c:v>
                </c:pt>
                <c:pt idx="864">
                  <c:v>127.75</c:v>
                </c:pt>
                <c:pt idx="865">
                  <c:v>124.5</c:v>
                </c:pt>
                <c:pt idx="866">
                  <c:v>122</c:v>
                </c:pt>
                <c:pt idx="867">
                  <c:v>122.15</c:v>
                </c:pt>
                <c:pt idx="868">
                  <c:v>123.98</c:v>
                </c:pt>
                <c:pt idx="869">
                  <c:v>123.65</c:v>
                </c:pt>
                <c:pt idx="870">
                  <c:v>123.77</c:v>
                </c:pt>
                <c:pt idx="871">
                  <c:v>123.29</c:v>
                </c:pt>
                <c:pt idx="872">
                  <c:v>123.65</c:v>
                </c:pt>
                <c:pt idx="873">
                  <c:v>122.22</c:v>
                </c:pt>
                <c:pt idx="874">
                  <c:v>120.97</c:v>
                </c:pt>
                <c:pt idx="875">
                  <c:v>120.64</c:v>
                </c:pt>
                <c:pt idx="876">
                  <c:v>121.73</c:v>
                </c:pt>
                <c:pt idx="877">
                  <c:v>122.25</c:v>
                </c:pt>
                <c:pt idx="878">
                  <c:v>119.15</c:v>
                </c:pt>
                <c:pt idx="879">
                  <c:v>120.14</c:v>
                </c:pt>
                <c:pt idx="880">
                  <c:v>119.98</c:v>
                </c:pt>
                <c:pt idx="881">
                  <c:v>120.52</c:v>
                </c:pt>
                <c:pt idx="882">
                  <c:v>119.68</c:v>
                </c:pt>
                <c:pt idx="883">
                  <c:v>119.31</c:v>
                </c:pt>
                <c:pt idx="884">
                  <c:v>118.38</c:v>
                </c:pt>
                <c:pt idx="885">
                  <c:v>117.53</c:v>
                </c:pt>
                <c:pt idx="886">
                  <c:v>117.9</c:v>
                </c:pt>
                <c:pt idx="887">
                  <c:v>117.38</c:v>
                </c:pt>
                <c:pt idx="888">
                  <c:v>117.16</c:v>
                </c:pt>
                <c:pt idx="889">
                  <c:v>115.34</c:v>
                </c:pt>
                <c:pt idx="890">
                  <c:v>115.12</c:v>
                </c:pt>
                <c:pt idx="891">
                  <c:v>116.17</c:v>
                </c:pt>
                <c:pt idx="892">
                  <c:v>116.14</c:v>
                </c:pt>
                <c:pt idx="893">
                  <c:v>116.73</c:v>
                </c:pt>
                <c:pt idx="894">
                  <c:v>117.08</c:v>
                </c:pt>
                <c:pt idx="895">
                  <c:v>116.3</c:v>
                </c:pt>
                <c:pt idx="896">
                  <c:v>115.67</c:v>
                </c:pt>
                <c:pt idx="897">
                  <c:v>115.51</c:v>
                </c:pt>
                <c:pt idx="898">
                  <c:v>115.61</c:v>
                </c:pt>
                <c:pt idx="899">
                  <c:v>114.84</c:v>
                </c:pt>
                <c:pt idx="900">
                  <c:v>116</c:v>
                </c:pt>
                <c:pt idx="901">
                  <c:v>116.36</c:v>
                </c:pt>
                <c:pt idx="902">
                  <c:v>118.25</c:v>
                </c:pt>
                <c:pt idx="903">
                  <c:v>118.55</c:v>
                </c:pt>
                <c:pt idx="904">
                  <c:v>119.32</c:v>
                </c:pt>
                <c:pt idx="905">
                  <c:v>119.23</c:v>
                </c:pt>
                <c:pt idx="906">
                  <c:v>121.27</c:v>
                </c:pt>
                <c:pt idx="907">
                  <c:v>120.49</c:v>
                </c:pt>
                <c:pt idx="908">
                  <c:v>119.87</c:v>
                </c:pt>
                <c:pt idx="909">
                  <c:v>119.3</c:v>
                </c:pt>
                <c:pt idx="910">
                  <c:v>118.7</c:v>
                </c:pt>
                <c:pt idx="911">
                  <c:v>118.76</c:v>
                </c:pt>
                <c:pt idx="912">
                  <c:v>117.31</c:v>
                </c:pt>
                <c:pt idx="913">
                  <c:v>116.47</c:v>
                </c:pt>
                <c:pt idx="914">
                  <c:v>117.57</c:v>
                </c:pt>
                <c:pt idx="915">
                  <c:v>119.37</c:v>
                </c:pt>
                <c:pt idx="916">
                  <c:v>120.29</c:v>
                </c:pt>
                <c:pt idx="917">
                  <c:v>119</c:v>
                </c:pt>
                <c:pt idx="918">
                  <c:v>118.5</c:v>
                </c:pt>
                <c:pt idx="919">
                  <c:v>119.73</c:v>
                </c:pt>
                <c:pt idx="920">
                  <c:v>120.24</c:v>
                </c:pt>
                <c:pt idx="921">
                  <c:v>119.24</c:v>
                </c:pt>
                <c:pt idx="922">
                  <c:v>119.39</c:v>
                </c:pt>
                <c:pt idx="923">
                  <c:v>117.27</c:v>
                </c:pt>
                <c:pt idx="924">
                  <c:v>116.76</c:v>
                </c:pt>
                <c:pt idx="925">
                  <c:v>116.73</c:v>
                </c:pt>
                <c:pt idx="926">
                  <c:v>117.08</c:v>
                </c:pt>
                <c:pt idx="927">
                  <c:v>116</c:v>
                </c:pt>
                <c:pt idx="928">
                  <c:v>115.69</c:v>
                </c:pt>
                <c:pt idx="929">
                  <c:v>115.37</c:v>
                </c:pt>
                <c:pt idx="930">
                  <c:v>115.91</c:v>
                </c:pt>
                <c:pt idx="931">
                  <c:v>116.55</c:v>
                </c:pt>
                <c:pt idx="932">
                  <c:v>117.59</c:v>
                </c:pt>
                <c:pt idx="933">
                  <c:v>118.76</c:v>
                </c:pt>
                <c:pt idx="934">
                  <c:v>118</c:v>
                </c:pt>
                <c:pt idx="935">
                  <c:v>117.5</c:v>
                </c:pt>
                <c:pt idx="936">
                  <c:v>116.38</c:v>
                </c:pt>
                <c:pt idx="937">
                  <c:v>116.84</c:v>
                </c:pt>
                <c:pt idx="938">
                  <c:v>116.76</c:v>
                </c:pt>
                <c:pt idx="939">
                  <c:v>115.76</c:v>
                </c:pt>
                <c:pt idx="940">
                  <c:v>115.5</c:v>
                </c:pt>
                <c:pt idx="941">
                  <c:v>114.99</c:v>
                </c:pt>
                <c:pt idx="942">
                  <c:v>115.07</c:v>
                </c:pt>
                <c:pt idx="943">
                  <c:v>115.66</c:v>
                </c:pt>
                <c:pt idx="944">
                  <c:v>116.86</c:v>
                </c:pt>
                <c:pt idx="945">
                  <c:v>116.51</c:v>
                </c:pt>
                <c:pt idx="946">
                  <c:v>119.5</c:v>
                </c:pt>
                <c:pt idx="947">
                  <c:v>119.46</c:v>
                </c:pt>
                <c:pt idx="948">
                  <c:v>117.87</c:v>
                </c:pt>
                <c:pt idx="949">
                  <c:v>118.41</c:v>
                </c:pt>
                <c:pt idx="950">
                  <c:v>119.11</c:v>
                </c:pt>
                <c:pt idx="951">
                  <c:v>119.49</c:v>
                </c:pt>
                <c:pt idx="952">
                  <c:v>117</c:v>
                </c:pt>
                <c:pt idx="953">
                  <c:v>118.66</c:v>
                </c:pt>
                <c:pt idx="954">
                  <c:v>118.5</c:v>
                </c:pt>
                <c:pt idx="955">
                  <c:v>118.15</c:v>
                </c:pt>
                <c:pt idx="956">
                  <c:v>117.72</c:v>
                </c:pt>
                <c:pt idx="957">
                  <c:v>116.71</c:v>
                </c:pt>
                <c:pt idx="958">
                  <c:v>115.34</c:v>
                </c:pt>
                <c:pt idx="959">
                  <c:v>114.83</c:v>
                </c:pt>
                <c:pt idx="960">
                  <c:v>113.63</c:v>
                </c:pt>
                <c:pt idx="961">
                  <c:v>113.48</c:v>
                </c:pt>
                <c:pt idx="962">
                  <c:v>113.29</c:v>
                </c:pt>
                <c:pt idx="963">
                  <c:v>112.88</c:v>
                </c:pt>
                <c:pt idx="964">
                  <c:v>111.82</c:v>
                </c:pt>
                <c:pt idx="965">
                  <c:v>113.75</c:v>
                </c:pt>
                <c:pt idx="966">
                  <c:v>113.29</c:v>
                </c:pt>
                <c:pt idx="967">
                  <c:v>115.51</c:v>
                </c:pt>
                <c:pt idx="968">
                  <c:v>115.59</c:v>
                </c:pt>
                <c:pt idx="969">
                  <c:v>115.85</c:v>
                </c:pt>
                <c:pt idx="970">
                  <c:v>117.61</c:v>
                </c:pt>
                <c:pt idx="971">
                  <c:v>117.61</c:v>
                </c:pt>
                <c:pt idx="972">
                  <c:v>116.93</c:v>
                </c:pt>
                <c:pt idx="973">
                  <c:v>116.54</c:v>
                </c:pt>
                <c:pt idx="974">
                  <c:v>115.78</c:v>
                </c:pt>
                <c:pt idx="975">
                  <c:v>116.09</c:v>
                </c:pt>
                <c:pt idx="976">
                  <c:v>116.42</c:v>
                </c:pt>
                <c:pt idx="977">
                  <c:v>114.16</c:v>
                </c:pt>
                <c:pt idx="978">
                  <c:v>114.62</c:v>
                </c:pt>
                <c:pt idx="979">
                  <c:v>114.19</c:v>
                </c:pt>
                <c:pt idx="980">
                  <c:v>112.58</c:v>
                </c:pt>
                <c:pt idx="981">
                  <c:v>111.62</c:v>
                </c:pt>
                <c:pt idx="982">
                  <c:v>111.3</c:v>
                </c:pt>
                <c:pt idx="983">
                  <c:v>111.77</c:v>
                </c:pt>
                <c:pt idx="984">
                  <c:v>110.75</c:v>
                </c:pt>
                <c:pt idx="985">
                  <c:v>111.65</c:v>
                </c:pt>
                <c:pt idx="986">
                  <c:v>111.4</c:v>
                </c:pt>
                <c:pt idx="987">
                  <c:v>111.1</c:v>
                </c:pt>
                <c:pt idx="988">
                  <c:v>113.45</c:v>
                </c:pt>
                <c:pt idx="989">
                  <c:v>113.99</c:v>
                </c:pt>
                <c:pt idx="990">
                  <c:v>115.22</c:v>
                </c:pt>
                <c:pt idx="991">
                  <c:v>117.89</c:v>
                </c:pt>
                <c:pt idx="992">
                  <c:v>119.74</c:v>
                </c:pt>
                <c:pt idx="993">
                  <c:v>121.15</c:v>
                </c:pt>
                <c:pt idx="994">
                  <c:v>120.96</c:v>
                </c:pt>
                <c:pt idx="995">
                  <c:v>119.83</c:v>
                </c:pt>
                <c:pt idx="996">
                  <c:v>120.51</c:v>
                </c:pt>
                <c:pt idx="997">
                  <c:v>121.25</c:v>
                </c:pt>
                <c:pt idx="998">
                  <c:v>121.37</c:v>
                </c:pt>
                <c:pt idx="999">
                  <c:v>124.3</c:v>
                </c:pt>
                <c:pt idx="1000">
                  <c:v>119.11</c:v>
                </c:pt>
                <c:pt idx="1001">
                  <c:v>123.1</c:v>
                </c:pt>
                <c:pt idx="1002">
                  <c:v>121</c:v>
                </c:pt>
                <c:pt idx="1003">
                  <c:v>121.11</c:v>
                </c:pt>
                <c:pt idx="1004">
                  <c:v>119.32</c:v>
                </c:pt>
                <c:pt idx="1005">
                  <c:v>122.36</c:v>
                </c:pt>
                <c:pt idx="1006">
                  <c:v>121.71</c:v>
                </c:pt>
                <c:pt idx="1007">
                  <c:v>121.29</c:v>
                </c:pt>
                <c:pt idx="1008">
                  <c:v>121.25</c:v>
                </c:pt>
                <c:pt idx="1009">
                  <c:v>119.64</c:v>
                </c:pt>
                <c:pt idx="1010">
                  <c:v>120.9</c:v>
                </c:pt>
                <c:pt idx="1011">
                  <c:v>117.71</c:v>
                </c:pt>
                <c:pt idx="1012">
                  <c:v>118.5</c:v>
                </c:pt>
                <c:pt idx="1013">
                  <c:v>118.99</c:v>
                </c:pt>
                <c:pt idx="1014">
                  <c:v>121.21</c:v>
                </c:pt>
                <c:pt idx="1015">
                  <c:v>123.1</c:v>
                </c:pt>
                <c:pt idx="1016">
                  <c:v>123.31</c:v>
                </c:pt>
                <c:pt idx="1017">
                  <c:v>123.87</c:v>
                </c:pt>
                <c:pt idx="1018">
                  <c:v>125</c:v>
                </c:pt>
                <c:pt idx="1019">
                  <c:v>125</c:v>
                </c:pt>
                <c:pt idx="1020">
                  <c:v>125.1</c:v>
                </c:pt>
                <c:pt idx="1021">
                  <c:v>120.56</c:v>
                </c:pt>
                <c:pt idx="1022">
                  <c:v>118.53</c:v>
                </c:pt>
                <c:pt idx="1023">
                  <c:v>119.99</c:v>
                </c:pt>
                <c:pt idx="1024">
                  <c:v>122.15</c:v>
                </c:pt>
                <c:pt idx="1025">
                  <c:v>124.27</c:v>
                </c:pt>
                <c:pt idx="1026">
                  <c:v>125.17</c:v>
                </c:pt>
                <c:pt idx="1027">
                  <c:v>125.36</c:v>
                </c:pt>
                <c:pt idx="1028">
                  <c:v>127.74</c:v>
                </c:pt>
                <c:pt idx="1029">
                  <c:v>127.31</c:v>
                </c:pt>
                <c:pt idx="1030">
                  <c:v>127.71</c:v>
                </c:pt>
                <c:pt idx="1031">
                  <c:v>128.26</c:v>
                </c:pt>
                <c:pt idx="1032">
                  <c:v>127.34</c:v>
                </c:pt>
                <c:pt idx="1033">
                  <c:v>126.5</c:v>
                </c:pt>
                <c:pt idx="1034">
                  <c:v>126.89</c:v>
                </c:pt>
                <c:pt idx="1035">
                  <c:v>127.15</c:v>
                </c:pt>
                <c:pt idx="1036">
                  <c:v>126.41</c:v>
                </c:pt>
                <c:pt idx="1037">
                  <c:v>128</c:v>
                </c:pt>
                <c:pt idx="1038">
                  <c:v>130</c:v>
                </c:pt>
                <c:pt idx="1039">
                  <c:v>129</c:v>
                </c:pt>
                <c:pt idx="1040">
                  <c:v>131</c:v>
                </c:pt>
                <c:pt idx="1041">
                  <c:v>132.26</c:v>
                </c:pt>
                <c:pt idx="1042">
                  <c:v>131.74</c:v>
                </c:pt>
                <c:pt idx="1043">
                  <c:v>134.91999999999999</c:v>
                </c:pt>
                <c:pt idx="1044">
                  <c:v>134.13</c:v>
                </c:pt>
                <c:pt idx="1045">
                  <c:v>133.01</c:v>
                </c:pt>
                <c:pt idx="1046">
                  <c:v>134.62</c:v>
                </c:pt>
                <c:pt idx="1047">
                  <c:v>134.16</c:v>
                </c:pt>
                <c:pt idx="1048">
                  <c:v>133.79</c:v>
                </c:pt>
                <c:pt idx="1049">
                  <c:v>133.55000000000001</c:v>
                </c:pt>
                <c:pt idx="1050">
                  <c:v>134.59</c:v>
                </c:pt>
                <c:pt idx="1051">
                  <c:v>134.93</c:v>
                </c:pt>
                <c:pt idx="1052">
                  <c:v>134.94</c:v>
                </c:pt>
                <c:pt idx="1053">
                  <c:v>135.86000000000001</c:v>
                </c:pt>
                <c:pt idx="1054">
                  <c:v>136.13999999999999</c:v>
                </c:pt>
                <c:pt idx="1055">
                  <c:v>134.47</c:v>
                </c:pt>
                <c:pt idx="1056">
                  <c:v>134.66999999999999</c:v>
                </c:pt>
                <c:pt idx="1057">
                  <c:v>134.49</c:v>
                </c:pt>
                <c:pt idx="1058">
                  <c:v>133.80000000000001</c:v>
                </c:pt>
                <c:pt idx="1059">
                  <c:v>133.87</c:v>
                </c:pt>
                <c:pt idx="1060">
                  <c:v>133.08000000000001</c:v>
                </c:pt>
                <c:pt idx="1061">
                  <c:v>133.74</c:v>
                </c:pt>
                <c:pt idx="1062">
                  <c:v>136.19</c:v>
                </c:pt>
                <c:pt idx="1063">
                  <c:v>137</c:v>
                </c:pt>
                <c:pt idx="1064">
                  <c:v>137.69999999999999</c:v>
                </c:pt>
                <c:pt idx="1065">
                  <c:v>138.80000000000001</c:v>
                </c:pt>
                <c:pt idx="1066">
                  <c:v>138.84</c:v>
                </c:pt>
                <c:pt idx="1067">
                  <c:v>143</c:v>
                </c:pt>
                <c:pt idx="1068">
                  <c:v>144.6</c:v>
                </c:pt>
                <c:pt idx="1069">
                  <c:v>145.80000000000001</c:v>
                </c:pt>
                <c:pt idx="1070">
                  <c:v>145.82</c:v>
                </c:pt>
                <c:pt idx="1071">
                  <c:v>147.47999999999999</c:v>
                </c:pt>
                <c:pt idx="1072">
                  <c:v>144.78</c:v>
                </c:pt>
                <c:pt idx="1073">
                  <c:v>144.12</c:v>
                </c:pt>
                <c:pt idx="1074">
                  <c:v>142.75</c:v>
                </c:pt>
                <c:pt idx="1075">
                  <c:v>142.05000000000001</c:v>
                </c:pt>
                <c:pt idx="1076">
                  <c:v>144.26</c:v>
                </c:pt>
                <c:pt idx="1077">
                  <c:v>149.13</c:v>
                </c:pt>
                <c:pt idx="1078">
                  <c:v>148.24</c:v>
                </c:pt>
                <c:pt idx="1079">
                  <c:v>150</c:v>
                </c:pt>
                <c:pt idx="1080">
                  <c:v>149.81</c:v>
                </c:pt>
                <c:pt idx="1081">
                  <c:v>151</c:v>
                </c:pt>
                <c:pt idx="1082">
                  <c:v>150.09</c:v>
                </c:pt>
                <c:pt idx="1083">
                  <c:v>150.72</c:v>
                </c:pt>
                <c:pt idx="1084">
                  <c:v>149.96</c:v>
                </c:pt>
                <c:pt idx="1085">
                  <c:v>150.5</c:v>
                </c:pt>
                <c:pt idx="1086">
                  <c:v>149.55000000000001</c:v>
                </c:pt>
                <c:pt idx="1087">
                  <c:v>150.79</c:v>
                </c:pt>
                <c:pt idx="1088">
                  <c:v>152.4</c:v>
                </c:pt>
                <c:pt idx="1089">
                  <c:v>153.19</c:v>
                </c:pt>
                <c:pt idx="1090">
                  <c:v>152.59</c:v>
                </c:pt>
                <c:pt idx="1091">
                  <c:v>151.27000000000001</c:v>
                </c:pt>
                <c:pt idx="1092">
                  <c:v>150.34</c:v>
                </c:pt>
                <c:pt idx="1093">
                  <c:v>149.4</c:v>
                </c:pt>
                <c:pt idx="1094">
                  <c:v>149.35</c:v>
                </c:pt>
                <c:pt idx="1095">
                  <c:v>150.05000000000001</c:v>
                </c:pt>
                <c:pt idx="1096">
                  <c:v>147.09</c:v>
                </c:pt>
                <c:pt idx="1097">
                  <c:v>149.38999999999999</c:v>
                </c:pt>
                <c:pt idx="1098">
                  <c:v>149.66999999999999</c:v>
                </c:pt>
                <c:pt idx="1099">
                  <c:v>148.63</c:v>
                </c:pt>
                <c:pt idx="1100">
                  <c:v>149.38999999999999</c:v>
                </c:pt>
                <c:pt idx="1101">
                  <c:v>148</c:v>
                </c:pt>
                <c:pt idx="1102">
                  <c:v>147.51</c:v>
                </c:pt>
                <c:pt idx="1103">
                  <c:v>149.58000000000001</c:v>
                </c:pt>
                <c:pt idx="1104">
                  <c:v>148.56</c:v>
                </c:pt>
                <c:pt idx="1105">
                  <c:v>149.46</c:v>
                </c:pt>
                <c:pt idx="1106">
                  <c:v>148.36000000000001</c:v>
                </c:pt>
                <c:pt idx="1107">
                  <c:v>148.80000000000001</c:v>
                </c:pt>
                <c:pt idx="1108">
                  <c:v>151.04</c:v>
                </c:pt>
                <c:pt idx="1109">
                  <c:v>150.24</c:v>
                </c:pt>
                <c:pt idx="1110">
                  <c:v>151.91</c:v>
                </c:pt>
                <c:pt idx="1111">
                  <c:v>152.28</c:v>
                </c:pt>
                <c:pt idx="1112">
                  <c:v>152.38999999999999</c:v>
                </c:pt>
                <c:pt idx="1113">
                  <c:v>152.30000000000001</c:v>
                </c:pt>
                <c:pt idx="1114">
                  <c:v>146.99</c:v>
                </c:pt>
                <c:pt idx="1115">
                  <c:v>153.80000000000001</c:v>
                </c:pt>
                <c:pt idx="1116">
                  <c:v>154.72999999999999</c:v>
                </c:pt>
                <c:pt idx="1117">
                  <c:v>154.18</c:v>
                </c:pt>
                <c:pt idx="1118">
                  <c:v>155.78</c:v>
                </c:pt>
                <c:pt idx="1119">
                  <c:v>154.58000000000001</c:v>
                </c:pt>
                <c:pt idx="1120">
                  <c:v>156.80000000000001</c:v>
                </c:pt>
                <c:pt idx="1121">
                  <c:v>156.03</c:v>
                </c:pt>
                <c:pt idx="1122">
                  <c:v>155.88</c:v>
                </c:pt>
                <c:pt idx="1123">
                  <c:v>155.38999999999999</c:v>
                </c:pt>
                <c:pt idx="1124">
                  <c:v>155.38</c:v>
                </c:pt>
                <c:pt idx="1125">
                  <c:v>155.6</c:v>
                </c:pt>
                <c:pt idx="1126">
                  <c:v>157.12</c:v>
                </c:pt>
                <c:pt idx="1127">
                  <c:v>156.9</c:v>
                </c:pt>
                <c:pt idx="1128">
                  <c:v>155.63</c:v>
                </c:pt>
                <c:pt idx="1129">
                  <c:v>156.63</c:v>
                </c:pt>
                <c:pt idx="1130">
                  <c:v>156.58000000000001</c:v>
                </c:pt>
                <c:pt idx="1131">
                  <c:v>156.66</c:v>
                </c:pt>
                <c:pt idx="1132">
                  <c:v>155.53</c:v>
                </c:pt>
                <c:pt idx="1133">
                  <c:v>153.33000000000001</c:v>
                </c:pt>
                <c:pt idx="1134">
                  <c:v>154.93</c:v>
                </c:pt>
                <c:pt idx="1135">
                  <c:v>156.30000000000001</c:v>
                </c:pt>
                <c:pt idx="1136">
                  <c:v>157.9</c:v>
                </c:pt>
                <c:pt idx="1137">
                  <c:v>160</c:v>
                </c:pt>
                <c:pt idx="1138">
                  <c:v>161.33000000000001</c:v>
                </c:pt>
                <c:pt idx="1139">
                  <c:v>161.82</c:v>
                </c:pt>
                <c:pt idx="1140">
                  <c:v>161.76</c:v>
                </c:pt>
                <c:pt idx="1141">
                  <c:v>160.51</c:v>
                </c:pt>
                <c:pt idx="1142">
                  <c:v>159.69999999999999</c:v>
                </c:pt>
                <c:pt idx="1143">
                  <c:v>158.41</c:v>
                </c:pt>
                <c:pt idx="1144">
                  <c:v>158.69999999999999</c:v>
                </c:pt>
                <c:pt idx="1145">
                  <c:v>156.54</c:v>
                </c:pt>
                <c:pt idx="1146">
                  <c:v>156.09</c:v>
                </c:pt>
                <c:pt idx="1147">
                  <c:v>157.03</c:v>
                </c:pt>
                <c:pt idx="1148">
                  <c:v>155.46</c:v>
                </c:pt>
                <c:pt idx="1149">
                  <c:v>154.4</c:v>
                </c:pt>
                <c:pt idx="1150">
                  <c:v>153.91999999999999</c:v>
                </c:pt>
                <c:pt idx="1151">
                  <c:v>154.24</c:v>
                </c:pt>
                <c:pt idx="1152">
                  <c:v>156.19999999999999</c:v>
                </c:pt>
                <c:pt idx="1153">
                  <c:v>156.88</c:v>
                </c:pt>
                <c:pt idx="1154">
                  <c:v>157.77000000000001</c:v>
                </c:pt>
                <c:pt idx="1155">
                  <c:v>159.34</c:v>
                </c:pt>
                <c:pt idx="1156">
                  <c:v>158.44999999999999</c:v>
                </c:pt>
                <c:pt idx="1157">
                  <c:v>160.13999999999999</c:v>
                </c:pt>
                <c:pt idx="1158">
                  <c:v>162.82</c:v>
                </c:pt>
                <c:pt idx="1159">
                  <c:v>162.4</c:v>
                </c:pt>
                <c:pt idx="1160">
                  <c:v>163.98</c:v>
                </c:pt>
                <c:pt idx="1161">
                  <c:v>164.89</c:v>
                </c:pt>
                <c:pt idx="1162">
                  <c:v>165.09</c:v>
                </c:pt>
                <c:pt idx="1163">
                  <c:v>166.56</c:v>
                </c:pt>
                <c:pt idx="1164">
                  <c:v>165.74</c:v>
                </c:pt>
                <c:pt idx="1165">
                  <c:v>166.71</c:v>
                </c:pt>
                <c:pt idx="1166">
                  <c:v>166.09</c:v>
                </c:pt>
                <c:pt idx="1167">
                  <c:v>165.13</c:v>
                </c:pt>
                <c:pt idx="1168">
                  <c:v>164.99</c:v>
                </c:pt>
                <c:pt idx="1169">
                  <c:v>166.14</c:v>
                </c:pt>
                <c:pt idx="1170">
                  <c:v>169.94</c:v>
                </c:pt>
                <c:pt idx="1171">
                  <c:v>168.76</c:v>
                </c:pt>
                <c:pt idx="1172">
                  <c:v>169.65</c:v>
                </c:pt>
                <c:pt idx="1173">
                  <c:v>164.2</c:v>
                </c:pt>
                <c:pt idx="1174">
                  <c:v>169.05</c:v>
                </c:pt>
                <c:pt idx="1175">
                  <c:v>168.72</c:v>
                </c:pt>
                <c:pt idx="1176">
                  <c:v>168.23</c:v>
                </c:pt>
                <c:pt idx="1177">
                  <c:v>169.5</c:v>
                </c:pt>
                <c:pt idx="1178">
                  <c:v>170.53</c:v>
                </c:pt>
                <c:pt idx="1179">
                  <c:v>166.66</c:v>
                </c:pt>
                <c:pt idx="1180">
                  <c:v>164.24</c:v>
                </c:pt>
                <c:pt idx="1181">
                  <c:v>165.39</c:v>
                </c:pt>
                <c:pt idx="1182">
                  <c:v>163.69</c:v>
                </c:pt>
                <c:pt idx="1183">
                  <c:v>165.12</c:v>
                </c:pt>
                <c:pt idx="1184">
                  <c:v>164.93</c:v>
                </c:pt>
                <c:pt idx="1185">
                  <c:v>166.8</c:v>
                </c:pt>
                <c:pt idx="1186">
                  <c:v>168.33</c:v>
                </c:pt>
                <c:pt idx="1187">
                  <c:v>171.29</c:v>
                </c:pt>
                <c:pt idx="1188">
                  <c:v>173.08</c:v>
                </c:pt>
                <c:pt idx="1189">
                  <c:v>172.47</c:v>
                </c:pt>
                <c:pt idx="1190">
                  <c:v>171.33</c:v>
                </c:pt>
                <c:pt idx="1191">
                  <c:v>171.3</c:v>
                </c:pt>
                <c:pt idx="1192">
                  <c:v>172.11</c:v>
                </c:pt>
                <c:pt idx="1193">
                  <c:v>172.4</c:v>
                </c:pt>
                <c:pt idx="1194">
                  <c:v>172.52</c:v>
                </c:pt>
                <c:pt idx="1195">
                  <c:v>172.59</c:v>
                </c:pt>
                <c:pt idx="1196">
                  <c:v>172.97</c:v>
                </c:pt>
                <c:pt idx="1197">
                  <c:v>173.08</c:v>
                </c:pt>
                <c:pt idx="1198">
                  <c:v>174.11</c:v>
                </c:pt>
                <c:pt idx="1199">
                  <c:v>175.6</c:v>
                </c:pt>
                <c:pt idx="1200">
                  <c:v>174.81</c:v>
                </c:pt>
                <c:pt idx="1201">
                  <c:v>175.78</c:v>
                </c:pt>
                <c:pt idx="1202">
                  <c:v>175.56</c:v>
                </c:pt>
                <c:pt idx="1203">
                  <c:v>174.59</c:v>
                </c:pt>
                <c:pt idx="1204">
                  <c:v>175.87</c:v>
                </c:pt>
                <c:pt idx="1205">
                  <c:v>175.35</c:v>
                </c:pt>
                <c:pt idx="1206">
                  <c:v>176.57</c:v>
                </c:pt>
                <c:pt idx="1207">
                  <c:v>179.54</c:v>
                </c:pt>
                <c:pt idx="1208">
                  <c:v>180.81</c:v>
                </c:pt>
                <c:pt idx="1209">
                  <c:v>181.35</c:v>
                </c:pt>
                <c:pt idx="1210">
                  <c:v>175.07</c:v>
                </c:pt>
                <c:pt idx="1211">
                  <c:v>175.07</c:v>
                </c:pt>
                <c:pt idx="1212">
                  <c:v>171.73</c:v>
                </c:pt>
                <c:pt idx="1213">
                  <c:v>174.3</c:v>
                </c:pt>
                <c:pt idx="1214">
                  <c:v>177.64</c:v>
                </c:pt>
                <c:pt idx="1215">
                  <c:v>176.58</c:v>
                </c:pt>
                <c:pt idx="1216">
                  <c:v>178</c:v>
                </c:pt>
                <c:pt idx="1217">
                  <c:v>178.28</c:v>
                </c:pt>
                <c:pt idx="1218">
                  <c:v>177.67</c:v>
                </c:pt>
                <c:pt idx="1219">
                  <c:v>179.86</c:v>
                </c:pt>
                <c:pt idx="1220">
                  <c:v>179</c:v>
                </c:pt>
                <c:pt idx="1221">
                  <c:v>175.62</c:v>
                </c:pt>
                <c:pt idx="1222">
                  <c:v>174.9</c:v>
                </c:pt>
                <c:pt idx="1223">
                  <c:v>172.61</c:v>
                </c:pt>
                <c:pt idx="1224">
                  <c:v>175</c:v>
                </c:pt>
                <c:pt idx="1225">
                  <c:v>175.11</c:v>
                </c:pt>
                <c:pt idx="1226">
                  <c:v>176.73</c:v>
                </c:pt>
                <c:pt idx="1227">
                  <c:v>176.9</c:v>
                </c:pt>
                <c:pt idx="1228">
                  <c:v>177.19</c:v>
                </c:pt>
                <c:pt idx="1229">
                  <c:v>177.55</c:v>
                </c:pt>
                <c:pt idx="1230">
                  <c:v>177.49</c:v>
                </c:pt>
                <c:pt idx="1231">
                  <c:v>177.71</c:v>
                </c:pt>
                <c:pt idx="1232">
                  <c:v>176.86</c:v>
                </c:pt>
                <c:pt idx="1233">
                  <c:v>172.91</c:v>
                </c:pt>
                <c:pt idx="1234">
                  <c:v>173.73</c:v>
                </c:pt>
                <c:pt idx="1235">
                  <c:v>173.08</c:v>
                </c:pt>
                <c:pt idx="1236">
                  <c:v>173.79</c:v>
                </c:pt>
                <c:pt idx="1237">
                  <c:v>173.23</c:v>
                </c:pt>
                <c:pt idx="1238">
                  <c:v>175.53</c:v>
                </c:pt>
                <c:pt idx="1239">
                  <c:v>175.73</c:v>
                </c:pt>
                <c:pt idx="1240">
                  <c:v>179.15</c:v>
                </c:pt>
                <c:pt idx="1241">
                  <c:v>176.08</c:v>
                </c:pt>
                <c:pt idx="1242">
                  <c:v>176.82</c:v>
                </c:pt>
                <c:pt idx="1243">
                  <c:v>177.98</c:v>
                </c:pt>
                <c:pt idx="1244">
                  <c:v>181.66</c:v>
                </c:pt>
                <c:pt idx="1245">
                  <c:v>184.17</c:v>
                </c:pt>
                <c:pt idx="1246">
                  <c:v>186.27</c:v>
                </c:pt>
                <c:pt idx="1247">
                  <c:v>186.26</c:v>
                </c:pt>
                <c:pt idx="1248">
                  <c:v>186.02</c:v>
                </c:pt>
                <c:pt idx="1249">
                  <c:v>183.97</c:v>
                </c:pt>
                <c:pt idx="1250">
                  <c:v>183.01</c:v>
                </c:pt>
                <c:pt idx="1251">
                  <c:v>180.55</c:v>
                </c:pt>
                <c:pt idx="1252">
                  <c:v>181.48</c:v>
                </c:pt>
                <c:pt idx="1253">
                  <c:v>177</c:v>
                </c:pt>
                <c:pt idx="1254">
                  <c:v>175.43</c:v>
                </c:pt>
                <c:pt idx="1255">
                  <c:v>177</c:v>
                </c:pt>
                <c:pt idx="1256">
                  <c:v>178.75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8-4EE9-B827-ED7BD321F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202216"/>
        <c:axId val="742198280"/>
      </c:lineChart>
      <c:dateAx>
        <c:axId val="7422022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98280"/>
        <c:crosses val="autoZero"/>
        <c:auto val="1"/>
        <c:lblOffset val="100"/>
        <c:baseTimeUnit val="days"/>
      </c:dateAx>
      <c:valAx>
        <c:axId val="742198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202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'Loblaws Share Price'!$D$2:$D$3</c:f>
              <c:strCache>
                <c:ptCount val="2"/>
                <c:pt idx="0">
                  <c:v>Share Price - 5Y</c:v>
                </c:pt>
                <c:pt idx="1">
                  <c:v>VOLUME</c:v>
                </c:pt>
              </c:strCache>
            </c:strRef>
          </c:tx>
          <c:spPr>
            <a:ln w="2222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'Loblaws Share Price'!$B$4:$B$1260</c:f>
              <c:numCache>
                <c:formatCode>m/d/yyyy</c:formatCode>
                <c:ptCount val="1257"/>
                <c:pt idx="0">
                  <c:v>43790</c:v>
                </c:pt>
                <c:pt idx="1">
                  <c:v>43791</c:v>
                </c:pt>
                <c:pt idx="2">
                  <c:v>43794</c:v>
                </c:pt>
                <c:pt idx="3">
                  <c:v>43795</c:v>
                </c:pt>
                <c:pt idx="4">
                  <c:v>43796</c:v>
                </c:pt>
                <c:pt idx="5">
                  <c:v>43797</c:v>
                </c:pt>
                <c:pt idx="6">
                  <c:v>43798</c:v>
                </c:pt>
                <c:pt idx="7">
                  <c:v>43801</c:v>
                </c:pt>
                <c:pt idx="8">
                  <c:v>43802</c:v>
                </c:pt>
                <c:pt idx="9">
                  <c:v>43803</c:v>
                </c:pt>
                <c:pt idx="10">
                  <c:v>43804</c:v>
                </c:pt>
                <c:pt idx="11">
                  <c:v>43805</c:v>
                </c:pt>
                <c:pt idx="12">
                  <c:v>43808</c:v>
                </c:pt>
                <c:pt idx="13">
                  <c:v>43809</c:v>
                </c:pt>
                <c:pt idx="14">
                  <c:v>43810</c:v>
                </c:pt>
                <c:pt idx="15">
                  <c:v>43811</c:v>
                </c:pt>
                <c:pt idx="16">
                  <c:v>43812</c:v>
                </c:pt>
                <c:pt idx="17">
                  <c:v>43815</c:v>
                </c:pt>
                <c:pt idx="18">
                  <c:v>43816</c:v>
                </c:pt>
                <c:pt idx="19">
                  <c:v>43817</c:v>
                </c:pt>
                <c:pt idx="20">
                  <c:v>43818</c:v>
                </c:pt>
                <c:pt idx="21">
                  <c:v>43819</c:v>
                </c:pt>
                <c:pt idx="22">
                  <c:v>43822</c:v>
                </c:pt>
                <c:pt idx="23">
                  <c:v>43823</c:v>
                </c:pt>
                <c:pt idx="24">
                  <c:v>43826</c:v>
                </c:pt>
                <c:pt idx="25">
                  <c:v>43829</c:v>
                </c:pt>
                <c:pt idx="26">
                  <c:v>43830</c:v>
                </c:pt>
                <c:pt idx="27">
                  <c:v>43832</c:v>
                </c:pt>
                <c:pt idx="28">
                  <c:v>43833</c:v>
                </c:pt>
                <c:pt idx="29">
                  <c:v>43836</c:v>
                </c:pt>
                <c:pt idx="30">
                  <c:v>43837</c:v>
                </c:pt>
                <c:pt idx="31">
                  <c:v>43838</c:v>
                </c:pt>
                <c:pt idx="32">
                  <c:v>43839</c:v>
                </c:pt>
                <c:pt idx="33">
                  <c:v>43840</c:v>
                </c:pt>
                <c:pt idx="34">
                  <c:v>43843</c:v>
                </c:pt>
                <c:pt idx="35">
                  <c:v>43844</c:v>
                </c:pt>
                <c:pt idx="36">
                  <c:v>43845</c:v>
                </c:pt>
                <c:pt idx="37">
                  <c:v>43846</c:v>
                </c:pt>
                <c:pt idx="38">
                  <c:v>43847</c:v>
                </c:pt>
                <c:pt idx="39">
                  <c:v>43850</c:v>
                </c:pt>
                <c:pt idx="40">
                  <c:v>43851</c:v>
                </c:pt>
                <c:pt idx="41">
                  <c:v>43852</c:v>
                </c:pt>
                <c:pt idx="42">
                  <c:v>43853</c:v>
                </c:pt>
                <c:pt idx="43">
                  <c:v>43854</c:v>
                </c:pt>
                <c:pt idx="44">
                  <c:v>43857</c:v>
                </c:pt>
                <c:pt idx="45">
                  <c:v>43858</c:v>
                </c:pt>
                <c:pt idx="46">
                  <c:v>43859</c:v>
                </c:pt>
                <c:pt idx="47">
                  <c:v>43860</c:v>
                </c:pt>
                <c:pt idx="48">
                  <c:v>43861</c:v>
                </c:pt>
                <c:pt idx="49">
                  <c:v>43864</c:v>
                </c:pt>
                <c:pt idx="50">
                  <c:v>43865</c:v>
                </c:pt>
                <c:pt idx="51">
                  <c:v>43866</c:v>
                </c:pt>
                <c:pt idx="52">
                  <c:v>43867</c:v>
                </c:pt>
                <c:pt idx="53">
                  <c:v>43868</c:v>
                </c:pt>
                <c:pt idx="54">
                  <c:v>43871</c:v>
                </c:pt>
                <c:pt idx="55">
                  <c:v>43872</c:v>
                </c:pt>
                <c:pt idx="56">
                  <c:v>43873</c:v>
                </c:pt>
                <c:pt idx="57">
                  <c:v>43874</c:v>
                </c:pt>
                <c:pt idx="58">
                  <c:v>43875</c:v>
                </c:pt>
                <c:pt idx="59">
                  <c:v>43879</c:v>
                </c:pt>
                <c:pt idx="60">
                  <c:v>43880</c:v>
                </c:pt>
                <c:pt idx="61">
                  <c:v>43881</c:v>
                </c:pt>
                <c:pt idx="62">
                  <c:v>43882</c:v>
                </c:pt>
                <c:pt idx="63">
                  <c:v>43885</c:v>
                </c:pt>
                <c:pt idx="64">
                  <c:v>43886</c:v>
                </c:pt>
                <c:pt idx="65">
                  <c:v>43887</c:v>
                </c:pt>
                <c:pt idx="66">
                  <c:v>43888</c:v>
                </c:pt>
                <c:pt idx="67">
                  <c:v>43889</c:v>
                </c:pt>
                <c:pt idx="68">
                  <c:v>43892</c:v>
                </c:pt>
                <c:pt idx="69">
                  <c:v>43893</c:v>
                </c:pt>
                <c:pt idx="70">
                  <c:v>43894</c:v>
                </c:pt>
                <c:pt idx="71">
                  <c:v>43895</c:v>
                </c:pt>
                <c:pt idx="72">
                  <c:v>43896</c:v>
                </c:pt>
                <c:pt idx="73">
                  <c:v>43899</c:v>
                </c:pt>
                <c:pt idx="74">
                  <c:v>43900</c:v>
                </c:pt>
                <c:pt idx="75">
                  <c:v>43901</c:v>
                </c:pt>
                <c:pt idx="76">
                  <c:v>43902</c:v>
                </c:pt>
                <c:pt idx="77">
                  <c:v>43903</c:v>
                </c:pt>
                <c:pt idx="78">
                  <c:v>43906</c:v>
                </c:pt>
                <c:pt idx="79">
                  <c:v>43907</c:v>
                </c:pt>
                <c:pt idx="80">
                  <c:v>43908</c:v>
                </c:pt>
                <c:pt idx="81">
                  <c:v>43909</c:v>
                </c:pt>
                <c:pt idx="82">
                  <c:v>43910</c:v>
                </c:pt>
                <c:pt idx="83">
                  <c:v>43913</c:v>
                </c:pt>
                <c:pt idx="84">
                  <c:v>43914</c:v>
                </c:pt>
                <c:pt idx="85">
                  <c:v>43915</c:v>
                </c:pt>
                <c:pt idx="86">
                  <c:v>43916</c:v>
                </c:pt>
                <c:pt idx="87">
                  <c:v>43917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43927</c:v>
                </c:pt>
                <c:pt idx="94">
                  <c:v>43928</c:v>
                </c:pt>
                <c:pt idx="95">
                  <c:v>43929</c:v>
                </c:pt>
                <c:pt idx="96">
                  <c:v>43930</c:v>
                </c:pt>
                <c:pt idx="97">
                  <c:v>43934</c:v>
                </c:pt>
                <c:pt idx="98">
                  <c:v>43935</c:v>
                </c:pt>
                <c:pt idx="99">
                  <c:v>43936</c:v>
                </c:pt>
                <c:pt idx="100">
                  <c:v>43937</c:v>
                </c:pt>
                <c:pt idx="101">
                  <c:v>43938</c:v>
                </c:pt>
                <c:pt idx="102">
                  <c:v>43941</c:v>
                </c:pt>
                <c:pt idx="103">
                  <c:v>43942</c:v>
                </c:pt>
                <c:pt idx="104">
                  <c:v>43943</c:v>
                </c:pt>
                <c:pt idx="105">
                  <c:v>43944</c:v>
                </c:pt>
                <c:pt idx="106">
                  <c:v>43945</c:v>
                </c:pt>
                <c:pt idx="107">
                  <c:v>43948</c:v>
                </c:pt>
                <c:pt idx="108">
                  <c:v>43949</c:v>
                </c:pt>
                <c:pt idx="109">
                  <c:v>43950</c:v>
                </c:pt>
                <c:pt idx="110">
                  <c:v>43951</c:v>
                </c:pt>
                <c:pt idx="111">
                  <c:v>43952</c:v>
                </c:pt>
                <c:pt idx="112">
                  <c:v>43955</c:v>
                </c:pt>
                <c:pt idx="113">
                  <c:v>43956</c:v>
                </c:pt>
                <c:pt idx="114">
                  <c:v>43957</c:v>
                </c:pt>
                <c:pt idx="115">
                  <c:v>43958</c:v>
                </c:pt>
                <c:pt idx="116">
                  <c:v>43959</c:v>
                </c:pt>
                <c:pt idx="117">
                  <c:v>43962</c:v>
                </c:pt>
                <c:pt idx="118">
                  <c:v>43963</c:v>
                </c:pt>
                <c:pt idx="119">
                  <c:v>43964</c:v>
                </c:pt>
                <c:pt idx="120">
                  <c:v>43965</c:v>
                </c:pt>
                <c:pt idx="121">
                  <c:v>43966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43976</c:v>
                </c:pt>
                <c:pt idx="127">
                  <c:v>43977</c:v>
                </c:pt>
                <c:pt idx="128">
                  <c:v>43978</c:v>
                </c:pt>
                <c:pt idx="129">
                  <c:v>43979</c:v>
                </c:pt>
                <c:pt idx="130">
                  <c:v>43980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43990</c:v>
                </c:pt>
                <c:pt idx="137">
                  <c:v>43991</c:v>
                </c:pt>
                <c:pt idx="138">
                  <c:v>43992</c:v>
                </c:pt>
                <c:pt idx="139">
                  <c:v>43993</c:v>
                </c:pt>
                <c:pt idx="140">
                  <c:v>43994</c:v>
                </c:pt>
                <c:pt idx="141">
                  <c:v>43997</c:v>
                </c:pt>
                <c:pt idx="142">
                  <c:v>43998</c:v>
                </c:pt>
                <c:pt idx="143">
                  <c:v>43999</c:v>
                </c:pt>
                <c:pt idx="144">
                  <c:v>44000</c:v>
                </c:pt>
                <c:pt idx="145">
                  <c:v>44001</c:v>
                </c:pt>
                <c:pt idx="146">
                  <c:v>44004</c:v>
                </c:pt>
                <c:pt idx="147">
                  <c:v>44005</c:v>
                </c:pt>
                <c:pt idx="148">
                  <c:v>44006</c:v>
                </c:pt>
                <c:pt idx="149">
                  <c:v>44007</c:v>
                </c:pt>
                <c:pt idx="150">
                  <c:v>44008</c:v>
                </c:pt>
                <c:pt idx="151">
                  <c:v>44011</c:v>
                </c:pt>
                <c:pt idx="152">
                  <c:v>44012</c:v>
                </c:pt>
                <c:pt idx="153">
                  <c:v>44014</c:v>
                </c:pt>
                <c:pt idx="154">
                  <c:v>44015</c:v>
                </c:pt>
                <c:pt idx="155">
                  <c:v>44018</c:v>
                </c:pt>
                <c:pt idx="156">
                  <c:v>44019</c:v>
                </c:pt>
                <c:pt idx="157">
                  <c:v>44020</c:v>
                </c:pt>
                <c:pt idx="158">
                  <c:v>44021</c:v>
                </c:pt>
                <c:pt idx="159">
                  <c:v>44022</c:v>
                </c:pt>
                <c:pt idx="160">
                  <c:v>44025</c:v>
                </c:pt>
                <c:pt idx="161">
                  <c:v>44026</c:v>
                </c:pt>
                <c:pt idx="162">
                  <c:v>44027</c:v>
                </c:pt>
                <c:pt idx="163">
                  <c:v>44028</c:v>
                </c:pt>
                <c:pt idx="164">
                  <c:v>44029</c:v>
                </c:pt>
                <c:pt idx="165">
                  <c:v>44032</c:v>
                </c:pt>
                <c:pt idx="166">
                  <c:v>44033</c:v>
                </c:pt>
                <c:pt idx="167">
                  <c:v>44034</c:v>
                </c:pt>
                <c:pt idx="168">
                  <c:v>44035</c:v>
                </c:pt>
                <c:pt idx="169">
                  <c:v>44036</c:v>
                </c:pt>
                <c:pt idx="170">
                  <c:v>44039</c:v>
                </c:pt>
                <c:pt idx="171">
                  <c:v>44040</c:v>
                </c:pt>
                <c:pt idx="172">
                  <c:v>44041</c:v>
                </c:pt>
                <c:pt idx="173">
                  <c:v>44042</c:v>
                </c:pt>
                <c:pt idx="174">
                  <c:v>44043</c:v>
                </c:pt>
                <c:pt idx="175">
                  <c:v>44047</c:v>
                </c:pt>
                <c:pt idx="176">
                  <c:v>44048</c:v>
                </c:pt>
                <c:pt idx="177">
                  <c:v>44049</c:v>
                </c:pt>
                <c:pt idx="178">
                  <c:v>44050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44067</c:v>
                </c:pt>
                <c:pt idx="190">
                  <c:v>44068</c:v>
                </c:pt>
                <c:pt idx="191">
                  <c:v>44069</c:v>
                </c:pt>
                <c:pt idx="192">
                  <c:v>44070</c:v>
                </c:pt>
                <c:pt idx="193">
                  <c:v>44071</c:v>
                </c:pt>
                <c:pt idx="194">
                  <c:v>44074</c:v>
                </c:pt>
                <c:pt idx="195">
                  <c:v>44075</c:v>
                </c:pt>
                <c:pt idx="196">
                  <c:v>44076</c:v>
                </c:pt>
                <c:pt idx="197">
                  <c:v>44077</c:v>
                </c:pt>
                <c:pt idx="198">
                  <c:v>44078</c:v>
                </c:pt>
                <c:pt idx="199">
                  <c:v>44082</c:v>
                </c:pt>
                <c:pt idx="200">
                  <c:v>44083</c:v>
                </c:pt>
                <c:pt idx="201">
                  <c:v>44084</c:v>
                </c:pt>
                <c:pt idx="202">
                  <c:v>44085</c:v>
                </c:pt>
                <c:pt idx="203">
                  <c:v>44088</c:v>
                </c:pt>
                <c:pt idx="204">
                  <c:v>44089</c:v>
                </c:pt>
                <c:pt idx="205">
                  <c:v>44090</c:v>
                </c:pt>
                <c:pt idx="206">
                  <c:v>44091</c:v>
                </c:pt>
                <c:pt idx="207">
                  <c:v>44092</c:v>
                </c:pt>
                <c:pt idx="208">
                  <c:v>44095</c:v>
                </c:pt>
                <c:pt idx="209">
                  <c:v>44096</c:v>
                </c:pt>
                <c:pt idx="210">
                  <c:v>44097</c:v>
                </c:pt>
                <c:pt idx="211">
                  <c:v>44098</c:v>
                </c:pt>
                <c:pt idx="212">
                  <c:v>44099</c:v>
                </c:pt>
                <c:pt idx="213">
                  <c:v>44102</c:v>
                </c:pt>
                <c:pt idx="214">
                  <c:v>44103</c:v>
                </c:pt>
                <c:pt idx="215">
                  <c:v>44104</c:v>
                </c:pt>
                <c:pt idx="216">
                  <c:v>44105</c:v>
                </c:pt>
                <c:pt idx="217">
                  <c:v>44106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  <c:pt idx="221">
                  <c:v>44112</c:v>
                </c:pt>
                <c:pt idx="222">
                  <c:v>44113</c:v>
                </c:pt>
                <c:pt idx="223">
                  <c:v>44117</c:v>
                </c:pt>
                <c:pt idx="224">
                  <c:v>44118</c:v>
                </c:pt>
                <c:pt idx="225">
                  <c:v>44119</c:v>
                </c:pt>
                <c:pt idx="226">
                  <c:v>44120</c:v>
                </c:pt>
                <c:pt idx="227">
                  <c:v>44123</c:v>
                </c:pt>
                <c:pt idx="228">
                  <c:v>44124</c:v>
                </c:pt>
                <c:pt idx="229">
                  <c:v>44125</c:v>
                </c:pt>
                <c:pt idx="230">
                  <c:v>44126</c:v>
                </c:pt>
                <c:pt idx="231">
                  <c:v>44127</c:v>
                </c:pt>
                <c:pt idx="232">
                  <c:v>44130</c:v>
                </c:pt>
                <c:pt idx="233">
                  <c:v>44131</c:v>
                </c:pt>
                <c:pt idx="234">
                  <c:v>44132</c:v>
                </c:pt>
                <c:pt idx="235">
                  <c:v>44133</c:v>
                </c:pt>
                <c:pt idx="236">
                  <c:v>44134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44151</c:v>
                </c:pt>
                <c:pt idx="248">
                  <c:v>44152</c:v>
                </c:pt>
                <c:pt idx="249">
                  <c:v>44153</c:v>
                </c:pt>
                <c:pt idx="250">
                  <c:v>44154</c:v>
                </c:pt>
                <c:pt idx="251">
                  <c:v>44155</c:v>
                </c:pt>
                <c:pt idx="252">
                  <c:v>44158</c:v>
                </c:pt>
                <c:pt idx="253">
                  <c:v>44159</c:v>
                </c:pt>
                <c:pt idx="254">
                  <c:v>44160</c:v>
                </c:pt>
                <c:pt idx="255">
                  <c:v>44161</c:v>
                </c:pt>
                <c:pt idx="256">
                  <c:v>44162</c:v>
                </c:pt>
                <c:pt idx="257">
                  <c:v>44165</c:v>
                </c:pt>
                <c:pt idx="258">
                  <c:v>44166</c:v>
                </c:pt>
                <c:pt idx="259">
                  <c:v>44167</c:v>
                </c:pt>
                <c:pt idx="260">
                  <c:v>44168</c:v>
                </c:pt>
                <c:pt idx="261">
                  <c:v>44169</c:v>
                </c:pt>
                <c:pt idx="262">
                  <c:v>44172</c:v>
                </c:pt>
                <c:pt idx="263">
                  <c:v>44173</c:v>
                </c:pt>
                <c:pt idx="264">
                  <c:v>44174</c:v>
                </c:pt>
                <c:pt idx="265">
                  <c:v>44175</c:v>
                </c:pt>
                <c:pt idx="266">
                  <c:v>44176</c:v>
                </c:pt>
                <c:pt idx="267">
                  <c:v>44179</c:v>
                </c:pt>
                <c:pt idx="268">
                  <c:v>44180</c:v>
                </c:pt>
                <c:pt idx="269">
                  <c:v>44181</c:v>
                </c:pt>
                <c:pt idx="270">
                  <c:v>44182</c:v>
                </c:pt>
                <c:pt idx="271">
                  <c:v>44183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44194</c:v>
                </c:pt>
                <c:pt idx="277">
                  <c:v>44195</c:v>
                </c:pt>
                <c:pt idx="278">
                  <c:v>44196</c:v>
                </c:pt>
                <c:pt idx="279">
                  <c:v>44200</c:v>
                </c:pt>
                <c:pt idx="280">
                  <c:v>44201</c:v>
                </c:pt>
                <c:pt idx="281">
                  <c:v>44202</c:v>
                </c:pt>
                <c:pt idx="282">
                  <c:v>44203</c:v>
                </c:pt>
                <c:pt idx="283">
                  <c:v>44204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44214</c:v>
                </c:pt>
                <c:pt idx="290">
                  <c:v>44215</c:v>
                </c:pt>
                <c:pt idx="291">
                  <c:v>44216</c:v>
                </c:pt>
                <c:pt idx="292">
                  <c:v>44217</c:v>
                </c:pt>
                <c:pt idx="293">
                  <c:v>44218</c:v>
                </c:pt>
                <c:pt idx="294">
                  <c:v>44221</c:v>
                </c:pt>
                <c:pt idx="295">
                  <c:v>44222</c:v>
                </c:pt>
                <c:pt idx="296">
                  <c:v>44223</c:v>
                </c:pt>
                <c:pt idx="297">
                  <c:v>44224</c:v>
                </c:pt>
                <c:pt idx="298">
                  <c:v>44225</c:v>
                </c:pt>
                <c:pt idx="299">
                  <c:v>44228</c:v>
                </c:pt>
                <c:pt idx="300">
                  <c:v>44229</c:v>
                </c:pt>
                <c:pt idx="301">
                  <c:v>44230</c:v>
                </c:pt>
                <c:pt idx="302">
                  <c:v>44231</c:v>
                </c:pt>
                <c:pt idx="303">
                  <c:v>44232</c:v>
                </c:pt>
                <c:pt idx="304">
                  <c:v>44235</c:v>
                </c:pt>
                <c:pt idx="305">
                  <c:v>44236</c:v>
                </c:pt>
                <c:pt idx="306">
                  <c:v>44237</c:v>
                </c:pt>
                <c:pt idx="307">
                  <c:v>44238</c:v>
                </c:pt>
                <c:pt idx="308">
                  <c:v>44239</c:v>
                </c:pt>
                <c:pt idx="309">
                  <c:v>44243</c:v>
                </c:pt>
                <c:pt idx="310">
                  <c:v>44244</c:v>
                </c:pt>
                <c:pt idx="311">
                  <c:v>44245</c:v>
                </c:pt>
                <c:pt idx="312">
                  <c:v>44246</c:v>
                </c:pt>
                <c:pt idx="313">
                  <c:v>44249</c:v>
                </c:pt>
                <c:pt idx="314">
                  <c:v>44250</c:v>
                </c:pt>
                <c:pt idx="315">
                  <c:v>44251</c:v>
                </c:pt>
                <c:pt idx="316">
                  <c:v>44252</c:v>
                </c:pt>
                <c:pt idx="317">
                  <c:v>44253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44263</c:v>
                </c:pt>
                <c:pt idx="324">
                  <c:v>44264</c:v>
                </c:pt>
                <c:pt idx="325">
                  <c:v>44265</c:v>
                </c:pt>
                <c:pt idx="326">
                  <c:v>44266</c:v>
                </c:pt>
                <c:pt idx="327">
                  <c:v>44267</c:v>
                </c:pt>
                <c:pt idx="328">
                  <c:v>44270</c:v>
                </c:pt>
                <c:pt idx="329">
                  <c:v>44271</c:v>
                </c:pt>
                <c:pt idx="330">
                  <c:v>44272</c:v>
                </c:pt>
                <c:pt idx="331">
                  <c:v>44273</c:v>
                </c:pt>
                <c:pt idx="332">
                  <c:v>44274</c:v>
                </c:pt>
                <c:pt idx="333">
                  <c:v>44277</c:v>
                </c:pt>
                <c:pt idx="334">
                  <c:v>44278</c:v>
                </c:pt>
                <c:pt idx="335">
                  <c:v>44279</c:v>
                </c:pt>
                <c:pt idx="336">
                  <c:v>44280</c:v>
                </c:pt>
                <c:pt idx="337">
                  <c:v>44281</c:v>
                </c:pt>
                <c:pt idx="338">
                  <c:v>44284</c:v>
                </c:pt>
                <c:pt idx="339">
                  <c:v>44285</c:v>
                </c:pt>
                <c:pt idx="340">
                  <c:v>44286</c:v>
                </c:pt>
                <c:pt idx="341">
                  <c:v>44287</c:v>
                </c:pt>
                <c:pt idx="342">
                  <c:v>44291</c:v>
                </c:pt>
                <c:pt idx="343">
                  <c:v>44292</c:v>
                </c:pt>
                <c:pt idx="344">
                  <c:v>44293</c:v>
                </c:pt>
                <c:pt idx="345">
                  <c:v>44294</c:v>
                </c:pt>
                <c:pt idx="346">
                  <c:v>44295</c:v>
                </c:pt>
                <c:pt idx="347">
                  <c:v>44298</c:v>
                </c:pt>
                <c:pt idx="348">
                  <c:v>44299</c:v>
                </c:pt>
                <c:pt idx="349">
                  <c:v>44300</c:v>
                </c:pt>
                <c:pt idx="350">
                  <c:v>44301</c:v>
                </c:pt>
                <c:pt idx="351">
                  <c:v>44302</c:v>
                </c:pt>
                <c:pt idx="352">
                  <c:v>44305</c:v>
                </c:pt>
                <c:pt idx="353">
                  <c:v>44306</c:v>
                </c:pt>
                <c:pt idx="354">
                  <c:v>44307</c:v>
                </c:pt>
                <c:pt idx="355">
                  <c:v>44308</c:v>
                </c:pt>
                <c:pt idx="356">
                  <c:v>44309</c:v>
                </c:pt>
                <c:pt idx="357">
                  <c:v>44312</c:v>
                </c:pt>
                <c:pt idx="358">
                  <c:v>44313</c:v>
                </c:pt>
                <c:pt idx="359">
                  <c:v>44314</c:v>
                </c:pt>
                <c:pt idx="360">
                  <c:v>44315</c:v>
                </c:pt>
                <c:pt idx="361">
                  <c:v>44316</c:v>
                </c:pt>
                <c:pt idx="362">
                  <c:v>44319</c:v>
                </c:pt>
                <c:pt idx="363">
                  <c:v>44320</c:v>
                </c:pt>
                <c:pt idx="364">
                  <c:v>44321</c:v>
                </c:pt>
                <c:pt idx="365">
                  <c:v>44322</c:v>
                </c:pt>
                <c:pt idx="366">
                  <c:v>44323</c:v>
                </c:pt>
                <c:pt idx="367">
                  <c:v>44326</c:v>
                </c:pt>
                <c:pt idx="368">
                  <c:v>44327</c:v>
                </c:pt>
                <c:pt idx="369">
                  <c:v>44328</c:v>
                </c:pt>
                <c:pt idx="370">
                  <c:v>44329</c:v>
                </c:pt>
                <c:pt idx="371">
                  <c:v>44330</c:v>
                </c:pt>
                <c:pt idx="372">
                  <c:v>44333</c:v>
                </c:pt>
                <c:pt idx="373">
                  <c:v>44334</c:v>
                </c:pt>
                <c:pt idx="374">
                  <c:v>44335</c:v>
                </c:pt>
                <c:pt idx="375">
                  <c:v>44336</c:v>
                </c:pt>
                <c:pt idx="376">
                  <c:v>44337</c:v>
                </c:pt>
                <c:pt idx="377">
                  <c:v>44341</c:v>
                </c:pt>
                <c:pt idx="378">
                  <c:v>44342</c:v>
                </c:pt>
                <c:pt idx="379">
                  <c:v>44343</c:v>
                </c:pt>
                <c:pt idx="380">
                  <c:v>44344</c:v>
                </c:pt>
                <c:pt idx="381">
                  <c:v>44347</c:v>
                </c:pt>
                <c:pt idx="382">
                  <c:v>44348</c:v>
                </c:pt>
                <c:pt idx="383">
                  <c:v>44349</c:v>
                </c:pt>
                <c:pt idx="384">
                  <c:v>44350</c:v>
                </c:pt>
                <c:pt idx="385">
                  <c:v>44351</c:v>
                </c:pt>
                <c:pt idx="386">
                  <c:v>44354</c:v>
                </c:pt>
                <c:pt idx="387">
                  <c:v>44355</c:v>
                </c:pt>
                <c:pt idx="388">
                  <c:v>44356</c:v>
                </c:pt>
                <c:pt idx="389">
                  <c:v>44357</c:v>
                </c:pt>
                <c:pt idx="390">
                  <c:v>44358</c:v>
                </c:pt>
                <c:pt idx="391">
                  <c:v>44361</c:v>
                </c:pt>
                <c:pt idx="392">
                  <c:v>44362</c:v>
                </c:pt>
                <c:pt idx="393">
                  <c:v>44363</c:v>
                </c:pt>
                <c:pt idx="394">
                  <c:v>44364</c:v>
                </c:pt>
                <c:pt idx="395">
                  <c:v>44365</c:v>
                </c:pt>
                <c:pt idx="396">
                  <c:v>44368</c:v>
                </c:pt>
                <c:pt idx="397">
                  <c:v>44369</c:v>
                </c:pt>
                <c:pt idx="398">
                  <c:v>44370</c:v>
                </c:pt>
                <c:pt idx="399">
                  <c:v>44371</c:v>
                </c:pt>
                <c:pt idx="400">
                  <c:v>44372</c:v>
                </c:pt>
                <c:pt idx="401">
                  <c:v>44375</c:v>
                </c:pt>
                <c:pt idx="402">
                  <c:v>44376</c:v>
                </c:pt>
                <c:pt idx="403">
                  <c:v>44377</c:v>
                </c:pt>
                <c:pt idx="404">
                  <c:v>44379</c:v>
                </c:pt>
                <c:pt idx="405">
                  <c:v>44382</c:v>
                </c:pt>
                <c:pt idx="406">
                  <c:v>44383</c:v>
                </c:pt>
                <c:pt idx="407">
                  <c:v>44384</c:v>
                </c:pt>
                <c:pt idx="408">
                  <c:v>44385</c:v>
                </c:pt>
                <c:pt idx="409">
                  <c:v>44386</c:v>
                </c:pt>
                <c:pt idx="410">
                  <c:v>44389</c:v>
                </c:pt>
                <c:pt idx="411">
                  <c:v>44390</c:v>
                </c:pt>
                <c:pt idx="412">
                  <c:v>44391</c:v>
                </c:pt>
                <c:pt idx="413">
                  <c:v>44392</c:v>
                </c:pt>
                <c:pt idx="414">
                  <c:v>44393</c:v>
                </c:pt>
                <c:pt idx="415">
                  <c:v>44396</c:v>
                </c:pt>
                <c:pt idx="416">
                  <c:v>44397</c:v>
                </c:pt>
                <c:pt idx="417">
                  <c:v>44398</c:v>
                </c:pt>
                <c:pt idx="418">
                  <c:v>44399</c:v>
                </c:pt>
                <c:pt idx="419">
                  <c:v>44400</c:v>
                </c:pt>
                <c:pt idx="420">
                  <c:v>44403</c:v>
                </c:pt>
                <c:pt idx="421">
                  <c:v>44404</c:v>
                </c:pt>
                <c:pt idx="422">
                  <c:v>44405</c:v>
                </c:pt>
                <c:pt idx="423">
                  <c:v>44406</c:v>
                </c:pt>
                <c:pt idx="424">
                  <c:v>44407</c:v>
                </c:pt>
                <c:pt idx="425">
                  <c:v>44411</c:v>
                </c:pt>
                <c:pt idx="426">
                  <c:v>44412</c:v>
                </c:pt>
                <c:pt idx="427">
                  <c:v>44413</c:v>
                </c:pt>
                <c:pt idx="428">
                  <c:v>44414</c:v>
                </c:pt>
                <c:pt idx="429">
                  <c:v>44417</c:v>
                </c:pt>
                <c:pt idx="430">
                  <c:v>44418</c:v>
                </c:pt>
                <c:pt idx="431">
                  <c:v>44419</c:v>
                </c:pt>
                <c:pt idx="432">
                  <c:v>44420</c:v>
                </c:pt>
                <c:pt idx="433">
                  <c:v>44421</c:v>
                </c:pt>
                <c:pt idx="434">
                  <c:v>44424</c:v>
                </c:pt>
                <c:pt idx="435">
                  <c:v>44425</c:v>
                </c:pt>
                <c:pt idx="436">
                  <c:v>44426</c:v>
                </c:pt>
                <c:pt idx="437">
                  <c:v>44427</c:v>
                </c:pt>
                <c:pt idx="438">
                  <c:v>44428</c:v>
                </c:pt>
                <c:pt idx="439">
                  <c:v>44431</c:v>
                </c:pt>
                <c:pt idx="440">
                  <c:v>44432</c:v>
                </c:pt>
                <c:pt idx="441">
                  <c:v>44433</c:v>
                </c:pt>
                <c:pt idx="442">
                  <c:v>44434</c:v>
                </c:pt>
                <c:pt idx="443">
                  <c:v>44435</c:v>
                </c:pt>
                <c:pt idx="444">
                  <c:v>44438</c:v>
                </c:pt>
                <c:pt idx="445">
                  <c:v>44439</c:v>
                </c:pt>
                <c:pt idx="446">
                  <c:v>44440</c:v>
                </c:pt>
                <c:pt idx="447">
                  <c:v>44441</c:v>
                </c:pt>
                <c:pt idx="448">
                  <c:v>44442</c:v>
                </c:pt>
                <c:pt idx="449">
                  <c:v>44446</c:v>
                </c:pt>
                <c:pt idx="450">
                  <c:v>44447</c:v>
                </c:pt>
                <c:pt idx="451">
                  <c:v>44448</c:v>
                </c:pt>
                <c:pt idx="452">
                  <c:v>44449</c:v>
                </c:pt>
                <c:pt idx="453">
                  <c:v>44452</c:v>
                </c:pt>
                <c:pt idx="454">
                  <c:v>44453</c:v>
                </c:pt>
                <c:pt idx="455">
                  <c:v>44454</c:v>
                </c:pt>
                <c:pt idx="456">
                  <c:v>44455</c:v>
                </c:pt>
                <c:pt idx="457">
                  <c:v>44456</c:v>
                </c:pt>
                <c:pt idx="458">
                  <c:v>44459</c:v>
                </c:pt>
                <c:pt idx="459">
                  <c:v>44460</c:v>
                </c:pt>
                <c:pt idx="460">
                  <c:v>44461</c:v>
                </c:pt>
                <c:pt idx="461">
                  <c:v>44462</c:v>
                </c:pt>
                <c:pt idx="462">
                  <c:v>44463</c:v>
                </c:pt>
                <c:pt idx="463">
                  <c:v>44466</c:v>
                </c:pt>
                <c:pt idx="464">
                  <c:v>44467</c:v>
                </c:pt>
                <c:pt idx="465">
                  <c:v>44468</c:v>
                </c:pt>
                <c:pt idx="466">
                  <c:v>44469</c:v>
                </c:pt>
                <c:pt idx="467">
                  <c:v>44470</c:v>
                </c:pt>
                <c:pt idx="468">
                  <c:v>44473</c:v>
                </c:pt>
                <c:pt idx="469">
                  <c:v>44474</c:v>
                </c:pt>
                <c:pt idx="470">
                  <c:v>44475</c:v>
                </c:pt>
                <c:pt idx="471">
                  <c:v>44476</c:v>
                </c:pt>
                <c:pt idx="472">
                  <c:v>44477</c:v>
                </c:pt>
                <c:pt idx="473">
                  <c:v>44481</c:v>
                </c:pt>
                <c:pt idx="474">
                  <c:v>44482</c:v>
                </c:pt>
                <c:pt idx="475">
                  <c:v>44483</c:v>
                </c:pt>
                <c:pt idx="476">
                  <c:v>44484</c:v>
                </c:pt>
                <c:pt idx="477">
                  <c:v>44487</c:v>
                </c:pt>
                <c:pt idx="478">
                  <c:v>44488</c:v>
                </c:pt>
                <c:pt idx="479">
                  <c:v>44489</c:v>
                </c:pt>
                <c:pt idx="480">
                  <c:v>44490</c:v>
                </c:pt>
                <c:pt idx="481">
                  <c:v>44491</c:v>
                </c:pt>
                <c:pt idx="482">
                  <c:v>44494</c:v>
                </c:pt>
                <c:pt idx="483">
                  <c:v>44495</c:v>
                </c:pt>
                <c:pt idx="484">
                  <c:v>44496</c:v>
                </c:pt>
                <c:pt idx="485">
                  <c:v>44497</c:v>
                </c:pt>
                <c:pt idx="486">
                  <c:v>44498</c:v>
                </c:pt>
                <c:pt idx="487">
                  <c:v>44501</c:v>
                </c:pt>
                <c:pt idx="488">
                  <c:v>44502</c:v>
                </c:pt>
                <c:pt idx="489">
                  <c:v>44503</c:v>
                </c:pt>
                <c:pt idx="490">
                  <c:v>44504</c:v>
                </c:pt>
                <c:pt idx="491">
                  <c:v>44505</c:v>
                </c:pt>
                <c:pt idx="492">
                  <c:v>44508</c:v>
                </c:pt>
                <c:pt idx="493">
                  <c:v>44509</c:v>
                </c:pt>
                <c:pt idx="494">
                  <c:v>44510</c:v>
                </c:pt>
                <c:pt idx="495">
                  <c:v>44511</c:v>
                </c:pt>
                <c:pt idx="496">
                  <c:v>44512</c:v>
                </c:pt>
                <c:pt idx="497">
                  <c:v>44515</c:v>
                </c:pt>
                <c:pt idx="498">
                  <c:v>44516</c:v>
                </c:pt>
                <c:pt idx="499">
                  <c:v>44517</c:v>
                </c:pt>
                <c:pt idx="500">
                  <c:v>44518</c:v>
                </c:pt>
                <c:pt idx="501">
                  <c:v>44519</c:v>
                </c:pt>
                <c:pt idx="502">
                  <c:v>44522</c:v>
                </c:pt>
                <c:pt idx="503">
                  <c:v>44523</c:v>
                </c:pt>
                <c:pt idx="504">
                  <c:v>44524</c:v>
                </c:pt>
                <c:pt idx="505">
                  <c:v>44525</c:v>
                </c:pt>
                <c:pt idx="506">
                  <c:v>44526</c:v>
                </c:pt>
                <c:pt idx="507">
                  <c:v>44529</c:v>
                </c:pt>
                <c:pt idx="508">
                  <c:v>44530</c:v>
                </c:pt>
                <c:pt idx="509">
                  <c:v>44531</c:v>
                </c:pt>
                <c:pt idx="510">
                  <c:v>44532</c:v>
                </c:pt>
                <c:pt idx="511">
                  <c:v>44533</c:v>
                </c:pt>
                <c:pt idx="512">
                  <c:v>44536</c:v>
                </c:pt>
                <c:pt idx="513">
                  <c:v>44537</c:v>
                </c:pt>
                <c:pt idx="514">
                  <c:v>44538</c:v>
                </c:pt>
                <c:pt idx="515">
                  <c:v>44539</c:v>
                </c:pt>
                <c:pt idx="516">
                  <c:v>44540</c:v>
                </c:pt>
                <c:pt idx="517">
                  <c:v>44543</c:v>
                </c:pt>
                <c:pt idx="518">
                  <c:v>44544</c:v>
                </c:pt>
                <c:pt idx="519">
                  <c:v>44545</c:v>
                </c:pt>
                <c:pt idx="520">
                  <c:v>44546</c:v>
                </c:pt>
                <c:pt idx="521">
                  <c:v>44547</c:v>
                </c:pt>
                <c:pt idx="522">
                  <c:v>44550</c:v>
                </c:pt>
                <c:pt idx="523">
                  <c:v>44551</c:v>
                </c:pt>
                <c:pt idx="524">
                  <c:v>44552</c:v>
                </c:pt>
                <c:pt idx="525">
                  <c:v>44553</c:v>
                </c:pt>
                <c:pt idx="526">
                  <c:v>44554</c:v>
                </c:pt>
                <c:pt idx="527">
                  <c:v>44559</c:v>
                </c:pt>
                <c:pt idx="528">
                  <c:v>44560</c:v>
                </c:pt>
                <c:pt idx="529">
                  <c:v>44561</c:v>
                </c:pt>
                <c:pt idx="530">
                  <c:v>44565</c:v>
                </c:pt>
                <c:pt idx="531">
                  <c:v>44566</c:v>
                </c:pt>
                <c:pt idx="532">
                  <c:v>44567</c:v>
                </c:pt>
                <c:pt idx="533">
                  <c:v>44568</c:v>
                </c:pt>
                <c:pt idx="534">
                  <c:v>44571</c:v>
                </c:pt>
                <c:pt idx="535">
                  <c:v>44572</c:v>
                </c:pt>
                <c:pt idx="536">
                  <c:v>44573</c:v>
                </c:pt>
                <c:pt idx="537">
                  <c:v>44574</c:v>
                </c:pt>
                <c:pt idx="538">
                  <c:v>44575</c:v>
                </c:pt>
                <c:pt idx="539">
                  <c:v>44578</c:v>
                </c:pt>
                <c:pt idx="540">
                  <c:v>44579</c:v>
                </c:pt>
                <c:pt idx="541">
                  <c:v>44580</c:v>
                </c:pt>
                <c:pt idx="542">
                  <c:v>44581</c:v>
                </c:pt>
                <c:pt idx="543">
                  <c:v>44582</c:v>
                </c:pt>
                <c:pt idx="544">
                  <c:v>44585</c:v>
                </c:pt>
                <c:pt idx="545">
                  <c:v>44586</c:v>
                </c:pt>
                <c:pt idx="546">
                  <c:v>44587</c:v>
                </c:pt>
                <c:pt idx="547">
                  <c:v>44588</c:v>
                </c:pt>
                <c:pt idx="548">
                  <c:v>44589</c:v>
                </c:pt>
                <c:pt idx="549">
                  <c:v>44592</c:v>
                </c:pt>
                <c:pt idx="550">
                  <c:v>44593</c:v>
                </c:pt>
                <c:pt idx="551">
                  <c:v>44594</c:v>
                </c:pt>
                <c:pt idx="552">
                  <c:v>44595</c:v>
                </c:pt>
                <c:pt idx="553">
                  <c:v>44596</c:v>
                </c:pt>
                <c:pt idx="554">
                  <c:v>44599</c:v>
                </c:pt>
                <c:pt idx="555">
                  <c:v>44600</c:v>
                </c:pt>
                <c:pt idx="556">
                  <c:v>44601</c:v>
                </c:pt>
                <c:pt idx="557">
                  <c:v>44602</c:v>
                </c:pt>
                <c:pt idx="558">
                  <c:v>44603</c:v>
                </c:pt>
                <c:pt idx="559">
                  <c:v>44606</c:v>
                </c:pt>
                <c:pt idx="560">
                  <c:v>44607</c:v>
                </c:pt>
                <c:pt idx="561">
                  <c:v>44608</c:v>
                </c:pt>
                <c:pt idx="562">
                  <c:v>44609</c:v>
                </c:pt>
                <c:pt idx="563">
                  <c:v>44610</c:v>
                </c:pt>
                <c:pt idx="564">
                  <c:v>44614</c:v>
                </c:pt>
                <c:pt idx="565">
                  <c:v>44615</c:v>
                </c:pt>
                <c:pt idx="566">
                  <c:v>44616</c:v>
                </c:pt>
                <c:pt idx="567">
                  <c:v>44617</c:v>
                </c:pt>
                <c:pt idx="568">
                  <c:v>44620</c:v>
                </c:pt>
                <c:pt idx="569">
                  <c:v>44621</c:v>
                </c:pt>
                <c:pt idx="570">
                  <c:v>44622</c:v>
                </c:pt>
                <c:pt idx="571">
                  <c:v>44623</c:v>
                </c:pt>
                <c:pt idx="572">
                  <c:v>44624</c:v>
                </c:pt>
                <c:pt idx="573">
                  <c:v>44627</c:v>
                </c:pt>
                <c:pt idx="574">
                  <c:v>44628</c:v>
                </c:pt>
                <c:pt idx="575">
                  <c:v>44629</c:v>
                </c:pt>
                <c:pt idx="576">
                  <c:v>44630</c:v>
                </c:pt>
                <c:pt idx="577">
                  <c:v>44631</c:v>
                </c:pt>
                <c:pt idx="578">
                  <c:v>44634</c:v>
                </c:pt>
                <c:pt idx="579">
                  <c:v>44635</c:v>
                </c:pt>
                <c:pt idx="580">
                  <c:v>44636</c:v>
                </c:pt>
                <c:pt idx="581">
                  <c:v>44637</c:v>
                </c:pt>
                <c:pt idx="582">
                  <c:v>44638</c:v>
                </c:pt>
                <c:pt idx="583">
                  <c:v>44641</c:v>
                </c:pt>
                <c:pt idx="584">
                  <c:v>44642</c:v>
                </c:pt>
                <c:pt idx="585">
                  <c:v>44643</c:v>
                </c:pt>
                <c:pt idx="586">
                  <c:v>44644</c:v>
                </c:pt>
                <c:pt idx="587">
                  <c:v>44645</c:v>
                </c:pt>
                <c:pt idx="588">
                  <c:v>44648</c:v>
                </c:pt>
                <c:pt idx="589">
                  <c:v>44649</c:v>
                </c:pt>
                <c:pt idx="590">
                  <c:v>44650</c:v>
                </c:pt>
                <c:pt idx="591">
                  <c:v>44651</c:v>
                </c:pt>
                <c:pt idx="592">
                  <c:v>44652</c:v>
                </c:pt>
                <c:pt idx="593">
                  <c:v>44655</c:v>
                </c:pt>
                <c:pt idx="594">
                  <c:v>44656</c:v>
                </c:pt>
                <c:pt idx="595">
                  <c:v>44657</c:v>
                </c:pt>
                <c:pt idx="596">
                  <c:v>44658</c:v>
                </c:pt>
                <c:pt idx="597">
                  <c:v>44659</c:v>
                </c:pt>
                <c:pt idx="598">
                  <c:v>44662</c:v>
                </c:pt>
                <c:pt idx="599">
                  <c:v>44663</c:v>
                </c:pt>
                <c:pt idx="600">
                  <c:v>44664</c:v>
                </c:pt>
                <c:pt idx="601">
                  <c:v>44665</c:v>
                </c:pt>
                <c:pt idx="602">
                  <c:v>44669</c:v>
                </c:pt>
                <c:pt idx="603">
                  <c:v>44670</c:v>
                </c:pt>
                <c:pt idx="604">
                  <c:v>44671</c:v>
                </c:pt>
                <c:pt idx="605">
                  <c:v>44672</c:v>
                </c:pt>
                <c:pt idx="606">
                  <c:v>44673</c:v>
                </c:pt>
                <c:pt idx="607">
                  <c:v>44676</c:v>
                </c:pt>
                <c:pt idx="608">
                  <c:v>44677</c:v>
                </c:pt>
                <c:pt idx="609">
                  <c:v>44678</c:v>
                </c:pt>
                <c:pt idx="610">
                  <c:v>44679</c:v>
                </c:pt>
                <c:pt idx="611">
                  <c:v>44680</c:v>
                </c:pt>
                <c:pt idx="612">
                  <c:v>44683</c:v>
                </c:pt>
                <c:pt idx="613">
                  <c:v>44684</c:v>
                </c:pt>
                <c:pt idx="614">
                  <c:v>44685</c:v>
                </c:pt>
                <c:pt idx="615">
                  <c:v>44686</c:v>
                </c:pt>
                <c:pt idx="616">
                  <c:v>44687</c:v>
                </c:pt>
                <c:pt idx="617">
                  <c:v>44690</c:v>
                </c:pt>
                <c:pt idx="618">
                  <c:v>44691</c:v>
                </c:pt>
                <c:pt idx="619">
                  <c:v>44692</c:v>
                </c:pt>
                <c:pt idx="620">
                  <c:v>44693</c:v>
                </c:pt>
                <c:pt idx="621">
                  <c:v>44694</c:v>
                </c:pt>
                <c:pt idx="622">
                  <c:v>44697</c:v>
                </c:pt>
                <c:pt idx="623">
                  <c:v>44698</c:v>
                </c:pt>
                <c:pt idx="624">
                  <c:v>44699</c:v>
                </c:pt>
                <c:pt idx="625">
                  <c:v>44700</c:v>
                </c:pt>
                <c:pt idx="626">
                  <c:v>44701</c:v>
                </c:pt>
                <c:pt idx="627">
                  <c:v>44705</c:v>
                </c:pt>
                <c:pt idx="628">
                  <c:v>44706</c:v>
                </c:pt>
                <c:pt idx="629">
                  <c:v>44707</c:v>
                </c:pt>
                <c:pt idx="630">
                  <c:v>44708</c:v>
                </c:pt>
                <c:pt idx="631">
                  <c:v>44711</c:v>
                </c:pt>
                <c:pt idx="632">
                  <c:v>44712</c:v>
                </c:pt>
                <c:pt idx="633">
                  <c:v>44713</c:v>
                </c:pt>
                <c:pt idx="634">
                  <c:v>44714</c:v>
                </c:pt>
                <c:pt idx="635">
                  <c:v>44715</c:v>
                </c:pt>
                <c:pt idx="636">
                  <c:v>44718</c:v>
                </c:pt>
                <c:pt idx="637">
                  <c:v>44719</c:v>
                </c:pt>
                <c:pt idx="638">
                  <c:v>44720</c:v>
                </c:pt>
                <c:pt idx="639">
                  <c:v>44721</c:v>
                </c:pt>
                <c:pt idx="640">
                  <c:v>44722</c:v>
                </c:pt>
                <c:pt idx="641">
                  <c:v>44725</c:v>
                </c:pt>
                <c:pt idx="642">
                  <c:v>44726</c:v>
                </c:pt>
                <c:pt idx="643">
                  <c:v>44727</c:v>
                </c:pt>
                <c:pt idx="644">
                  <c:v>44728</c:v>
                </c:pt>
                <c:pt idx="645">
                  <c:v>44729</c:v>
                </c:pt>
                <c:pt idx="646">
                  <c:v>44732</c:v>
                </c:pt>
                <c:pt idx="647">
                  <c:v>44733</c:v>
                </c:pt>
                <c:pt idx="648">
                  <c:v>44734</c:v>
                </c:pt>
                <c:pt idx="649">
                  <c:v>44735</c:v>
                </c:pt>
                <c:pt idx="650">
                  <c:v>44736</c:v>
                </c:pt>
                <c:pt idx="651">
                  <c:v>44739</c:v>
                </c:pt>
                <c:pt idx="652">
                  <c:v>44740</c:v>
                </c:pt>
                <c:pt idx="653">
                  <c:v>44741</c:v>
                </c:pt>
                <c:pt idx="654">
                  <c:v>44742</c:v>
                </c:pt>
                <c:pt idx="655">
                  <c:v>44746</c:v>
                </c:pt>
                <c:pt idx="656">
                  <c:v>44747</c:v>
                </c:pt>
                <c:pt idx="657">
                  <c:v>44748</c:v>
                </c:pt>
                <c:pt idx="658">
                  <c:v>44749</c:v>
                </c:pt>
                <c:pt idx="659">
                  <c:v>44750</c:v>
                </c:pt>
                <c:pt idx="660">
                  <c:v>44753</c:v>
                </c:pt>
                <c:pt idx="661">
                  <c:v>44754</c:v>
                </c:pt>
                <c:pt idx="662">
                  <c:v>44755</c:v>
                </c:pt>
                <c:pt idx="663">
                  <c:v>44756</c:v>
                </c:pt>
                <c:pt idx="664">
                  <c:v>44757</c:v>
                </c:pt>
                <c:pt idx="665">
                  <c:v>44760</c:v>
                </c:pt>
                <c:pt idx="666">
                  <c:v>44761</c:v>
                </c:pt>
                <c:pt idx="667">
                  <c:v>44762</c:v>
                </c:pt>
                <c:pt idx="668">
                  <c:v>44763</c:v>
                </c:pt>
                <c:pt idx="669">
                  <c:v>44764</c:v>
                </c:pt>
                <c:pt idx="670">
                  <c:v>44767</c:v>
                </c:pt>
                <c:pt idx="671">
                  <c:v>44768</c:v>
                </c:pt>
                <c:pt idx="672">
                  <c:v>44769</c:v>
                </c:pt>
                <c:pt idx="673">
                  <c:v>44770</c:v>
                </c:pt>
                <c:pt idx="674">
                  <c:v>44771</c:v>
                </c:pt>
                <c:pt idx="675">
                  <c:v>44775</c:v>
                </c:pt>
                <c:pt idx="676">
                  <c:v>44776</c:v>
                </c:pt>
                <c:pt idx="677">
                  <c:v>44777</c:v>
                </c:pt>
                <c:pt idx="678">
                  <c:v>44778</c:v>
                </c:pt>
                <c:pt idx="679">
                  <c:v>44781</c:v>
                </c:pt>
                <c:pt idx="680">
                  <c:v>44782</c:v>
                </c:pt>
                <c:pt idx="681">
                  <c:v>44783</c:v>
                </c:pt>
                <c:pt idx="682">
                  <c:v>44784</c:v>
                </c:pt>
                <c:pt idx="683">
                  <c:v>44785</c:v>
                </c:pt>
                <c:pt idx="684">
                  <c:v>44788</c:v>
                </c:pt>
                <c:pt idx="685">
                  <c:v>44789</c:v>
                </c:pt>
                <c:pt idx="686">
                  <c:v>44790</c:v>
                </c:pt>
                <c:pt idx="687">
                  <c:v>44791</c:v>
                </c:pt>
                <c:pt idx="688">
                  <c:v>44792</c:v>
                </c:pt>
                <c:pt idx="689">
                  <c:v>44795</c:v>
                </c:pt>
                <c:pt idx="690">
                  <c:v>44796</c:v>
                </c:pt>
                <c:pt idx="691">
                  <c:v>44797</c:v>
                </c:pt>
                <c:pt idx="692">
                  <c:v>44798</c:v>
                </c:pt>
                <c:pt idx="693">
                  <c:v>44799</c:v>
                </c:pt>
                <c:pt idx="694">
                  <c:v>44802</c:v>
                </c:pt>
                <c:pt idx="695">
                  <c:v>44803</c:v>
                </c:pt>
                <c:pt idx="696">
                  <c:v>44804</c:v>
                </c:pt>
                <c:pt idx="697">
                  <c:v>44805</c:v>
                </c:pt>
                <c:pt idx="698">
                  <c:v>44806</c:v>
                </c:pt>
                <c:pt idx="699">
                  <c:v>44810</c:v>
                </c:pt>
                <c:pt idx="700">
                  <c:v>44811</c:v>
                </c:pt>
                <c:pt idx="701">
                  <c:v>44812</c:v>
                </c:pt>
                <c:pt idx="702">
                  <c:v>44813</c:v>
                </c:pt>
                <c:pt idx="703">
                  <c:v>44816</c:v>
                </c:pt>
                <c:pt idx="704">
                  <c:v>44817</c:v>
                </c:pt>
                <c:pt idx="705">
                  <c:v>44818</c:v>
                </c:pt>
                <c:pt idx="706">
                  <c:v>44819</c:v>
                </c:pt>
                <c:pt idx="707">
                  <c:v>44820</c:v>
                </c:pt>
                <c:pt idx="708">
                  <c:v>44823</c:v>
                </c:pt>
                <c:pt idx="709">
                  <c:v>44824</c:v>
                </c:pt>
                <c:pt idx="710">
                  <c:v>44825</c:v>
                </c:pt>
                <c:pt idx="711">
                  <c:v>44826</c:v>
                </c:pt>
                <c:pt idx="712">
                  <c:v>44827</c:v>
                </c:pt>
                <c:pt idx="713">
                  <c:v>44830</c:v>
                </c:pt>
                <c:pt idx="714">
                  <c:v>44831</c:v>
                </c:pt>
                <c:pt idx="715">
                  <c:v>44832</c:v>
                </c:pt>
                <c:pt idx="716">
                  <c:v>44833</c:v>
                </c:pt>
                <c:pt idx="717">
                  <c:v>44834</c:v>
                </c:pt>
                <c:pt idx="718">
                  <c:v>44837</c:v>
                </c:pt>
                <c:pt idx="719">
                  <c:v>44838</c:v>
                </c:pt>
                <c:pt idx="720">
                  <c:v>44839</c:v>
                </c:pt>
                <c:pt idx="721">
                  <c:v>44840</c:v>
                </c:pt>
                <c:pt idx="722">
                  <c:v>44841</c:v>
                </c:pt>
                <c:pt idx="723">
                  <c:v>44845</c:v>
                </c:pt>
                <c:pt idx="724">
                  <c:v>44846</c:v>
                </c:pt>
                <c:pt idx="725">
                  <c:v>44847</c:v>
                </c:pt>
                <c:pt idx="726">
                  <c:v>44848</c:v>
                </c:pt>
                <c:pt idx="727">
                  <c:v>44851</c:v>
                </c:pt>
                <c:pt idx="728">
                  <c:v>44852</c:v>
                </c:pt>
                <c:pt idx="729">
                  <c:v>44853</c:v>
                </c:pt>
                <c:pt idx="730">
                  <c:v>44854</c:v>
                </c:pt>
                <c:pt idx="731">
                  <c:v>44855</c:v>
                </c:pt>
                <c:pt idx="732">
                  <c:v>44858</c:v>
                </c:pt>
                <c:pt idx="733">
                  <c:v>44859</c:v>
                </c:pt>
                <c:pt idx="734">
                  <c:v>44860</c:v>
                </c:pt>
                <c:pt idx="735">
                  <c:v>44861</c:v>
                </c:pt>
                <c:pt idx="736">
                  <c:v>44862</c:v>
                </c:pt>
                <c:pt idx="737">
                  <c:v>44865</c:v>
                </c:pt>
                <c:pt idx="738">
                  <c:v>44866</c:v>
                </c:pt>
                <c:pt idx="739">
                  <c:v>44867</c:v>
                </c:pt>
                <c:pt idx="740">
                  <c:v>44868</c:v>
                </c:pt>
                <c:pt idx="741">
                  <c:v>44869</c:v>
                </c:pt>
                <c:pt idx="742">
                  <c:v>44872</c:v>
                </c:pt>
                <c:pt idx="743">
                  <c:v>44873</c:v>
                </c:pt>
                <c:pt idx="744">
                  <c:v>44874</c:v>
                </c:pt>
                <c:pt idx="745">
                  <c:v>44875</c:v>
                </c:pt>
                <c:pt idx="746">
                  <c:v>44876</c:v>
                </c:pt>
                <c:pt idx="747">
                  <c:v>44879</c:v>
                </c:pt>
                <c:pt idx="748">
                  <c:v>44880</c:v>
                </c:pt>
                <c:pt idx="749">
                  <c:v>44881</c:v>
                </c:pt>
                <c:pt idx="750">
                  <c:v>44882</c:v>
                </c:pt>
                <c:pt idx="751">
                  <c:v>44883</c:v>
                </c:pt>
                <c:pt idx="752">
                  <c:v>44886</c:v>
                </c:pt>
                <c:pt idx="753">
                  <c:v>44887</c:v>
                </c:pt>
                <c:pt idx="754">
                  <c:v>44888</c:v>
                </c:pt>
                <c:pt idx="755">
                  <c:v>44889</c:v>
                </c:pt>
                <c:pt idx="756">
                  <c:v>44890</c:v>
                </c:pt>
                <c:pt idx="757">
                  <c:v>44893</c:v>
                </c:pt>
                <c:pt idx="758">
                  <c:v>44894</c:v>
                </c:pt>
                <c:pt idx="759">
                  <c:v>44895</c:v>
                </c:pt>
                <c:pt idx="760">
                  <c:v>44896</c:v>
                </c:pt>
                <c:pt idx="761">
                  <c:v>44897</c:v>
                </c:pt>
                <c:pt idx="762">
                  <c:v>44900</c:v>
                </c:pt>
                <c:pt idx="763">
                  <c:v>44901</c:v>
                </c:pt>
                <c:pt idx="764">
                  <c:v>44902</c:v>
                </c:pt>
                <c:pt idx="765">
                  <c:v>44903</c:v>
                </c:pt>
                <c:pt idx="766">
                  <c:v>44904</c:v>
                </c:pt>
                <c:pt idx="767">
                  <c:v>44907</c:v>
                </c:pt>
                <c:pt idx="768">
                  <c:v>44908</c:v>
                </c:pt>
                <c:pt idx="769">
                  <c:v>44909</c:v>
                </c:pt>
                <c:pt idx="770">
                  <c:v>44910</c:v>
                </c:pt>
                <c:pt idx="771">
                  <c:v>44911</c:v>
                </c:pt>
                <c:pt idx="772">
                  <c:v>44914</c:v>
                </c:pt>
                <c:pt idx="773">
                  <c:v>44915</c:v>
                </c:pt>
                <c:pt idx="774">
                  <c:v>44916</c:v>
                </c:pt>
                <c:pt idx="775">
                  <c:v>44917</c:v>
                </c:pt>
                <c:pt idx="776">
                  <c:v>44918</c:v>
                </c:pt>
                <c:pt idx="777">
                  <c:v>44923</c:v>
                </c:pt>
                <c:pt idx="778">
                  <c:v>44924</c:v>
                </c:pt>
                <c:pt idx="779">
                  <c:v>44925</c:v>
                </c:pt>
                <c:pt idx="780">
                  <c:v>44929</c:v>
                </c:pt>
                <c:pt idx="781">
                  <c:v>44930</c:v>
                </c:pt>
                <c:pt idx="782">
                  <c:v>44931</c:v>
                </c:pt>
                <c:pt idx="783">
                  <c:v>44932</c:v>
                </c:pt>
                <c:pt idx="784">
                  <c:v>44935</c:v>
                </c:pt>
                <c:pt idx="785">
                  <c:v>44936</c:v>
                </c:pt>
                <c:pt idx="786">
                  <c:v>44937</c:v>
                </c:pt>
                <c:pt idx="787">
                  <c:v>44938</c:v>
                </c:pt>
                <c:pt idx="788">
                  <c:v>44939</c:v>
                </c:pt>
                <c:pt idx="789">
                  <c:v>44942</c:v>
                </c:pt>
                <c:pt idx="790">
                  <c:v>44943</c:v>
                </c:pt>
                <c:pt idx="791">
                  <c:v>44944</c:v>
                </c:pt>
                <c:pt idx="792">
                  <c:v>44945</c:v>
                </c:pt>
                <c:pt idx="793">
                  <c:v>44946</c:v>
                </c:pt>
                <c:pt idx="794">
                  <c:v>44949</c:v>
                </c:pt>
                <c:pt idx="795">
                  <c:v>44950</c:v>
                </c:pt>
                <c:pt idx="796">
                  <c:v>44951</c:v>
                </c:pt>
                <c:pt idx="797">
                  <c:v>44952</c:v>
                </c:pt>
                <c:pt idx="798">
                  <c:v>44953</c:v>
                </c:pt>
                <c:pt idx="799">
                  <c:v>44956</c:v>
                </c:pt>
                <c:pt idx="800">
                  <c:v>44957</c:v>
                </c:pt>
                <c:pt idx="801">
                  <c:v>44958</c:v>
                </c:pt>
                <c:pt idx="802">
                  <c:v>44959</c:v>
                </c:pt>
                <c:pt idx="803">
                  <c:v>44960</c:v>
                </c:pt>
                <c:pt idx="804">
                  <c:v>44963</c:v>
                </c:pt>
                <c:pt idx="805">
                  <c:v>44964</c:v>
                </c:pt>
                <c:pt idx="806">
                  <c:v>44965</c:v>
                </c:pt>
                <c:pt idx="807">
                  <c:v>44966</c:v>
                </c:pt>
                <c:pt idx="808">
                  <c:v>44967</c:v>
                </c:pt>
                <c:pt idx="809">
                  <c:v>44970</c:v>
                </c:pt>
                <c:pt idx="810">
                  <c:v>44971</c:v>
                </c:pt>
                <c:pt idx="811">
                  <c:v>44972</c:v>
                </c:pt>
                <c:pt idx="812">
                  <c:v>44973</c:v>
                </c:pt>
                <c:pt idx="813">
                  <c:v>44974</c:v>
                </c:pt>
                <c:pt idx="814">
                  <c:v>44978</c:v>
                </c:pt>
                <c:pt idx="815">
                  <c:v>44979</c:v>
                </c:pt>
                <c:pt idx="816">
                  <c:v>44980</c:v>
                </c:pt>
                <c:pt idx="817">
                  <c:v>44981</c:v>
                </c:pt>
                <c:pt idx="818">
                  <c:v>44984</c:v>
                </c:pt>
                <c:pt idx="819">
                  <c:v>44985</c:v>
                </c:pt>
                <c:pt idx="820">
                  <c:v>44986</c:v>
                </c:pt>
                <c:pt idx="821">
                  <c:v>44987</c:v>
                </c:pt>
                <c:pt idx="822">
                  <c:v>44988</c:v>
                </c:pt>
                <c:pt idx="823">
                  <c:v>44991</c:v>
                </c:pt>
                <c:pt idx="824">
                  <c:v>44992</c:v>
                </c:pt>
                <c:pt idx="825">
                  <c:v>44993</c:v>
                </c:pt>
                <c:pt idx="826">
                  <c:v>44994</c:v>
                </c:pt>
                <c:pt idx="827">
                  <c:v>44995</c:v>
                </c:pt>
                <c:pt idx="828">
                  <c:v>44998</c:v>
                </c:pt>
                <c:pt idx="829">
                  <c:v>44999</c:v>
                </c:pt>
                <c:pt idx="830">
                  <c:v>45000</c:v>
                </c:pt>
                <c:pt idx="831">
                  <c:v>45001</c:v>
                </c:pt>
                <c:pt idx="832">
                  <c:v>45002</c:v>
                </c:pt>
                <c:pt idx="833">
                  <c:v>45005</c:v>
                </c:pt>
                <c:pt idx="834">
                  <c:v>45006</c:v>
                </c:pt>
                <c:pt idx="835">
                  <c:v>45007</c:v>
                </c:pt>
                <c:pt idx="836">
                  <c:v>45008</c:v>
                </c:pt>
                <c:pt idx="837">
                  <c:v>45009</c:v>
                </c:pt>
                <c:pt idx="838">
                  <c:v>45012</c:v>
                </c:pt>
                <c:pt idx="839">
                  <c:v>45013</c:v>
                </c:pt>
                <c:pt idx="840">
                  <c:v>45014</c:v>
                </c:pt>
                <c:pt idx="841">
                  <c:v>45015</c:v>
                </c:pt>
                <c:pt idx="842">
                  <c:v>45016</c:v>
                </c:pt>
                <c:pt idx="843">
                  <c:v>45019</c:v>
                </c:pt>
                <c:pt idx="844">
                  <c:v>45020</c:v>
                </c:pt>
                <c:pt idx="845">
                  <c:v>45021</c:v>
                </c:pt>
                <c:pt idx="846">
                  <c:v>45022</c:v>
                </c:pt>
                <c:pt idx="847">
                  <c:v>45026</c:v>
                </c:pt>
                <c:pt idx="848">
                  <c:v>45027</c:v>
                </c:pt>
                <c:pt idx="849">
                  <c:v>45028</c:v>
                </c:pt>
                <c:pt idx="850">
                  <c:v>45029</c:v>
                </c:pt>
                <c:pt idx="851">
                  <c:v>45030</c:v>
                </c:pt>
                <c:pt idx="852">
                  <c:v>45033</c:v>
                </c:pt>
                <c:pt idx="853">
                  <c:v>45034</c:v>
                </c:pt>
                <c:pt idx="854">
                  <c:v>45035</c:v>
                </c:pt>
                <c:pt idx="855">
                  <c:v>45036</c:v>
                </c:pt>
                <c:pt idx="856">
                  <c:v>45037</c:v>
                </c:pt>
                <c:pt idx="857">
                  <c:v>45040</c:v>
                </c:pt>
                <c:pt idx="858">
                  <c:v>45041</c:v>
                </c:pt>
                <c:pt idx="859">
                  <c:v>45042</c:v>
                </c:pt>
                <c:pt idx="860">
                  <c:v>45043</c:v>
                </c:pt>
                <c:pt idx="861">
                  <c:v>45044</c:v>
                </c:pt>
                <c:pt idx="862">
                  <c:v>45047</c:v>
                </c:pt>
                <c:pt idx="863">
                  <c:v>45048</c:v>
                </c:pt>
                <c:pt idx="864">
                  <c:v>45049</c:v>
                </c:pt>
                <c:pt idx="865">
                  <c:v>45050</c:v>
                </c:pt>
                <c:pt idx="866">
                  <c:v>45051</c:v>
                </c:pt>
                <c:pt idx="867">
                  <c:v>45054</c:v>
                </c:pt>
                <c:pt idx="868">
                  <c:v>45055</c:v>
                </c:pt>
                <c:pt idx="869">
                  <c:v>45056</c:v>
                </c:pt>
                <c:pt idx="870">
                  <c:v>45057</c:v>
                </c:pt>
                <c:pt idx="871">
                  <c:v>45058</c:v>
                </c:pt>
                <c:pt idx="872">
                  <c:v>45061</c:v>
                </c:pt>
                <c:pt idx="873">
                  <c:v>45062</c:v>
                </c:pt>
                <c:pt idx="874">
                  <c:v>45063</c:v>
                </c:pt>
                <c:pt idx="875">
                  <c:v>45064</c:v>
                </c:pt>
                <c:pt idx="876">
                  <c:v>45065</c:v>
                </c:pt>
                <c:pt idx="877">
                  <c:v>45069</c:v>
                </c:pt>
                <c:pt idx="878">
                  <c:v>45070</c:v>
                </c:pt>
                <c:pt idx="879">
                  <c:v>45071</c:v>
                </c:pt>
                <c:pt idx="880">
                  <c:v>45072</c:v>
                </c:pt>
                <c:pt idx="881">
                  <c:v>45075</c:v>
                </c:pt>
                <c:pt idx="882">
                  <c:v>45076</c:v>
                </c:pt>
                <c:pt idx="883">
                  <c:v>45077</c:v>
                </c:pt>
                <c:pt idx="884">
                  <c:v>45078</c:v>
                </c:pt>
                <c:pt idx="885">
                  <c:v>45079</c:v>
                </c:pt>
                <c:pt idx="886">
                  <c:v>45082</c:v>
                </c:pt>
                <c:pt idx="887">
                  <c:v>45083</c:v>
                </c:pt>
                <c:pt idx="888">
                  <c:v>45084</c:v>
                </c:pt>
                <c:pt idx="889">
                  <c:v>45085</c:v>
                </c:pt>
                <c:pt idx="890">
                  <c:v>45086</c:v>
                </c:pt>
                <c:pt idx="891">
                  <c:v>45089</c:v>
                </c:pt>
                <c:pt idx="892">
                  <c:v>45090</c:v>
                </c:pt>
                <c:pt idx="893">
                  <c:v>45091</c:v>
                </c:pt>
                <c:pt idx="894">
                  <c:v>45092</c:v>
                </c:pt>
                <c:pt idx="895">
                  <c:v>45093</c:v>
                </c:pt>
                <c:pt idx="896">
                  <c:v>45096</c:v>
                </c:pt>
                <c:pt idx="897">
                  <c:v>45097</c:v>
                </c:pt>
                <c:pt idx="898">
                  <c:v>45098</c:v>
                </c:pt>
                <c:pt idx="899">
                  <c:v>45099</c:v>
                </c:pt>
                <c:pt idx="900">
                  <c:v>45100</c:v>
                </c:pt>
                <c:pt idx="901">
                  <c:v>45103</c:v>
                </c:pt>
                <c:pt idx="902">
                  <c:v>45104</c:v>
                </c:pt>
                <c:pt idx="903">
                  <c:v>45105</c:v>
                </c:pt>
                <c:pt idx="904">
                  <c:v>45106</c:v>
                </c:pt>
                <c:pt idx="905">
                  <c:v>45107</c:v>
                </c:pt>
                <c:pt idx="906">
                  <c:v>45111</c:v>
                </c:pt>
                <c:pt idx="907">
                  <c:v>45112</c:v>
                </c:pt>
                <c:pt idx="908">
                  <c:v>45113</c:v>
                </c:pt>
                <c:pt idx="909">
                  <c:v>45114</c:v>
                </c:pt>
                <c:pt idx="910">
                  <c:v>45117</c:v>
                </c:pt>
                <c:pt idx="911">
                  <c:v>45118</c:v>
                </c:pt>
                <c:pt idx="912">
                  <c:v>45119</c:v>
                </c:pt>
                <c:pt idx="913">
                  <c:v>45120</c:v>
                </c:pt>
                <c:pt idx="914">
                  <c:v>45121</c:v>
                </c:pt>
                <c:pt idx="915">
                  <c:v>45124</c:v>
                </c:pt>
                <c:pt idx="916">
                  <c:v>45125</c:v>
                </c:pt>
                <c:pt idx="917">
                  <c:v>45126</c:v>
                </c:pt>
                <c:pt idx="918">
                  <c:v>45127</c:v>
                </c:pt>
                <c:pt idx="919">
                  <c:v>45128</c:v>
                </c:pt>
                <c:pt idx="920">
                  <c:v>45131</c:v>
                </c:pt>
                <c:pt idx="921">
                  <c:v>45132</c:v>
                </c:pt>
                <c:pt idx="922">
                  <c:v>45133</c:v>
                </c:pt>
                <c:pt idx="923">
                  <c:v>45134</c:v>
                </c:pt>
                <c:pt idx="924">
                  <c:v>45135</c:v>
                </c:pt>
                <c:pt idx="925">
                  <c:v>45138</c:v>
                </c:pt>
                <c:pt idx="926">
                  <c:v>45139</c:v>
                </c:pt>
                <c:pt idx="927">
                  <c:v>45140</c:v>
                </c:pt>
                <c:pt idx="928">
                  <c:v>45141</c:v>
                </c:pt>
                <c:pt idx="929">
                  <c:v>45142</c:v>
                </c:pt>
                <c:pt idx="930">
                  <c:v>45146</c:v>
                </c:pt>
                <c:pt idx="931">
                  <c:v>45147</c:v>
                </c:pt>
                <c:pt idx="932">
                  <c:v>45148</c:v>
                </c:pt>
                <c:pt idx="933">
                  <c:v>45149</c:v>
                </c:pt>
                <c:pt idx="934">
                  <c:v>45152</c:v>
                </c:pt>
                <c:pt idx="935">
                  <c:v>45153</c:v>
                </c:pt>
                <c:pt idx="936">
                  <c:v>45154</c:v>
                </c:pt>
                <c:pt idx="937">
                  <c:v>45155</c:v>
                </c:pt>
                <c:pt idx="938">
                  <c:v>45156</c:v>
                </c:pt>
                <c:pt idx="939">
                  <c:v>45159</c:v>
                </c:pt>
                <c:pt idx="940">
                  <c:v>45160</c:v>
                </c:pt>
                <c:pt idx="941">
                  <c:v>45161</c:v>
                </c:pt>
                <c:pt idx="942">
                  <c:v>45162</c:v>
                </c:pt>
                <c:pt idx="943">
                  <c:v>45163</c:v>
                </c:pt>
                <c:pt idx="944">
                  <c:v>45166</c:v>
                </c:pt>
                <c:pt idx="945">
                  <c:v>45167</c:v>
                </c:pt>
                <c:pt idx="946">
                  <c:v>45168</c:v>
                </c:pt>
                <c:pt idx="947">
                  <c:v>45169</c:v>
                </c:pt>
                <c:pt idx="948">
                  <c:v>45170</c:v>
                </c:pt>
                <c:pt idx="949">
                  <c:v>45174</c:v>
                </c:pt>
                <c:pt idx="950">
                  <c:v>45175</c:v>
                </c:pt>
                <c:pt idx="951">
                  <c:v>45176</c:v>
                </c:pt>
                <c:pt idx="952">
                  <c:v>45177</c:v>
                </c:pt>
                <c:pt idx="953">
                  <c:v>45180</c:v>
                </c:pt>
                <c:pt idx="954">
                  <c:v>45181</c:v>
                </c:pt>
                <c:pt idx="955">
                  <c:v>45182</c:v>
                </c:pt>
                <c:pt idx="956">
                  <c:v>45183</c:v>
                </c:pt>
                <c:pt idx="957">
                  <c:v>45184</c:v>
                </c:pt>
                <c:pt idx="958">
                  <c:v>45187</c:v>
                </c:pt>
                <c:pt idx="959">
                  <c:v>45188</c:v>
                </c:pt>
                <c:pt idx="960">
                  <c:v>45189</c:v>
                </c:pt>
                <c:pt idx="961">
                  <c:v>45190</c:v>
                </c:pt>
                <c:pt idx="962">
                  <c:v>45191</c:v>
                </c:pt>
                <c:pt idx="963">
                  <c:v>45194</c:v>
                </c:pt>
                <c:pt idx="964">
                  <c:v>45195</c:v>
                </c:pt>
                <c:pt idx="965">
                  <c:v>45196</c:v>
                </c:pt>
                <c:pt idx="966">
                  <c:v>45197</c:v>
                </c:pt>
                <c:pt idx="967">
                  <c:v>45198</c:v>
                </c:pt>
                <c:pt idx="968">
                  <c:v>45201</c:v>
                </c:pt>
                <c:pt idx="969">
                  <c:v>45202</c:v>
                </c:pt>
                <c:pt idx="970">
                  <c:v>45203</c:v>
                </c:pt>
                <c:pt idx="971">
                  <c:v>45204</c:v>
                </c:pt>
                <c:pt idx="972">
                  <c:v>45205</c:v>
                </c:pt>
                <c:pt idx="973">
                  <c:v>45209</c:v>
                </c:pt>
                <c:pt idx="974">
                  <c:v>45210</c:v>
                </c:pt>
                <c:pt idx="975">
                  <c:v>45211</c:v>
                </c:pt>
                <c:pt idx="976">
                  <c:v>45212</c:v>
                </c:pt>
                <c:pt idx="977">
                  <c:v>45215</c:v>
                </c:pt>
                <c:pt idx="978">
                  <c:v>45216</c:v>
                </c:pt>
                <c:pt idx="979">
                  <c:v>45217</c:v>
                </c:pt>
                <c:pt idx="980">
                  <c:v>45218</c:v>
                </c:pt>
                <c:pt idx="981">
                  <c:v>45219</c:v>
                </c:pt>
                <c:pt idx="982">
                  <c:v>45222</c:v>
                </c:pt>
                <c:pt idx="983">
                  <c:v>45223</c:v>
                </c:pt>
                <c:pt idx="984">
                  <c:v>45224</c:v>
                </c:pt>
                <c:pt idx="985">
                  <c:v>45225</c:v>
                </c:pt>
                <c:pt idx="986">
                  <c:v>45226</c:v>
                </c:pt>
                <c:pt idx="987">
                  <c:v>45229</c:v>
                </c:pt>
                <c:pt idx="988">
                  <c:v>45230</c:v>
                </c:pt>
                <c:pt idx="989">
                  <c:v>45231</c:v>
                </c:pt>
                <c:pt idx="990">
                  <c:v>45232</c:v>
                </c:pt>
                <c:pt idx="991">
                  <c:v>45233</c:v>
                </c:pt>
                <c:pt idx="992">
                  <c:v>45236</c:v>
                </c:pt>
                <c:pt idx="993">
                  <c:v>45237</c:v>
                </c:pt>
                <c:pt idx="994">
                  <c:v>45238</c:v>
                </c:pt>
                <c:pt idx="995">
                  <c:v>45239</c:v>
                </c:pt>
                <c:pt idx="996">
                  <c:v>45240</c:v>
                </c:pt>
                <c:pt idx="997">
                  <c:v>45243</c:v>
                </c:pt>
                <c:pt idx="998">
                  <c:v>45244</c:v>
                </c:pt>
                <c:pt idx="999">
                  <c:v>45245</c:v>
                </c:pt>
                <c:pt idx="1000">
                  <c:v>45246</c:v>
                </c:pt>
                <c:pt idx="1001">
                  <c:v>45247</c:v>
                </c:pt>
                <c:pt idx="1002">
                  <c:v>45250</c:v>
                </c:pt>
                <c:pt idx="1003">
                  <c:v>45251</c:v>
                </c:pt>
                <c:pt idx="1004">
                  <c:v>45252</c:v>
                </c:pt>
                <c:pt idx="1005">
                  <c:v>45253</c:v>
                </c:pt>
                <c:pt idx="1006">
                  <c:v>45254</c:v>
                </c:pt>
                <c:pt idx="1007">
                  <c:v>45257</c:v>
                </c:pt>
                <c:pt idx="1008">
                  <c:v>45258</c:v>
                </c:pt>
                <c:pt idx="1009">
                  <c:v>45259</c:v>
                </c:pt>
                <c:pt idx="1010">
                  <c:v>45260</c:v>
                </c:pt>
                <c:pt idx="1011">
                  <c:v>45261</c:v>
                </c:pt>
                <c:pt idx="1012">
                  <c:v>45264</c:v>
                </c:pt>
                <c:pt idx="1013">
                  <c:v>45265</c:v>
                </c:pt>
                <c:pt idx="1014">
                  <c:v>45266</c:v>
                </c:pt>
                <c:pt idx="1015">
                  <c:v>45267</c:v>
                </c:pt>
                <c:pt idx="1016">
                  <c:v>45268</c:v>
                </c:pt>
                <c:pt idx="1017">
                  <c:v>45271</c:v>
                </c:pt>
                <c:pt idx="1018">
                  <c:v>45272</c:v>
                </c:pt>
                <c:pt idx="1019">
                  <c:v>45273</c:v>
                </c:pt>
                <c:pt idx="1020">
                  <c:v>45274</c:v>
                </c:pt>
                <c:pt idx="1021">
                  <c:v>45275</c:v>
                </c:pt>
                <c:pt idx="1022">
                  <c:v>45278</c:v>
                </c:pt>
                <c:pt idx="1023">
                  <c:v>45279</c:v>
                </c:pt>
                <c:pt idx="1024">
                  <c:v>45280</c:v>
                </c:pt>
                <c:pt idx="1025">
                  <c:v>45281</c:v>
                </c:pt>
                <c:pt idx="1026">
                  <c:v>45282</c:v>
                </c:pt>
                <c:pt idx="1027">
                  <c:v>45287</c:v>
                </c:pt>
                <c:pt idx="1028">
                  <c:v>45288</c:v>
                </c:pt>
                <c:pt idx="1029">
                  <c:v>45289</c:v>
                </c:pt>
                <c:pt idx="1030">
                  <c:v>45293</c:v>
                </c:pt>
                <c:pt idx="1031">
                  <c:v>45294</c:v>
                </c:pt>
                <c:pt idx="1032">
                  <c:v>45295</c:v>
                </c:pt>
                <c:pt idx="1033">
                  <c:v>45296</c:v>
                </c:pt>
                <c:pt idx="1034">
                  <c:v>45299</c:v>
                </c:pt>
                <c:pt idx="1035">
                  <c:v>45300</c:v>
                </c:pt>
                <c:pt idx="1036">
                  <c:v>45301</c:v>
                </c:pt>
                <c:pt idx="1037">
                  <c:v>45302</c:v>
                </c:pt>
                <c:pt idx="1038">
                  <c:v>45303</c:v>
                </c:pt>
                <c:pt idx="1039">
                  <c:v>45306</c:v>
                </c:pt>
                <c:pt idx="1040">
                  <c:v>45307</c:v>
                </c:pt>
                <c:pt idx="1041">
                  <c:v>45308</c:v>
                </c:pt>
                <c:pt idx="1042">
                  <c:v>45309</c:v>
                </c:pt>
                <c:pt idx="1043">
                  <c:v>45310</c:v>
                </c:pt>
                <c:pt idx="1044">
                  <c:v>45313</c:v>
                </c:pt>
                <c:pt idx="1045">
                  <c:v>45314</c:v>
                </c:pt>
                <c:pt idx="1046">
                  <c:v>45315</c:v>
                </c:pt>
                <c:pt idx="1047">
                  <c:v>45316</c:v>
                </c:pt>
                <c:pt idx="1048">
                  <c:v>45317</c:v>
                </c:pt>
                <c:pt idx="1049">
                  <c:v>45320</c:v>
                </c:pt>
                <c:pt idx="1050">
                  <c:v>45321</c:v>
                </c:pt>
                <c:pt idx="1051">
                  <c:v>45322</c:v>
                </c:pt>
                <c:pt idx="1052">
                  <c:v>45323</c:v>
                </c:pt>
                <c:pt idx="1053">
                  <c:v>45324</c:v>
                </c:pt>
                <c:pt idx="1054">
                  <c:v>45327</c:v>
                </c:pt>
                <c:pt idx="1055">
                  <c:v>45328</c:v>
                </c:pt>
                <c:pt idx="1056">
                  <c:v>45329</c:v>
                </c:pt>
                <c:pt idx="1057">
                  <c:v>45330</c:v>
                </c:pt>
                <c:pt idx="1058">
                  <c:v>45331</c:v>
                </c:pt>
                <c:pt idx="1059">
                  <c:v>45334</c:v>
                </c:pt>
                <c:pt idx="1060">
                  <c:v>45335</c:v>
                </c:pt>
                <c:pt idx="1061">
                  <c:v>45336</c:v>
                </c:pt>
                <c:pt idx="1062">
                  <c:v>45337</c:v>
                </c:pt>
                <c:pt idx="1063">
                  <c:v>45338</c:v>
                </c:pt>
                <c:pt idx="1064">
                  <c:v>45342</c:v>
                </c:pt>
                <c:pt idx="1065">
                  <c:v>45343</c:v>
                </c:pt>
                <c:pt idx="1066">
                  <c:v>45344</c:v>
                </c:pt>
                <c:pt idx="1067">
                  <c:v>45345</c:v>
                </c:pt>
                <c:pt idx="1068">
                  <c:v>45348</c:v>
                </c:pt>
                <c:pt idx="1069">
                  <c:v>45349</c:v>
                </c:pt>
                <c:pt idx="1070">
                  <c:v>45350</c:v>
                </c:pt>
                <c:pt idx="1071">
                  <c:v>45351</c:v>
                </c:pt>
                <c:pt idx="1072">
                  <c:v>45352</c:v>
                </c:pt>
                <c:pt idx="1073">
                  <c:v>45355</c:v>
                </c:pt>
                <c:pt idx="1074">
                  <c:v>45356</c:v>
                </c:pt>
                <c:pt idx="1075">
                  <c:v>45357</c:v>
                </c:pt>
                <c:pt idx="1076">
                  <c:v>45358</c:v>
                </c:pt>
                <c:pt idx="1077">
                  <c:v>45359</c:v>
                </c:pt>
                <c:pt idx="1078">
                  <c:v>45362</c:v>
                </c:pt>
                <c:pt idx="1079">
                  <c:v>45363</c:v>
                </c:pt>
                <c:pt idx="1080">
                  <c:v>45364</c:v>
                </c:pt>
                <c:pt idx="1081">
                  <c:v>45365</c:v>
                </c:pt>
                <c:pt idx="1082">
                  <c:v>45366</c:v>
                </c:pt>
                <c:pt idx="1083">
                  <c:v>45369</c:v>
                </c:pt>
                <c:pt idx="1084">
                  <c:v>45370</c:v>
                </c:pt>
                <c:pt idx="1085">
                  <c:v>45371</c:v>
                </c:pt>
                <c:pt idx="1086">
                  <c:v>45372</c:v>
                </c:pt>
                <c:pt idx="1087">
                  <c:v>45373</c:v>
                </c:pt>
                <c:pt idx="1088">
                  <c:v>45376</c:v>
                </c:pt>
                <c:pt idx="1089">
                  <c:v>45377</c:v>
                </c:pt>
                <c:pt idx="1090">
                  <c:v>45378</c:v>
                </c:pt>
                <c:pt idx="1091">
                  <c:v>45379</c:v>
                </c:pt>
                <c:pt idx="1092">
                  <c:v>45383</c:v>
                </c:pt>
                <c:pt idx="1093">
                  <c:v>45384</c:v>
                </c:pt>
                <c:pt idx="1094">
                  <c:v>45385</c:v>
                </c:pt>
                <c:pt idx="1095">
                  <c:v>45386</c:v>
                </c:pt>
                <c:pt idx="1096">
                  <c:v>45387</c:v>
                </c:pt>
                <c:pt idx="1097">
                  <c:v>45390</c:v>
                </c:pt>
                <c:pt idx="1098">
                  <c:v>45391</c:v>
                </c:pt>
                <c:pt idx="1099">
                  <c:v>45392</c:v>
                </c:pt>
                <c:pt idx="1100">
                  <c:v>45393</c:v>
                </c:pt>
                <c:pt idx="1101">
                  <c:v>45394</c:v>
                </c:pt>
                <c:pt idx="1102">
                  <c:v>45397</c:v>
                </c:pt>
                <c:pt idx="1103">
                  <c:v>45398</c:v>
                </c:pt>
                <c:pt idx="1104">
                  <c:v>45399</c:v>
                </c:pt>
                <c:pt idx="1105">
                  <c:v>45400</c:v>
                </c:pt>
                <c:pt idx="1106">
                  <c:v>45401</c:v>
                </c:pt>
                <c:pt idx="1107">
                  <c:v>45404</c:v>
                </c:pt>
                <c:pt idx="1108">
                  <c:v>45405</c:v>
                </c:pt>
                <c:pt idx="1109">
                  <c:v>45406</c:v>
                </c:pt>
                <c:pt idx="1110">
                  <c:v>45407</c:v>
                </c:pt>
                <c:pt idx="1111">
                  <c:v>45408</c:v>
                </c:pt>
                <c:pt idx="1112">
                  <c:v>45411</c:v>
                </c:pt>
                <c:pt idx="1113">
                  <c:v>45412</c:v>
                </c:pt>
                <c:pt idx="1114">
                  <c:v>45413</c:v>
                </c:pt>
                <c:pt idx="1115">
                  <c:v>45414</c:v>
                </c:pt>
                <c:pt idx="1116">
                  <c:v>45415</c:v>
                </c:pt>
                <c:pt idx="1117">
                  <c:v>45418</c:v>
                </c:pt>
                <c:pt idx="1118">
                  <c:v>45419</c:v>
                </c:pt>
                <c:pt idx="1119">
                  <c:v>45420</c:v>
                </c:pt>
                <c:pt idx="1120">
                  <c:v>45421</c:v>
                </c:pt>
                <c:pt idx="1121">
                  <c:v>45422</c:v>
                </c:pt>
                <c:pt idx="1122">
                  <c:v>45425</c:v>
                </c:pt>
                <c:pt idx="1123">
                  <c:v>45426</c:v>
                </c:pt>
                <c:pt idx="1124">
                  <c:v>45427</c:v>
                </c:pt>
                <c:pt idx="1125">
                  <c:v>45428</c:v>
                </c:pt>
                <c:pt idx="1126">
                  <c:v>45429</c:v>
                </c:pt>
                <c:pt idx="1127">
                  <c:v>45433</c:v>
                </c:pt>
                <c:pt idx="1128">
                  <c:v>45434</c:v>
                </c:pt>
                <c:pt idx="1129">
                  <c:v>45435</c:v>
                </c:pt>
                <c:pt idx="1130">
                  <c:v>45436</c:v>
                </c:pt>
                <c:pt idx="1131">
                  <c:v>45439</c:v>
                </c:pt>
                <c:pt idx="1132">
                  <c:v>45440</c:v>
                </c:pt>
                <c:pt idx="1133">
                  <c:v>45441</c:v>
                </c:pt>
                <c:pt idx="1134">
                  <c:v>45442</c:v>
                </c:pt>
                <c:pt idx="1135">
                  <c:v>45443</c:v>
                </c:pt>
                <c:pt idx="1136">
                  <c:v>45446</c:v>
                </c:pt>
                <c:pt idx="1137">
                  <c:v>45447</c:v>
                </c:pt>
                <c:pt idx="1138">
                  <c:v>45448</c:v>
                </c:pt>
                <c:pt idx="1139">
                  <c:v>45449</c:v>
                </c:pt>
                <c:pt idx="1140">
                  <c:v>45450</c:v>
                </c:pt>
                <c:pt idx="1141">
                  <c:v>45453</c:v>
                </c:pt>
                <c:pt idx="1142">
                  <c:v>45454</c:v>
                </c:pt>
                <c:pt idx="1143">
                  <c:v>45455</c:v>
                </c:pt>
                <c:pt idx="1144">
                  <c:v>45456</c:v>
                </c:pt>
                <c:pt idx="1145">
                  <c:v>45457</c:v>
                </c:pt>
                <c:pt idx="1146">
                  <c:v>45460</c:v>
                </c:pt>
                <c:pt idx="1147">
                  <c:v>45461</c:v>
                </c:pt>
                <c:pt idx="1148">
                  <c:v>45462</c:v>
                </c:pt>
                <c:pt idx="1149">
                  <c:v>45463</c:v>
                </c:pt>
                <c:pt idx="1150">
                  <c:v>45464</c:v>
                </c:pt>
                <c:pt idx="1151">
                  <c:v>45467</c:v>
                </c:pt>
                <c:pt idx="1152">
                  <c:v>45468</c:v>
                </c:pt>
                <c:pt idx="1153">
                  <c:v>45469</c:v>
                </c:pt>
                <c:pt idx="1154">
                  <c:v>45470</c:v>
                </c:pt>
                <c:pt idx="1155">
                  <c:v>45471</c:v>
                </c:pt>
                <c:pt idx="1156">
                  <c:v>45475</c:v>
                </c:pt>
                <c:pt idx="1157">
                  <c:v>45476</c:v>
                </c:pt>
                <c:pt idx="1158">
                  <c:v>45477</c:v>
                </c:pt>
                <c:pt idx="1159">
                  <c:v>45478</c:v>
                </c:pt>
                <c:pt idx="1160">
                  <c:v>45481</c:v>
                </c:pt>
                <c:pt idx="1161">
                  <c:v>45482</c:v>
                </c:pt>
                <c:pt idx="1162">
                  <c:v>45483</c:v>
                </c:pt>
                <c:pt idx="1163">
                  <c:v>45484</c:v>
                </c:pt>
                <c:pt idx="1164">
                  <c:v>45485</c:v>
                </c:pt>
                <c:pt idx="1165">
                  <c:v>45488</c:v>
                </c:pt>
                <c:pt idx="1166">
                  <c:v>45489</c:v>
                </c:pt>
                <c:pt idx="1167">
                  <c:v>45490</c:v>
                </c:pt>
                <c:pt idx="1168">
                  <c:v>45491</c:v>
                </c:pt>
                <c:pt idx="1169">
                  <c:v>45492</c:v>
                </c:pt>
                <c:pt idx="1170">
                  <c:v>45495</c:v>
                </c:pt>
                <c:pt idx="1171">
                  <c:v>45496</c:v>
                </c:pt>
                <c:pt idx="1172">
                  <c:v>45497</c:v>
                </c:pt>
                <c:pt idx="1173">
                  <c:v>45498</c:v>
                </c:pt>
                <c:pt idx="1174">
                  <c:v>45499</c:v>
                </c:pt>
                <c:pt idx="1175">
                  <c:v>45502</c:v>
                </c:pt>
                <c:pt idx="1176">
                  <c:v>45503</c:v>
                </c:pt>
                <c:pt idx="1177">
                  <c:v>45504</c:v>
                </c:pt>
                <c:pt idx="1178">
                  <c:v>45505</c:v>
                </c:pt>
                <c:pt idx="1179">
                  <c:v>45506</c:v>
                </c:pt>
                <c:pt idx="1180">
                  <c:v>45510</c:v>
                </c:pt>
                <c:pt idx="1181">
                  <c:v>45511</c:v>
                </c:pt>
                <c:pt idx="1182">
                  <c:v>45512</c:v>
                </c:pt>
                <c:pt idx="1183">
                  <c:v>45513</c:v>
                </c:pt>
                <c:pt idx="1184">
                  <c:v>45516</c:v>
                </c:pt>
                <c:pt idx="1185">
                  <c:v>45517</c:v>
                </c:pt>
                <c:pt idx="1186">
                  <c:v>45518</c:v>
                </c:pt>
                <c:pt idx="1187">
                  <c:v>45519</c:v>
                </c:pt>
                <c:pt idx="1188">
                  <c:v>45520</c:v>
                </c:pt>
                <c:pt idx="1189">
                  <c:v>45523</c:v>
                </c:pt>
                <c:pt idx="1190">
                  <c:v>45524</c:v>
                </c:pt>
                <c:pt idx="1191">
                  <c:v>45525</c:v>
                </c:pt>
                <c:pt idx="1192">
                  <c:v>45526</c:v>
                </c:pt>
                <c:pt idx="1193">
                  <c:v>45527</c:v>
                </c:pt>
                <c:pt idx="1194">
                  <c:v>45530</c:v>
                </c:pt>
                <c:pt idx="1195">
                  <c:v>45531</c:v>
                </c:pt>
                <c:pt idx="1196">
                  <c:v>45532</c:v>
                </c:pt>
                <c:pt idx="1197">
                  <c:v>45533</c:v>
                </c:pt>
                <c:pt idx="1198">
                  <c:v>45534</c:v>
                </c:pt>
                <c:pt idx="1199">
                  <c:v>45538</c:v>
                </c:pt>
                <c:pt idx="1200">
                  <c:v>45539</c:v>
                </c:pt>
                <c:pt idx="1201">
                  <c:v>45540</c:v>
                </c:pt>
                <c:pt idx="1202">
                  <c:v>45541</c:v>
                </c:pt>
                <c:pt idx="1203">
                  <c:v>45544</c:v>
                </c:pt>
                <c:pt idx="1204">
                  <c:v>45545</c:v>
                </c:pt>
                <c:pt idx="1205">
                  <c:v>45546</c:v>
                </c:pt>
                <c:pt idx="1206">
                  <c:v>45547</c:v>
                </c:pt>
                <c:pt idx="1207">
                  <c:v>45548</c:v>
                </c:pt>
                <c:pt idx="1208">
                  <c:v>45551</c:v>
                </c:pt>
                <c:pt idx="1209">
                  <c:v>45552</c:v>
                </c:pt>
                <c:pt idx="1210">
                  <c:v>45553</c:v>
                </c:pt>
                <c:pt idx="1211">
                  <c:v>45554</c:v>
                </c:pt>
                <c:pt idx="1212">
                  <c:v>45555</c:v>
                </c:pt>
                <c:pt idx="1213">
                  <c:v>45558</c:v>
                </c:pt>
                <c:pt idx="1214">
                  <c:v>45559</c:v>
                </c:pt>
                <c:pt idx="1215">
                  <c:v>45560</c:v>
                </c:pt>
                <c:pt idx="1216">
                  <c:v>45561</c:v>
                </c:pt>
                <c:pt idx="1217">
                  <c:v>45562</c:v>
                </c:pt>
                <c:pt idx="1218">
                  <c:v>45565</c:v>
                </c:pt>
                <c:pt idx="1219">
                  <c:v>45566</c:v>
                </c:pt>
                <c:pt idx="1220">
                  <c:v>45567</c:v>
                </c:pt>
                <c:pt idx="1221">
                  <c:v>45568</c:v>
                </c:pt>
                <c:pt idx="1222">
                  <c:v>45569</c:v>
                </c:pt>
                <c:pt idx="1223">
                  <c:v>45572</c:v>
                </c:pt>
                <c:pt idx="1224">
                  <c:v>45573</c:v>
                </c:pt>
                <c:pt idx="1225">
                  <c:v>45574</c:v>
                </c:pt>
                <c:pt idx="1226">
                  <c:v>45575</c:v>
                </c:pt>
                <c:pt idx="1227">
                  <c:v>45576</c:v>
                </c:pt>
                <c:pt idx="1228">
                  <c:v>45580</c:v>
                </c:pt>
                <c:pt idx="1229">
                  <c:v>45581</c:v>
                </c:pt>
                <c:pt idx="1230">
                  <c:v>45582</c:v>
                </c:pt>
                <c:pt idx="1231">
                  <c:v>45583</c:v>
                </c:pt>
                <c:pt idx="1232">
                  <c:v>45586</c:v>
                </c:pt>
                <c:pt idx="1233">
                  <c:v>45587</c:v>
                </c:pt>
                <c:pt idx="1234">
                  <c:v>45588</c:v>
                </c:pt>
                <c:pt idx="1235">
                  <c:v>45589</c:v>
                </c:pt>
                <c:pt idx="1236">
                  <c:v>45590</c:v>
                </c:pt>
                <c:pt idx="1237">
                  <c:v>45593</c:v>
                </c:pt>
                <c:pt idx="1238">
                  <c:v>45594</c:v>
                </c:pt>
                <c:pt idx="1239">
                  <c:v>45595</c:v>
                </c:pt>
                <c:pt idx="1240">
                  <c:v>45596</c:v>
                </c:pt>
                <c:pt idx="1241">
                  <c:v>45597</c:v>
                </c:pt>
                <c:pt idx="1242">
                  <c:v>45600</c:v>
                </c:pt>
                <c:pt idx="1243">
                  <c:v>45601</c:v>
                </c:pt>
                <c:pt idx="1244">
                  <c:v>45602</c:v>
                </c:pt>
                <c:pt idx="1245">
                  <c:v>45603</c:v>
                </c:pt>
                <c:pt idx="1246">
                  <c:v>45604</c:v>
                </c:pt>
                <c:pt idx="1247">
                  <c:v>45607</c:v>
                </c:pt>
                <c:pt idx="1248">
                  <c:v>45608</c:v>
                </c:pt>
                <c:pt idx="1249">
                  <c:v>45609</c:v>
                </c:pt>
                <c:pt idx="1250">
                  <c:v>45610</c:v>
                </c:pt>
                <c:pt idx="1251">
                  <c:v>45611</c:v>
                </c:pt>
                <c:pt idx="1252">
                  <c:v>45614</c:v>
                </c:pt>
                <c:pt idx="1253">
                  <c:v>45615</c:v>
                </c:pt>
                <c:pt idx="1254">
                  <c:v>45616</c:v>
                </c:pt>
                <c:pt idx="1255">
                  <c:v>45617</c:v>
                </c:pt>
                <c:pt idx="1256">
                  <c:v>45618</c:v>
                </c:pt>
              </c:numCache>
            </c:numRef>
          </c:cat>
          <c:val>
            <c:numRef>
              <c:f>'Loblaws Share Price'!$D$4:$D$1260</c:f>
              <c:numCache>
                <c:formatCode>0.00</c:formatCode>
                <c:ptCount val="1257"/>
                <c:pt idx="0">
                  <c:v>51262000</c:v>
                </c:pt>
                <c:pt idx="1">
                  <c:v>51831000</c:v>
                </c:pt>
                <c:pt idx="2">
                  <c:v>47604000</c:v>
                </c:pt>
                <c:pt idx="3">
                  <c:v>143000000</c:v>
                </c:pt>
                <c:pt idx="4">
                  <c:v>55042000</c:v>
                </c:pt>
                <c:pt idx="5">
                  <c:v>30755000</c:v>
                </c:pt>
                <c:pt idx="6">
                  <c:v>47467000</c:v>
                </c:pt>
                <c:pt idx="7">
                  <c:v>84398000</c:v>
                </c:pt>
                <c:pt idx="8">
                  <c:v>50578000</c:v>
                </c:pt>
                <c:pt idx="9">
                  <c:v>46022000</c:v>
                </c:pt>
                <c:pt idx="10">
                  <c:v>40907000</c:v>
                </c:pt>
                <c:pt idx="11">
                  <c:v>29749000</c:v>
                </c:pt>
                <c:pt idx="12">
                  <c:v>23383000</c:v>
                </c:pt>
                <c:pt idx="13">
                  <c:v>58119000</c:v>
                </c:pt>
                <c:pt idx="14">
                  <c:v>51804000</c:v>
                </c:pt>
                <c:pt idx="15">
                  <c:v>105000000</c:v>
                </c:pt>
                <c:pt idx="16">
                  <c:v>61971000</c:v>
                </c:pt>
                <c:pt idx="17">
                  <c:v>29256000</c:v>
                </c:pt>
                <c:pt idx="18">
                  <c:v>50824000</c:v>
                </c:pt>
                <c:pt idx="19">
                  <c:v>58380000</c:v>
                </c:pt>
                <c:pt idx="20">
                  <c:v>54861000</c:v>
                </c:pt>
                <c:pt idx="21">
                  <c:v>119000000</c:v>
                </c:pt>
                <c:pt idx="22">
                  <c:v>21332000</c:v>
                </c:pt>
                <c:pt idx="23">
                  <c:v>10864000</c:v>
                </c:pt>
                <c:pt idx="24">
                  <c:v>14490000</c:v>
                </c:pt>
                <c:pt idx="25">
                  <c:v>24041000</c:v>
                </c:pt>
                <c:pt idx="26">
                  <c:v>21309000</c:v>
                </c:pt>
                <c:pt idx="27">
                  <c:v>29436000</c:v>
                </c:pt>
                <c:pt idx="28">
                  <c:v>40503000</c:v>
                </c:pt>
                <c:pt idx="29">
                  <c:v>34852000</c:v>
                </c:pt>
                <c:pt idx="30">
                  <c:v>35736000</c:v>
                </c:pt>
                <c:pt idx="31">
                  <c:v>49844000</c:v>
                </c:pt>
                <c:pt idx="32">
                  <c:v>33008000</c:v>
                </c:pt>
                <c:pt idx="33">
                  <c:v>36516000</c:v>
                </c:pt>
                <c:pt idx="34">
                  <c:v>56479000</c:v>
                </c:pt>
                <c:pt idx="35">
                  <c:v>50327000</c:v>
                </c:pt>
                <c:pt idx="36">
                  <c:v>37997000</c:v>
                </c:pt>
                <c:pt idx="37">
                  <c:v>44492000</c:v>
                </c:pt>
                <c:pt idx="38">
                  <c:v>32147000</c:v>
                </c:pt>
                <c:pt idx="39">
                  <c:v>18086000</c:v>
                </c:pt>
                <c:pt idx="40">
                  <c:v>40757000</c:v>
                </c:pt>
                <c:pt idx="41">
                  <c:v>47433000</c:v>
                </c:pt>
                <c:pt idx="42">
                  <c:v>40257000</c:v>
                </c:pt>
                <c:pt idx="43">
                  <c:v>23766000</c:v>
                </c:pt>
                <c:pt idx="44">
                  <c:v>36924000</c:v>
                </c:pt>
                <c:pt idx="45">
                  <c:v>44882000</c:v>
                </c:pt>
                <c:pt idx="46">
                  <c:v>42017000</c:v>
                </c:pt>
                <c:pt idx="47">
                  <c:v>42472000</c:v>
                </c:pt>
                <c:pt idx="48">
                  <c:v>34500000</c:v>
                </c:pt>
                <c:pt idx="49">
                  <c:v>29775000</c:v>
                </c:pt>
                <c:pt idx="50">
                  <c:v>37086000</c:v>
                </c:pt>
                <c:pt idx="51">
                  <c:v>41160000</c:v>
                </c:pt>
                <c:pt idx="52">
                  <c:v>30514000</c:v>
                </c:pt>
                <c:pt idx="53">
                  <c:v>33616000</c:v>
                </c:pt>
                <c:pt idx="54">
                  <c:v>21993000</c:v>
                </c:pt>
                <c:pt idx="55">
                  <c:v>24846000</c:v>
                </c:pt>
                <c:pt idx="56">
                  <c:v>39734000</c:v>
                </c:pt>
                <c:pt idx="57">
                  <c:v>31940000</c:v>
                </c:pt>
                <c:pt idx="58">
                  <c:v>20310000</c:v>
                </c:pt>
                <c:pt idx="59">
                  <c:v>27421000</c:v>
                </c:pt>
                <c:pt idx="60">
                  <c:v>54529000</c:v>
                </c:pt>
                <c:pt idx="61">
                  <c:v>51872000</c:v>
                </c:pt>
                <c:pt idx="62">
                  <c:v>61837000</c:v>
                </c:pt>
                <c:pt idx="63">
                  <c:v>44929000</c:v>
                </c:pt>
                <c:pt idx="64">
                  <c:v>70325000</c:v>
                </c:pt>
                <c:pt idx="65">
                  <c:v>74245000</c:v>
                </c:pt>
                <c:pt idx="66">
                  <c:v>48859000</c:v>
                </c:pt>
                <c:pt idx="67">
                  <c:v>179000000</c:v>
                </c:pt>
                <c:pt idx="68">
                  <c:v>143000000</c:v>
                </c:pt>
                <c:pt idx="69">
                  <c:v>131000000</c:v>
                </c:pt>
                <c:pt idx="70">
                  <c:v>95382000</c:v>
                </c:pt>
                <c:pt idx="71">
                  <c:v>92413000</c:v>
                </c:pt>
                <c:pt idx="72">
                  <c:v>106000000</c:v>
                </c:pt>
                <c:pt idx="73">
                  <c:v>161000000</c:v>
                </c:pt>
                <c:pt idx="74">
                  <c:v>148000000</c:v>
                </c:pt>
                <c:pt idx="75">
                  <c:v>154000000</c:v>
                </c:pt>
                <c:pt idx="76">
                  <c:v>193000000</c:v>
                </c:pt>
                <c:pt idx="77">
                  <c:v>209000000</c:v>
                </c:pt>
                <c:pt idx="78">
                  <c:v>170000000</c:v>
                </c:pt>
                <c:pt idx="79">
                  <c:v>213000000</c:v>
                </c:pt>
                <c:pt idx="80">
                  <c:v>179000000</c:v>
                </c:pt>
                <c:pt idx="81">
                  <c:v>155000000</c:v>
                </c:pt>
                <c:pt idx="82">
                  <c:v>215000000</c:v>
                </c:pt>
                <c:pt idx="83">
                  <c:v>120000000</c:v>
                </c:pt>
                <c:pt idx="84">
                  <c:v>111000000</c:v>
                </c:pt>
                <c:pt idx="85">
                  <c:v>110000000</c:v>
                </c:pt>
                <c:pt idx="86">
                  <c:v>90722000</c:v>
                </c:pt>
                <c:pt idx="87">
                  <c:v>63040000</c:v>
                </c:pt>
                <c:pt idx="88">
                  <c:v>76988000</c:v>
                </c:pt>
                <c:pt idx="89">
                  <c:v>128000000</c:v>
                </c:pt>
                <c:pt idx="90">
                  <c:v>152000000</c:v>
                </c:pt>
                <c:pt idx="91">
                  <c:v>81601000</c:v>
                </c:pt>
                <c:pt idx="92">
                  <c:v>76999000</c:v>
                </c:pt>
                <c:pt idx="93">
                  <c:v>110000000</c:v>
                </c:pt>
                <c:pt idx="94">
                  <c:v>114000000</c:v>
                </c:pt>
                <c:pt idx="95">
                  <c:v>71238000</c:v>
                </c:pt>
                <c:pt idx="96">
                  <c:v>116000000</c:v>
                </c:pt>
                <c:pt idx="97">
                  <c:v>53266000</c:v>
                </c:pt>
                <c:pt idx="98">
                  <c:v>68951000</c:v>
                </c:pt>
                <c:pt idx="99">
                  <c:v>80193000</c:v>
                </c:pt>
                <c:pt idx="100">
                  <c:v>60256000</c:v>
                </c:pt>
                <c:pt idx="101">
                  <c:v>75529000</c:v>
                </c:pt>
                <c:pt idx="102">
                  <c:v>44583000</c:v>
                </c:pt>
                <c:pt idx="103">
                  <c:v>66927000</c:v>
                </c:pt>
                <c:pt idx="104">
                  <c:v>83203000</c:v>
                </c:pt>
                <c:pt idx="105">
                  <c:v>57022000</c:v>
                </c:pt>
                <c:pt idx="106">
                  <c:v>56796000</c:v>
                </c:pt>
                <c:pt idx="107">
                  <c:v>50137000</c:v>
                </c:pt>
                <c:pt idx="108">
                  <c:v>103000000</c:v>
                </c:pt>
                <c:pt idx="109">
                  <c:v>107000000</c:v>
                </c:pt>
                <c:pt idx="110">
                  <c:v>141000000</c:v>
                </c:pt>
                <c:pt idx="111">
                  <c:v>45469000</c:v>
                </c:pt>
                <c:pt idx="112">
                  <c:v>52861000</c:v>
                </c:pt>
                <c:pt idx="113">
                  <c:v>93220000</c:v>
                </c:pt>
                <c:pt idx="114">
                  <c:v>62093000</c:v>
                </c:pt>
                <c:pt idx="115">
                  <c:v>59384000</c:v>
                </c:pt>
                <c:pt idx="116">
                  <c:v>44662000</c:v>
                </c:pt>
                <c:pt idx="117">
                  <c:v>63704000</c:v>
                </c:pt>
                <c:pt idx="118">
                  <c:v>54342000</c:v>
                </c:pt>
                <c:pt idx="119">
                  <c:v>51133000</c:v>
                </c:pt>
                <c:pt idx="120">
                  <c:v>41116000</c:v>
                </c:pt>
                <c:pt idx="121">
                  <c:v>55754000</c:v>
                </c:pt>
                <c:pt idx="122">
                  <c:v>67945000</c:v>
                </c:pt>
                <c:pt idx="123">
                  <c:v>74604000</c:v>
                </c:pt>
                <c:pt idx="124">
                  <c:v>71937000</c:v>
                </c:pt>
                <c:pt idx="125">
                  <c:v>75508000</c:v>
                </c:pt>
                <c:pt idx="126">
                  <c:v>23571000</c:v>
                </c:pt>
                <c:pt idx="127">
                  <c:v>82665000</c:v>
                </c:pt>
                <c:pt idx="128">
                  <c:v>117000000</c:v>
                </c:pt>
                <c:pt idx="129">
                  <c:v>72470000</c:v>
                </c:pt>
                <c:pt idx="130">
                  <c:v>110000000</c:v>
                </c:pt>
                <c:pt idx="131">
                  <c:v>42820000</c:v>
                </c:pt>
                <c:pt idx="132">
                  <c:v>57380000</c:v>
                </c:pt>
                <c:pt idx="133">
                  <c:v>58722000</c:v>
                </c:pt>
                <c:pt idx="134">
                  <c:v>61259000</c:v>
                </c:pt>
                <c:pt idx="135">
                  <c:v>70743000</c:v>
                </c:pt>
                <c:pt idx="136">
                  <c:v>98700000</c:v>
                </c:pt>
                <c:pt idx="137">
                  <c:v>62967000</c:v>
                </c:pt>
                <c:pt idx="138">
                  <c:v>84963000</c:v>
                </c:pt>
                <c:pt idx="139">
                  <c:v>87075000</c:v>
                </c:pt>
                <c:pt idx="140">
                  <c:v>133000000</c:v>
                </c:pt>
                <c:pt idx="141">
                  <c:v>74549000</c:v>
                </c:pt>
                <c:pt idx="142">
                  <c:v>84753000</c:v>
                </c:pt>
                <c:pt idx="143">
                  <c:v>81407000</c:v>
                </c:pt>
                <c:pt idx="144">
                  <c:v>40516000</c:v>
                </c:pt>
                <c:pt idx="145">
                  <c:v>295000000</c:v>
                </c:pt>
                <c:pt idx="146">
                  <c:v>98326000</c:v>
                </c:pt>
                <c:pt idx="147">
                  <c:v>127000000</c:v>
                </c:pt>
                <c:pt idx="148">
                  <c:v>105000000</c:v>
                </c:pt>
                <c:pt idx="149">
                  <c:v>46519000</c:v>
                </c:pt>
                <c:pt idx="150">
                  <c:v>49538000</c:v>
                </c:pt>
                <c:pt idx="151">
                  <c:v>73535000</c:v>
                </c:pt>
                <c:pt idx="152">
                  <c:v>68385000</c:v>
                </c:pt>
                <c:pt idx="153">
                  <c:v>68402000</c:v>
                </c:pt>
                <c:pt idx="154">
                  <c:v>23753000</c:v>
                </c:pt>
                <c:pt idx="155">
                  <c:v>44833000</c:v>
                </c:pt>
                <c:pt idx="156">
                  <c:v>37237000</c:v>
                </c:pt>
                <c:pt idx="157">
                  <c:v>35479000</c:v>
                </c:pt>
                <c:pt idx="158">
                  <c:v>29201000</c:v>
                </c:pt>
                <c:pt idx="159">
                  <c:v>32791000</c:v>
                </c:pt>
                <c:pt idx="160">
                  <c:v>44269000</c:v>
                </c:pt>
                <c:pt idx="161">
                  <c:v>66907000</c:v>
                </c:pt>
                <c:pt idx="162">
                  <c:v>55839000</c:v>
                </c:pt>
                <c:pt idx="163">
                  <c:v>27112000</c:v>
                </c:pt>
                <c:pt idx="164">
                  <c:v>36799000</c:v>
                </c:pt>
                <c:pt idx="165">
                  <c:v>28252000</c:v>
                </c:pt>
                <c:pt idx="166">
                  <c:v>44948000</c:v>
                </c:pt>
                <c:pt idx="167">
                  <c:v>40025000</c:v>
                </c:pt>
                <c:pt idx="168">
                  <c:v>66520000</c:v>
                </c:pt>
                <c:pt idx="169">
                  <c:v>35744000</c:v>
                </c:pt>
                <c:pt idx="170">
                  <c:v>22245000</c:v>
                </c:pt>
                <c:pt idx="171">
                  <c:v>31005000</c:v>
                </c:pt>
                <c:pt idx="172">
                  <c:v>68720000</c:v>
                </c:pt>
                <c:pt idx="173">
                  <c:v>34126000</c:v>
                </c:pt>
                <c:pt idx="174">
                  <c:v>36046000</c:v>
                </c:pt>
                <c:pt idx="175">
                  <c:v>48375000</c:v>
                </c:pt>
                <c:pt idx="176">
                  <c:v>29750000</c:v>
                </c:pt>
                <c:pt idx="177">
                  <c:v>44622000</c:v>
                </c:pt>
                <c:pt idx="178">
                  <c:v>28957000</c:v>
                </c:pt>
                <c:pt idx="179">
                  <c:v>50921000</c:v>
                </c:pt>
                <c:pt idx="180">
                  <c:v>71000000</c:v>
                </c:pt>
                <c:pt idx="181">
                  <c:v>64736000</c:v>
                </c:pt>
                <c:pt idx="182">
                  <c:v>61187000</c:v>
                </c:pt>
                <c:pt idx="183">
                  <c:v>69675000</c:v>
                </c:pt>
                <c:pt idx="184">
                  <c:v>43378000</c:v>
                </c:pt>
                <c:pt idx="185">
                  <c:v>42942000</c:v>
                </c:pt>
                <c:pt idx="186">
                  <c:v>68875000</c:v>
                </c:pt>
                <c:pt idx="187">
                  <c:v>46151000</c:v>
                </c:pt>
                <c:pt idx="188">
                  <c:v>68890000</c:v>
                </c:pt>
                <c:pt idx="189">
                  <c:v>54746000</c:v>
                </c:pt>
                <c:pt idx="190">
                  <c:v>38209000</c:v>
                </c:pt>
                <c:pt idx="191">
                  <c:v>60515000</c:v>
                </c:pt>
                <c:pt idx="192">
                  <c:v>37460000</c:v>
                </c:pt>
                <c:pt idx="193">
                  <c:v>42266000</c:v>
                </c:pt>
                <c:pt idx="194">
                  <c:v>85414000</c:v>
                </c:pt>
                <c:pt idx="195">
                  <c:v>76386000</c:v>
                </c:pt>
                <c:pt idx="196">
                  <c:v>72861000</c:v>
                </c:pt>
                <c:pt idx="197">
                  <c:v>60696000</c:v>
                </c:pt>
                <c:pt idx="198">
                  <c:v>77820000</c:v>
                </c:pt>
                <c:pt idx="199">
                  <c:v>166000000</c:v>
                </c:pt>
                <c:pt idx="200">
                  <c:v>63999000</c:v>
                </c:pt>
                <c:pt idx="201">
                  <c:v>53730000</c:v>
                </c:pt>
                <c:pt idx="202">
                  <c:v>62653000</c:v>
                </c:pt>
                <c:pt idx="203">
                  <c:v>80493000</c:v>
                </c:pt>
                <c:pt idx="204">
                  <c:v>58818000</c:v>
                </c:pt>
                <c:pt idx="205">
                  <c:v>58961000</c:v>
                </c:pt>
                <c:pt idx="206">
                  <c:v>57778000</c:v>
                </c:pt>
                <c:pt idx="207">
                  <c:v>163000000</c:v>
                </c:pt>
                <c:pt idx="208">
                  <c:v>43752000</c:v>
                </c:pt>
                <c:pt idx="209">
                  <c:v>61860000</c:v>
                </c:pt>
                <c:pt idx="210">
                  <c:v>42986000</c:v>
                </c:pt>
                <c:pt idx="211">
                  <c:v>78108000</c:v>
                </c:pt>
                <c:pt idx="212">
                  <c:v>140000000</c:v>
                </c:pt>
                <c:pt idx="213">
                  <c:v>45337000</c:v>
                </c:pt>
                <c:pt idx="214">
                  <c:v>32618000</c:v>
                </c:pt>
                <c:pt idx="215">
                  <c:v>53334000</c:v>
                </c:pt>
                <c:pt idx="216">
                  <c:v>39411000</c:v>
                </c:pt>
                <c:pt idx="217">
                  <c:v>35059000</c:v>
                </c:pt>
                <c:pt idx="218">
                  <c:v>57416000</c:v>
                </c:pt>
                <c:pt idx="219">
                  <c:v>51358000</c:v>
                </c:pt>
                <c:pt idx="220">
                  <c:v>29538000</c:v>
                </c:pt>
                <c:pt idx="221">
                  <c:v>135000000</c:v>
                </c:pt>
                <c:pt idx="222">
                  <c:v>35434000</c:v>
                </c:pt>
                <c:pt idx="223">
                  <c:v>38834000</c:v>
                </c:pt>
                <c:pt idx="224">
                  <c:v>42816000</c:v>
                </c:pt>
                <c:pt idx="225">
                  <c:v>34025000</c:v>
                </c:pt>
                <c:pt idx="226">
                  <c:v>31387000</c:v>
                </c:pt>
                <c:pt idx="227">
                  <c:v>37959000</c:v>
                </c:pt>
                <c:pt idx="228">
                  <c:v>53073000</c:v>
                </c:pt>
                <c:pt idx="229">
                  <c:v>25852000</c:v>
                </c:pt>
                <c:pt idx="230">
                  <c:v>71419000</c:v>
                </c:pt>
                <c:pt idx="231">
                  <c:v>28191000</c:v>
                </c:pt>
                <c:pt idx="232">
                  <c:v>32845000</c:v>
                </c:pt>
                <c:pt idx="233">
                  <c:v>32253000</c:v>
                </c:pt>
                <c:pt idx="234">
                  <c:v>51296000</c:v>
                </c:pt>
                <c:pt idx="235">
                  <c:v>37327000</c:v>
                </c:pt>
                <c:pt idx="236">
                  <c:v>66393000</c:v>
                </c:pt>
                <c:pt idx="237">
                  <c:v>32427000</c:v>
                </c:pt>
                <c:pt idx="238">
                  <c:v>38044000</c:v>
                </c:pt>
                <c:pt idx="239">
                  <c:v>101000000</c:v>
                </c:pt>
                <c:pt idx="240">
                  <c:v>99739000</c:v>
                </c:pt>
                <c:pt idx="241">
                  <c:v>89477000</c:v>
                </c:pt>
                <c:pt idx="242">
                  <c:v>97603000</c:v>
                </c:pt>
                <c:pt idx="243">
                  <c:v>85671000</c:v>
                </c:pt>
                <c:pt idx="244">
                  <c:v>65351000</c:v>
                </c:pt>
                <c:pt idx="245">
                  <c:v>73645000</c:v>
                </c:pt>
                <c:pt idx="246">
                  <c:v>130000000</c:v>
                </c:pt>
                <c:pt idx="247">
                  <c:v>156000000</c:v>
                </c:pt>
                <c:pt idx="248">
                  <c:v>116000000</c:v>
                </c:pt>
                <c:pt idx="249">
                  <c:v>118000000</c:v>
                </c:pt>
                <c:pt idx="250">
                  <c:v>56032000</c:v>
                </c:pt>
                <c:pt idx="251">
                  <c:v>64988000</c:v>
                </c:pt>
                <c:pt idx="252">
                  <c:v>80917000</c:v>
                </c:pt>
                <c:pt idx="253">
                  <c:v>82811000</c:v>
                </c:pt>
                <c:pt idx="254">
                  <c:v>80427000</c:v>
                </c:pt>
                <c:pt idx="255">
                  <c:v>20271000</c:v>
                </c:pt>
                <c:pt idx="256">
                  <c:v>44131000</c:v>
                </c:pt>
                <c:pt idx="257">
                  <c:v>119000000</c:v>
                </c:pt>
                <c:pt idx="258">
                  <c:v>69216000</c:v>
                </c:pt>
                <c:pt idx="259">
                  <c:v>68880000</c:v>
                </c:pt>
                <c:pt idx="260">
                  <c:v>59094000</c:v>
                </c:pt>
                <c:pt idx="261">
                  <c:v>86035000</c:v>
                </c:pt>
                <c:pt idx="262">
                  <c:v>85896000</c:v>
                </c:pt>
                <c:pt idx="263">
                  <c:v>102000000</c:v>
                </c:pt>
                <c:pt idx="264">
                  <c:v>122000000</c:v>
                </c:pt>
                <c:pt idx="265">
                  <c:v>84857000</c:v>
                </c:pt>
                <c:pt idx="266">
                  <c:v>83461000</c:v>
                </c:pt>
                <c:pt idx="267">
                  <c:v>100000000</c:v>
                </c:pt>
                <c:pt idx="268">
                  <c:v>101000000</c:v>
                </c:pt>
                <c:pt idx="269">
                  <c:v>92815000</c:v>
                </c:pt>
                <c:pt idx="270">
                  <c:v>69030000</c:v>
                </c:pt>
                <c:pt idx="271">
                  <c:v>150000000</c:v>
                </c:pt>
                <c:pt idx="272">
                  <c:v>378000000</c:v>
                </c:pt>
                <c:pt idx="273">
                  <c:v>59611000</c:v>
                </c:pt>
                <c:pt idx="274">
                  <c:v>41920000</c:v>
                </c:pt>
                <c:pt idx="275">
                  <c:v>23542000</c:v>
                </c:pt>
                <c:pt idx="276">
                  <c:v>36037000</c:v>
                </c:pt>
                <c:pt idx="277">
                  <c:v>29288000</c:v>
                </c:pt>
                <c:pt idx="278">
                  <c:v>39341000</c:v>
                </c:pt>
                <c:pt idx="279">
                  <c:v>34094000</c:v>
                </c:pt>
                <c:pt idx="280">
                  <c:v>45314000</c:v>
                </c:pt>
                <c:pt idx="281">
                  <c:v>66148000</c:v>
                </c:pt>
                <c:pt idx="282">
                  <c:v>60314000</c:v>
                </c:pt>
                <c:pt idx="283">
                  <c:v>46950000</c:v>
                </c:pt>
                <c:pt idx="284">
                  <c:v>47685000</c:v>
                </c:pt>
                <c:pt idx="285">
                  <c:v>47829000</c:v>
                </c:pt>
                <c:pt idx="286">
                  <c:v>58432000</c:v>
                </c:pt>
                <c:pt idx="287">
                  <c:v>47249000</c:v>
                </c:pt>
                <c:pt idx="288">
                  <c:v>61576000</c:v>
                </c:pt>
                <c:pt idx="289">
                  <c:v>18781000</c:v>
                </c:pt>
                <c:pt idx="290">
                  <c:v>55642000</c:v>
                </c:pt>
                <c:pt idx="291">
                  <c:v>84362000</c:v>
                </c:pt>
                <c:pt idx="292">
                  <c:v>76562000</c:v>
                </c:pt>
                <c:pt idx="293">
                  <c:v>40696000</c:v>
                </c:pt>
                <c:pt idx="294">
                  <c:v>56321000</c:v>
                </c:pt>
                <c:pt idx="295">
                  <c:v>62500000</c:v>
                </c:pt>
                <c:pt idx="296">
                  <c:v>71320000</c:v>
                </c:pt>
                <c:pt idx="297">
                  <c:v>61346000</c:v>
                </c:pt>
                <c:pt idx="298">
                  <c:v>94197000</c:v>
                </c:pt>
                <c:pt idx="299">
                  <c:v>88047000</c:v>
                </c:pt>
                <c:pt idx="300">
                  <c:v>64323000</c:v>
                </c:pt>
                <c:pt idx="301">
                  <c:v>89794000</c:v>
                </c:pt>
                <c:pt idx="302">
                  <c:v>43926000</c:v>
                </c:pt>
                <c:pt idx="303">
                  <c:v>59018000</c:v>
                </c:pt>
                <c:pt idx="304">
                  <c:v>41734000</c:v>
                </c:pt>
                <c:pt idx="305">
                  <c:v>43572000</c:v>
                </c:pt>
                <c:pt idx="306">
                  <c:v>56143000</c:v>
                </c:pt>
                <c:pt idx="307">
                  <c:v>41119000</c:v>
                </c:pt>
                <c:pt idx="308">
                  <c:v>44049000</c:v>
                </c:pt>
                <c:pt idx="309">
                  <c:v>49167000</c:v>
                </c:pt>
                <c:pt idx="310">
                  <c:v>50064000</c:v>
                </c:pt>
                <c:pt idx="311">
                  <c:v>55307000</c:v>
                </c:pt>
                <c:pt idx="312">
                  <c:v>62147000</c:v>
                </c:pt>
                <c:pt idx="313">
                  <c:v>70584000</c:v>
                </c:pt>
                <c:pt idx="314">
                  <c:v>66126000</c:v>
                </c:pt>
                <c:pt idx="315">
                  <c:v>72713000</c:v>
                </c:pt>
                <c:pt idx="316">
                  <c:v>114000000</c:v>
                </c:pt>
                <c:pt idx="317">
                  <c:v>180000000</c:v>
                </c:pt>
                <c:pt idx="318">
                  <c:v>113000000</c:v>
                </c:pt>
                <c:pt idx="319">
                  <c:v>90491000</c:v>
                </c:pt>
                <c:pt idx="320">
                  <c:v>86626000</c:v>
                </c:pt>
                <c:pt idx="321">
                  <c:v>130000000</c:v>
                </c:pt>
                <c:pt idx="322">
                  <c:v>96999000</c:v>
                </c:pt>
                <c:pt idx="323">
                  <c:v>105000000</c:v>
                </c:pt>
                <c:pt idx="324">
                  <c:v>87778000</c:v>
                </c:pt>
                <c:pt idx="325">
                  <c:v>86760000</c:v>
                </c:pt>
                <c:pt idx="326">
                  <c:v>107000000</c:v>
                </c:pt>
                <c:pt idx="327">
                  <c:v>87442000</c:v>
                </c:pt>
                <c:pt idx="328">
                  <c:v>91205000</c:v>
                </c:pt>
                <c:pt idx="329">
                  <c:v>107000000</c:v>
                </c:pt>
                <c:pt idx="330">
                  <c:v>104000000</c:v>
                </c:pt>
                <c:pt idx="331">
                  <c:v>73706000</c:v>
                </c:pt>
                <c:pt idx="332">
                  <c:v>199000000</c:v>
                </c:pt>
                <c:pt idx="333">
                  <c:v>82364000</c:v>
                </c:pt>
                <c:pt idx="334">
                  <c:v>98912000</c:v>
                </c:pt>
                <c:pt idx="335">
                  <c:v>60948000</c:v>
                </c:pt>
                <c:pt idx="336">
                  <c:v>63118000</c:v>
                </c:pt>
                <c:pt idx="337">
                  <c:v>49961000</c:v>
                </c:pt>
                <c:pt idx="338">
                  <c:v>79091000</c:v>
                </c:pt>
                <c:pt idx="339">
                  <c:v>47105000</c:v>
                </c:pt>
                <c:pt idx="340">
                  <c:v>70180000</c:v>
                </c:pt>
                <c:pt idx="341">
                  <c:v>47495000</c:v>
                </c:pt>
                <c:pt idx="342">
                  <c:v>21212000</c:v>
                </c:pt>
                <c:pt idx="343">
                  <c:v>35077000</c:v>
                </c:pt>
                <c:pt idx="344">
                  <c:v>32776000</c:v>
                </c:pt>
                <c:pt idx="345">
                  <c:v>51957000</c:v>
                </c:pt>
                <c:pt idx="346">
                  <c:v>36024000</c:v>
                </c:pt>
                <c:pt idx="347">
                  <c:v>25690000</c:v>
                </c:pt>
                <c:pt idx="348">
                  <c:v>32619000</c:v>
                </c:pt>
                <c:pt idx="349">
                  <c:v>34186000</c:v>
                </c:pt>
                <c:pt idx="350">
                  <c:v>32622000</c:v>
                </c:pt>
                <c:pt idx="351">
                  <c:v>27316000</c:v>
                </c:pt>
                <c:pt idx="352">
                  <c:v>25100000</c:v>
                </c:pt>
                <c:pt idx="353">
                  <c:v>34822000</c:v>
                </c:pt>
                <c:pt idx="354">
                  <c:v>22640000</c:v>
                </c:pt>
                <c:pt idx="355">
                  <c:v>33242000</c:v>
                </c:pt>
                <c:pt idx="356">
                  <c:v>25103000</c:v>
                </c:pt>
                <c:pt idx="357">
                  <c:v>22413000</c:v>
                </c:pt>
                <c:pt idx="358">
                  <c:v>50191000</c:v>
                </c:pt>
                <c:pt idx="359">
                  <c:v>44441000</c:v>
                </c:pt>
                <c:pt idx="360">
                  <c:v>46246000</c:v>
                </c:pt>
                <c:pt idx="361">
                  <c:v>75136000</c:v>
                </c:pt>
                <c:pt idx="362">
                  <c:v>18275000</c:v>
                </c:pt>
                <c:pt idx="363">
                  <c:v>29937000</c:v>
                </c:pt>
                <c:pt idx="364">
                  <c:v>37438000</c:v>
                </c:pt>
                <c:pt idx="365">
                  <c:v>80343000</c:v>
                </c:pt>
                <c:pt idx="366">
                  <c:v>70041000</c:v>
                </c:pt>
                <c:pt idx="367">
                  <c:v>80401000</c:v>
                </c:pt>
                <c:pt idx="368">
                  <c:v>78460000</c:v>
                </c:pt>
                <c:pt idx="369">
                  <c:v>86573000</c:v>
                </c:pt>
                <c:pt idx="370">
                  <c:v>86902000</c:v>
                </c:pt>
                <c:pt idx="371">
                  <c:v>68588000</c:v>
                </c:pt>
                <c:pt idx="372">
                  <c:v>70721000</c:v>
                </c:pt>
                <c:pt idx="373">
                  <c:v>78440000</c:v>
                </c:pt>
                <c:pt idx="374">
                  <c:v>147000000</c:v>
                </c:pt>
                <c:pt idx="375">
                  <c:v>99709000</c:v>
                </c:pt>
                <c:pt idx="376">
                  <c:v>81231000</c:v>
                </c:pt>
                <c:pt idx="377">
                  <c:v>103000000</c:v>
                </c:pt>
                <c:pt idx="378">
                  <c:v>80874000</c:v>
                </c:pt>
                <c:pt idx="379">
                  <c:v>122000000</c:v>
                </c:pt>
                <c:pt idx="380">
                  <c:v>50833000</c:v>
                </c:pt>
                <c:pt idx="381">
                  <c:v>23532000</c:v>
                </c:pt>
                <c:pt idx="382">
                  <c:v>60148000</c:v>
                </c:pt>
                <c:pt idx="383">
                  <c:v>45485000</c:v>
                </c:pt>
                <c:pt idx="384">
                  <c:v>54807000</c:v>
                </c:pt>
                <c:pt idx="385">
                  <c:v>25365000</c:v>
                </c:pt>
                <c:pt idx="386">
                  <c:v>56501000</c:v>
                </c:pt>
                <c:pt idx="387">
                  <c:v>34719000</c:v>
                </c:pt>
                <c:pt idx="388">
                  <c:v>55463000</c:v>
                </c:pt>
                <c:pt idx="389">
                  <c:v>40326000</c:v>
                </c:pt>
                <c:pt idx="390">
                  <c:v>19471000</c:v>
                </c:pt>
                <c:pt idx="391">
                  <c:v>40738000</c:v>
                </c:pt>
                <c:pt idx="392">
                  <c:v>26376000</c:v>
                </c:pt>
                <c:pt idx="393">
                  <c:v>35101000</c:v>
                </c:pt>
                <c:pt idx="394">
                  <c:v>50557000</c:v>
                </c:pt>
                <c:pt idx="395">
                  <c:v>108000000</c:v>
                </c:pt>
                <c:pt idx="396">
                  <c:v>31451000</c:v>
                </c:pt>
                <c:pt idx="397">
                  <c:v>44840000</c:v>
                </c:pt>
                <c:pt idx="398">
                  <c:v>69233000</c:v>
                </c:pt>
                <c:pt idx="399">
                  <c:v>46572000</c:v>
                </c:pt>
                <c:pt idx="400">
                  <c:v>54270000</c:v>
                </c:pt>
                <c:pt idx="401">
                  <c:v>46474000</c:v>
                </c:pt>
                <c:pt idx="402">
                  <c:v>25955000</c:v>
                </c:pt>
                <c:pt idx="403">
                  <c:v>53647000</c:v>
                </c:pt>
                <c:pt idx="404">
                  <c:v>38238000</c:v>
                </c:pt>
                <c:pt idx="405">
                  <c:v>11851000</c:v>
                </c:pt>
                <c:pt idx="406">
                  <c:v>33822000</c:v>
                </c:pt>
                <c:pt idx="407">
                  <c:v>39670000</c:v>
                </c:pt>
                <c:pt idx="408">
                  <c:v>59746000</c:v>
                </c:pt>
                <c:pt idx="409">
                  <c:v>40606000</c:v>
                </c:pt>
                <c:pt idx="410">
                  <c:v>18817000</c:v>
                </c:pt>
                <c:pt idx="411">
                  <c:v>34042000</c:v>
                </c:pt>
                <c:pt idx="412">
                  <c:v>28918000</c:v>
                </c:pt>
                <c:pt idx="413">
                  <c:v>40095000</c:v>
                </c:pt>
                <c:pt idx="414">
                  <c:v>29018000</c:v>
                </c:pt>
                <c:pt idx="415">
                  <c:v>53889000</c:v>
                </c:pt>
                <c:pt idx="416">
                  <c:v>36501000</c:v>
                </c:pt>
                <c:pt idx="417">
                  <c:v>33478000</c:v>
                </c:pt>
                <c:pt idx="418">
                  <c:v>19304000</c:v>
                </c:pt>
                <c:pt idx="419">
                  <c:v>27269000</c:v>
                </c:pt>
                <c:pt idx="420">
                  <c:v>24150000</c:v>
                </c:pt>
                <c:pt idx="421">
                  <c:v>34748000</c:v>
                </c:pt>
                <c:pt idx="422">
                  <c:v>42099000</c:v>
                </c:pt>
                <c:pt idx="423">
                  <c:v>65523000</c:v>
                </c:pt>
                <c:pt idx="424">
                  <c:v>52086000</c:v>
                </c:pt>
                <c:pt idx="425">
                  <c:v>62970000</c:v>
                </c:pt>
                <c:pt idx="426">
                  <c:v>48962000</c:v>
                </c:pt>
                <c:pt idx="427">
                  <c:v>31102000</c:v>
                </c:pt>
                <c:pt idx="428">
                  <c:v>24555000</c:v>
                </c:pt>
                <c:pt idx="429">
                  <c:v>42153000</c:v>
                </c:pt>
                <c:pt idx="430">
                  <c:v>47630000</c:v>
                </c:pt>
                <c:pt idx="431">
                  <c:v>56510000</c:v>
                </c:pt>
                <c:pt idx="432">
                  <c:v>63435000</c:v>
                </c:pt>
                <c:pt idx="433">
                  <c:v>57319000</c:v>
                </c:pt>
                <c:pt idx="434">
                  <c:v>45039000</c:v>
                </c:pt>
                <c:pt idx="435">
                  <c:v>67429000</c:v>
                </c:pt>
                <c:pt idx="436">
                  <c:v>94736000</c:v>
                </c:pt>
                <c:pt idx="437">
                  <c:v>71628000</c:v>
                </c:pt>
                <c:pt idx="438">
                  <c:v>61310000</c:v>
                </c:pt>
                <c:pt idx="439">
                  <c:v>40139000</c:v>
                </c:pt>
                <c:pt idx="440">
                  <c:v>37696000</c:v>
                </c:pt>
                <c:pt idx="441">
                  <c:v>29869000</c:v>
                </c:pt>
                <c:pt idx="442">
                  <c:v>32261000</c:v>
                </c:pt>
                <c:pt idx="443">
                  <c:v>37994000</c:v>
                </c:pt>
                <c:pt idx="444">
                  <c:v>22275000</c:v>
                </c:pt>
                <c:pt idx="445">
                  <c:v>89276000</c:v>
                </c:pt>
                <c:pt idx="446">
                  <c:v>64065000</c:v>
                </c:pt>
                <c:pt idx="447">
                  <c:v>34341000</c:v>
                </c:pt>
                <c:pt idx="448">
                  <c:v>26327000</c:v>
                </c:pt>
                <c:pt idx="449">
                  <c:v>55135000</c:v>
                </c:pt>
                <c:pt idx="450">
                  <c:v>64970000</c:v>
                </c:pt>
                <c:pt idx="451">
                  <c:v>99812000</c:v>
                </c:pt>
                <c:pt idx="452">
                  <c:v>52172000</c:v>
                </c:pt>
                <c:pt idx="453">
                  <c:v>74348000</c:v>
                </c:pt>
                <c:pt idx="454">
                  <c:v>49893000</c:v>
                </c:pt>
                <c:pt idx="455">
                  <c:v>46665000</c:v>
                </c:pt>
                <c:pt idx="456">
                  <c:v>28032000</c:v>
                </c:pt>
                <c:pt idx="457">
                  <c:v>176000000</c:v>
                </c:pt>
                <c:pt idx="458">
                  <c:v>36814000</c:v>
                </c:pt>
                <c:pt idx="459">
                  <c:v>35213000</c:v>
                </c:pt>
                <c:pt idx="460">
                  <c:v>40959000</c:v>
                </c:pt>
                <c:pt idx="461">
                  <c:v>31726000</c:v>
                </c:pt>
                <c:pt idx="462">
                  <c:v>34713000</c:v>
                </c:pt>
                <c:pt idx="463">
                  <c:v>32969000</c:v>
                </c:pt>
                <c:pt idx="464">
                  <c:v>31661000</c:v>
                </c:pt>
                <c:pt idx="465">
                  <c:v>59802000</c:v>
                </c:pt>
                <c:pt idx="466">
                  <c:v>56934000</c:v>
                </c:pt>
                <c:pt idx="467">
                  <c:v>31408000</c:v>
                </c:pt>
                <c:pt idx="468">
                  <c:v>53074000</c:v>
                </c:pt>
                <c:pt idx="469">
                  <c:v>84412000</c:v>
                </c:pt>
                <c:pt idx="470">
                  <c:v>101000000</c:v>
                </c:pt>
                <c:pt idx="471">
                  <c:v>53834000</c:v>
                </c:pt>
                <c:pt idx="472">
                  <c:v>42890000</c:v>
                </c:pt>
                <c:pt idx="473">
                  <c:v>77601000</c:v>
                </c:pt>
                <c:pt idx="474">
                  <c:v>126000000</c:v>
                </c:pt>
                <c:pt idx="475">
                  <c:v>36144000</c:v>
                </c:pt>
                <c:pt idx="476">
                  <c:v>30893000</c:v>
                </c:pt>
                <c:pt idx="477">
                  <c:v>30568000</c:v>
                </c:pt>
                <c:pt idx="478">
                  <c:v>34617000</c:v>
                </c:pt>
                <c:pt idx="479">
                  <c:v>35673000</c:v>
                </c:pt>
                <c:pt idx="480">
                  <c:v>32717000</c:v>
                </c:pt>
                <c:pt idx="481">
                  <c:v>21777000</c:v>
                </c:pt>
                <c:pt idx="482">
                  <c:v>49164000</c:v>
                </c:pt>
                <c:pt idx="483">
                  <c:v>50070000</c:v>
                </c:pt>
                <c:pt idx="484">
                  <c:v>51047000</c:v>
                </c:pt>
                <c:pt idx="485">
                  <c:v>41389000</c:v>
                </c:pt>
                <c:pt idx="486">
                  <c:v>51314000</c:v>
                </c:pt>
                <c:pt idx="487">
                  <c:v>25185000</c:v>
                </c:pt>
                <c:pt idx="488">
                  <c:v>35194000</c:v>
                </c:pt>
                <c:pt idx="489">
                  <c:v>36753000</c:v>
                </c:pt>
                <c:pt idx="490">
                  <c:v>32860000</c:v>
                </c:pt>
                <c:pt idx="491">
                  <c:v>30114000</c:v>
                </c:pt>
                <c:pt idx="492">
                  <c:v>32170000</c:v>
                </c:pt>
                <c:pt idx="493">
                  <c:v>37376000</c:v>
                </c:pt>
                <c:pt idx="494">
                  <c:v>19219000</c:v>
                </c:pt>
                <c:pt idx="495">
                  <c:v>24252000</c:v>
                </c:pt>
                <c:pt idx="496">
                  <c:v>25635000</c:v>
                </c:pt>
                <c:pt idx="497">
                  <c:v>31963000</c:v>
                </c:pt>
                <c:pt idx="498">
                  <c:v>32194000</c:v>
                </c:pt>
                <c:pt idx="499">
                  <c:v>55665000</c:v>
                </c:pt>
                <c:pt idx="500">
                  <c:v>66634000</c:v>
                </c:pt>
                <c:pt idx="501">
                  <c:v>55971000</c:v>
                </c:pt>
                <c:pt idx="502">
                  <c:v>101000000</c:v>
                </c:pt>
                <c:pt idx="503">
                  <c:v>85380000</c:v>
                </c:pt>
                <c:pt idx="504">
                  <c:v>81764000</c:v>
                </c:pt>
                <c:pt idx="505">
                  <c:v>42789000</c:v>
                </c:pt>
                <c:pt idx="506">
                  <c:v>76269000</c:v>
                </c:pt>
                <c:pt idx="507">
                  <c:v>73809000</c:v>
                </c:pt>
                <c:pt idx="508">
                  <c:v>130000000</c:v>
                </c:pt>
                <c:pt idx="509">
                  <c:v>36153000</c:v>
                </c:pt>
                <c:pt idx="510">
                  <c:v>54736000</c:v>
                </c:pt>
                <c:pt idx="511">
                  <c:v>27450000</c:v>
                </c:pt>
                <c:pt idx="512">
                  <c:v>25772000</c:v>
                </c:pt>
                <c:pt idx="513">
                  <c:v>42164000</c:v>
                </c:pt>
                <c:pt idx="514">
                  <c:v>67745000</c:v>
                </c:pt>
                <c:pt idx="515">
                  <c:v>60673000</c:v>
                </c:pt>
                <c:pt idx="516">
                  <c:v>56350000</c:v>
                </c:pt>
                <c:pt idx="517">
                  <c:v>74515000</c:v>
                </c:pt>
                <c:pt idx="518">
                  <c:v>44947000</c:v>
                </c:pt>
                <c:pt idx="519">
                  <c:v>83332000</c:v>
                </c:pt>
                <c:pt idx="520">
                  <c:v>54219000</c:v>
                </c:pt>
                <c:pt idx="521">
                  <c:v>134000000</c:v>
                </c:pt>
                <c:pt idx="522">
                  <c:v>52914000</c:v>
                </c:pt>
                <c:pt idx="523">
                  <c:v>39539000</c:v>
                </c:pt>
                <c:pt idx="524">
                  <c:v>32052000</c:v>
                </c:pt>
                <c:pt idx="525">
                  <c:v>46670000</c:v>
                </c:pt>
                <c:pt idx="526">
                  <c:v>11265000</c:v>
                </c:pt>
                <c:pt idx="527">
                  <c:v>34917000</c:v>
                </c:pt>
                <c:pt idx="528">
                  <c:v>12605000</c:v>
                </c:pt>
                <c:pt idx="529">
                  <c:v>17873000</c:v>
                </c:pt>
                <c:pt idx="530">
                  <c:v>34264000</c:v>
                </c:pt>
                <c:pt idx="531">
                  <c:v>45328000</c:v>
                </c:pt>
                <c:pt idx="532">
                  <c:v>26914000</c:v>
                </c:pt>
                <c:pt idx="533">
                  <c:v>24617000</c:v>
                </c:pt>
                <c:pt idx="534">
                  <c:v>38777000</c:v>
                </c:pt>
                <c:pt idx="535">
                  <c:v>49213000</c:v>
                </c:pt>
                <c:pt idx="536">
                  <c:v>37863000</c:v>
                </c:pt>
                <c:pt idx="537">
                  <c:v>34627000</c:v>
                </c:pt>
                <c:pt idx="538">
                  <c:v>46375000</c:v>
                </c:pt>
                <c:pt idx="539">
                  <c:v>16016000</c:v>
                </c:pt>
                <c:pt idx="540">
                  <c:v>86647000</c:v>
                </c:pt>
                <c:pt idx="541">
                  <c:v>50713000</c:v>
                </c:pt>
                <c:pt idx="542">
                  <c:v>78433000</c:v>
                </c:pt>
                <c:pt idx="543">
                  <c:v>51156000</c:v>
                </c:pt>
                <c:pt idx="544">
                  <c:v>79028000</c:v>
                </c:pt>
                <c:pt idx="545">
                  <c:v>60233000</c:v>
                </c:pt>
                <c:pt idx="546">
                  <c:v>69587000</c:v>
                </c:pt>
                <c:pt idx="547">
                  <c:v>74751000</c:v>
                </c:pt>
                <c:pt idx="548">
                  <c:v>38181000</c:v>
                </c:pt>
                <c:pt idx="549">
                  <c:v>48205000</c:v>
                </c:pt>
                <c:pt idx="550">
                  <c:v>40825000</c:v>
                </c:pt>
                <c:pt idx="551">
                  <c:v>52431000</c:v>
                </c:pt>
                <c:pt idx="552">
                  <c:v>35239000</c:v>
                </c:pt>
                <c:pt idx="553">
                  <c:v>32247000</c:v>
                </c:pt>
                <c:pt idx="554">
                  <c:v>31095000</c:v>
                </c:pt>
                <c:pt idx="555">
                  <c:v>45582000</c:v>
                </c:pt>
                <c:pt idx="556">
                  <c:v>20024000</c:v>
                </c:pt>
                <c:pt idx="557">
                  <c:v>40990000</c:v>
                </c:pt>
                <c:pt idx="558">
                  <c:v>32722000</c:v>
                </c:pt>
                <c:pt idx="559">
                  <c:v>30259000</c:v>
                </c:pt>
                <c:pt idx="560">
                  <c:v>47505000</c:v>
                </c:pt>
                <c:pt idx="561">
                  <c:v>40652000</c:v>
                </c:pt>
                <c:pt idx="562">
                  <c:v>33221000</c:v>
                </c:pt>
                <c:pt idx="563">
                  <c:v>46024000</c:v>
                </c:pt>
                <c:pt idx="564">
                  <c:v>45386000</c:v>
                </c:pt>
                <c:pt idx="565">
                  <c:v>29710000</c:v>
                </c:pt>
                <c:pt idx="566">
                  <c:v>69449000</c:v>
                </c:pt>
                <c:pt idx="567">
                  <c:v>81031000</c:v>
                </c:pt>
                <c:pt idx="568">
                  <c:v>108000000</c:v>
                </c:pt>
                <c:pt idx="569">
                  <c:v>49722000</c:v>
                </c:pt>
                <c:pt idx="570">
                  <c:v>43905000</c:v>
                </c:pt>
                <c:pt idx="571">
                  <c:v>55680000</c:v>
                </c:pt>
                <c:pt idx="572">
                  <c:v>60144000</c:v>
                </c:pt>
                <c:pt idx="573">
                  <c:v>123000000</c:v>
                </c:pt>
                <c:pt idx="574">
                  <c:v>142000000</c:v>
                </c:pt>
                <c:pt idx="575">
                  <c:v>97504000</c:v>
                </c:pt>
                <c:pt idx="576">
                  <c:v>98496000</c:v>
                </c:pt>
                <c:pt idx="577">
                  <c:v>81938000</c:v>
                </c:pt>
                <c:pt idx="578">
                  <c:v>79563000</c:v>
                </c:pt>
                <c:pt idx="579">
                  <c:v>105000000</c:v>
                </c:pt>
                <c:pt idx="580">
                  <c:v>101000000</c:v>
                </c:pt>
                <c:pt idx="581">
                  <c:v>65174000</c:v>
                </c:pt>
                <c:pt idx="582">
                  <c:v>248000000</c:v>
                </c:pt>
                <c:pt idx="583">
                  <c:v>35539000</c:v>
                </c:pt>
                <c:pt idx="584">
                  <c:v>42922000</c:v>
                </c:pt>
                <c:pt idx="585">
                  <c:v>71620000</c:v>
                </c:pt>
                <c:pt idx="586">
                  <c:v>55516000</c:v>
                </c:pt>
                <c:pt idx="587">
                  <c:v>27624000</c:v>
                </c:pt>
                <c:pt idx="588">
                  <c:v>35148000</c:v>
                </c:pt>
                <c:pt idx="589">
                  <c:v>36710000</c:v>
                </c:pt>
                <c:pt idx="590">
                  <c:v>49728000</c:v>
                </c:pt>
                <c:pt idx="591">
                  <c:v>69687000</c:v>
                </c:pt>
                <c:pt idx="592">
                  <c:v>42210000</c:v>
                </c:pt>
                <c:pt idx="593">
                  <c:v>26928000</c:v>
                </c:pt>
                <c:pt idx="594">
                  <c:v>53567000</c:v>
                </c:pt>
                <c:pt idx="595">
                  <c:v>46142000</c:v>
                </c:pt>
                <c:pt idx="596">
                  <c:v>33012000</c:v>
                </c:pt>
                <c:pt idx="597">
                  <c:v>34754000</c:v>
                </c:pt>
                <c:pt idx="598">
                  <c:v>35173000</c:v>
                </c:pt>
                <c:pt idx="599">
                  <c:v>47475000</c:v>
                </c:pt>
                <c:pt idx="600">
                  <c:v>37899000</c:v>
                </c:pt>
                <c:pt idx="601">
                  <c:v>34096000</c:v>
                </c:pt>
                <c:pt idx="602">
                  <c:v>23771000</c:v>
                </c:pt>
                <c:pt idx="603">
                  <c:v>50247000</c:v>
                </c:pt>
                <c:pt idx="604">
                  <c:v>43930000</c:v>
                </c:pt>
                <c:pt idx="605">
                  <c:v>61538000</c:v>
                </c:pt>
                <c:pt idx="606">
                  <c:v>62123000</c:v>
                </c:pt>
                <c:pt idx="607">
                  <c:v>53073000</c:v>
                </c:pt>
                <c:pt idx="608">
                  <c:v>65390000</c:v>
                </c:pt>
                <c:pt idx="609">
                  <c:v>58683000</c:v>
                </c:pt>
                <c:pt idx="610">
                  <c:v>68424000</c:v>
                </c:pt>
                <c:pt idx="611">
                  <c:v>42334000</c:v>
                </c:pt>
                <c:pt idx="612">
                  <c:v>41267000</c:v>
                </c:pt>
                <c:pt idx="613">
                  <c:v>56836000</c:v>
                </c:pt>
                <c:pt idx="614">
                  <c:v>76291000</c:v>
                </c:pt>
                <c:pt idx="615">
                  <c:v>158000000</c:v>
                </c:pt>
                <c:pt idx="616">
                  <c:v>75408000</c:v>
                </c:pt>
                <c:pt idx="617">
                  <c:v>89364000</c:v>
                </c:pt>
                <c:pt idx="618">
                  <c:v>80768000</c:v>
                </c:pt>
                <c:pt idx="619">
                  <c:v>90637000</c:v>
                </c:pt>
                <c:pt idx="620">
                  <c:v>96147000</c:v>
                </c:pt>
                <c:pt idx="621">
                  <c:v>97119000</c:v>
                </c:pt>
                <c:pt idx="622">
                  <c:v>53645000</c:v>
                </c:pt>
                <c:pt idx="623">
                  <c:v>49384000</c:v>
                </c:pt>
                <c:pt idx="624">
                  <c:v>90699000</c:v>
                </c:pt>
                <c:pt idx="625">
                  <c:v>114000000</c:v>
                </c:pt>
                <c:pt idx="626">
                  <c:v>66059000</c:v>
                </c:pt>
                <c:pt idx="627">
                  <c:v>99933000</c:v>
                </c:pt>
                <c:pt idx="628">
                  <c:v>56505000</c:v>
                </c:pt>
                <c:pt idx="629">
                  <c:v>67289000</c:v>
                </c:pt>
                <c:pt idx="630">
                  <c:v>55838000</c:v>
                </c:pt>
                <c:pt idx="631">
                  <c:v>11269000</c:v>
                </c:pt>
                <c:pt idx="632">
                  <c:v>197000000</c:v>
                </c:pt>
                <c:pt idx="633">
                  <c:v>60410000</c:v>
                </c:pt>
                <c:pt idx="634">
                  <c:v>47837000</c:v>
                </c:pt>
                <c:pt idx="635">
                  <c:v>67802000</c:v>
                </c:pt>
                <c:pt idx="636">
                  <c:v>51385000</c:v>
                </c:pt>
                <c:pt idx="637">
                  <c:v>53537000</c:v>
                </c:pt>
                <c:pt idx="638">
                  <c:v>50568000</c:v>
                </c:pt>
                <c:pt idx="639">
                  <c:v>37601000</c:v>
                </c:pt>
                <c:pt idx="640">
                  <c:v>69896000</c:v>
                </c:pt>
                <c:pt idx="641">
                  <c:v>80854000</c:v>
                </c:pt>
                <c:pt idx="642">
                  <c:v>63411000</c:v>
                </c:pt>
                <c:pt idx="643">
                  <c:v>39669000</c:v>
                </c:pt>
                <c:pt idx="644">
                  <c:v>40141000</c:v>
                </c:pt>
                <c:pt idx="645">
                  <c:v>133000000</c:v>
                </c:pt>
                <c:pt idx="646">
                  <c:v>13899000</c:v>
                </c:pt>
                <c:pt idx="647">
                  <c:v>47766000</c:v>
                </c:pt>
                <c:pt idx="648">
                  <c:v>44130000</c:v>
                </c:pt>
                <c:pt idx="649">
                  <c:v>38799000</c:v>
                </c:pt>
                <c:pt idx="650">
                  <c:v>40003000</c:v>
                </c:pt>
                <c:pt idx="651">
                  <c:v>51016000</c:v>
                </c:pt>
                <c:pt idx="652">
                  <c:v>39815000</c:v>
                </c:pt>
                <c:pt idx="653">
                  <c:v>39160000</c:v>
                </c:pt>
                <c:pt idx="654">
                  <c:v>65159000</c:v>
                </c:pt>
                <c:pt idx="655">
                  <c:v>20533000</c:v>
                </c:pt>
                <c:pt idx="656">
                  <c:v>65843000</c:v>
                </c:pt>
                <c:pt idx="657">
                  <c:v>57178000</c:v>
                </c:pt>
                <c:pt idx="658">
                  <c:v>66890000</c:v>
                </c:pt>
                <c:pt idx="659">
                  <c:v>42538000</c:v>
                </c:pt>
                <c:pt idx="660">
                  <c:v>30334000</c:v>
                </c:pt>
                <c:pt idx="661">
                  <c:v>35239000</c:v>
                </c:pt>
                <c:pt idx="662">
                  <c:v>61903000</c:v>
                </c:pt>
                <c:pt idx="663">
                  <c:v>52239000</c:v>
                </c:pt>
                <c:pt idx="664">
                  <c:v>42571000</c:v>
                </c:pt>
                <c:pt idx="665">
                  <c:v>44049000</c:v>
                </c:pt>
                <c:pt idx="666">
                  <c:v>33136000</c:v>
                </c:pt>
                <c:pt idx="667">
                  <c:v>32693000</c:v>
                </c:pt>
                <c:pt idx="668">
                  <c:v>34730000</c:v>
                </c:pt>
                <c:pt idx="669">
                  <c:v>25397000</c:v>
                </c:pt>
                <c:pt idx="670">
                  <c:v>20213000</c:v>
                </c:pt>
                <c:pt idx="671">
                  <c:v>23037000</c:v>
                </c:pt>
                <c:pt idx="672">
                  <c:v>83102000</c:v>
                </c:pt>
                <c:pt idx="673">
                  <c:v>47814000</c:v>
                </c:pt>
                <c:pt idx="674">
                  <c:v>71714000</c:v>
                </c:pt>
                <c:pt idx="675">
                  <c:v>48884000</c:v>
                </c:pt>
                <c:pt idx="676">
                  <c:v>25402000</c:v>
                </c:pt>
                <c:pt idx="677">
                  <c:v>52915000</c:v>
                </c:pt>
                <c:pt idx="678">
                  <c:v>32681000</c:v>
                </c:pt>
                <c:pt idx="679">
                  <c:v>44028000</c:v>
                </c:pt>
                <c:pt idx="680">
                  <c:v>58328000</c:v>
                </c:pt>
                <c:pt idx="681">
                  <c:v>43410000</c:v>
                </c:pt>
                <c:pt idx="682">
                  <c:v>39580000</c:v>
                </c:pt>
                <c:pt idx="683">
                  <c:v>42264000</c:v>
                </c:pt>
                <c:pt idx="684">
                  <c:v>43738000</c:v>
                </c:pt>
                <c:pt idx="685">
                  <c:v>70028000</c:v>
                </c:pt>
                <c:pt idx="686">
                  <c:v>57923000</c:v>
                </c:pt>
                <c:pt idx="687">
                  <c:v>46916000</c:v>
                </c:pt>
                <c:pt idx="688">
                  <c:v>47706000</c:v>
                </c:pt>
                <c:pt idx="689">
                  <c:v>40235000</c:v>
                </c:pt>
                <c:pt idx="690">
                  <c:v>38085000</c:v>
                </c:pt>
                <c:pt idx="691">
                  <c:v>53867000</c:v>
                </c:pt>
                <c:pt idx="692">
                  <c:v>32175000</c:v>
                </c:pt>
                <c:pt idx="693">
                  <c:v>49017000</c:v>
                </c:pt>
                <c:pt idx="694">
                  <c:v>25494000</c:v>
                </c:pt>
                <c:pt idx="695">
                  <c:v>29135000</c:v>
                </c:pt>
                <c:pt idx="696">
                  <c:v>77427000</c:v>
                </c:pt>
                <c:pt idx="697">
                  <c:v>37096000</c:v>
                </c:pt>
                <c:pt idx="698">
                  <c:v>42703000</c:v>
                </c:pt>
                <c:pt idx="699">
                  <c:v>45000000</c:v>
                </c:pt>
                <c:pt idx="700">
                  <c:v>35744000</c:v>
                </c:pt>
                <c:pt idx="701">
                  <c:v>34253000</c:v>
                </c:pt>
                <c:pt idx="702">
                  <c:v>37784000</c:v>
                </c:pt>
                <c:pt idx="703">
                  <c:v>55845000</c:v>
                </c:pt>
                <c:pt idx="704">
                  <c:v>33586000</c:v>
                </c:pt>
                <c:pt idx="705">
                  <c:v>37451000</c:v>
                </c:pt>
                <c:pt idx="706">
                  <c:v>46445000</c:v>
                </c:pt>
                <c:pt idx="707">
                  <c:v>183000000</c:v>
                </c:pt>
                <c:pt idx="708">
                  <c:v>43523000</c:v>
                </c:pt>
                <c:pt idx="709">
                  <c:v>63830000</c:v>
                </c:pt>
                <c:pt idx="710">
                  <c:v>39309000</c:v>
                </c:pt>
                <c:pt idx="711">
                  <c:v>60686000</c:v>
                </c:pt>
                <c:pt idx="712">
                  <c:v>55557000</c:v>
                </c:pt>
                <c:pt idx="713">
                  <c:v>46859000</c:v>
                </c:pt>
                <c:pt idx="714">
                  <c:v>32927000</c:v>
                </c:pt>
                <c:pt idx="715">
                  <c:v>44655000</c:v>
                </c:pt>
                <c:pt idx="716">
                  <c:v>31463000</c:v>
                </c:pt>
                <c:pt idx="717">
                  <c:v>37095000</c:v>
                </c:pt>
                <c:pt idx="718">
                  <c:v>32305000</c:v>
                </c:pt>
                <c:pt idx="719">
                  <c:v>34380000</c:v>
                </c:pt>
                <c:pt idx="720">
                  <c:v>25221000</c:v>
                </c:pt>
                <c:pt idx="721">
                  <c:v>43383000</c:v>
                </c:pt>
                <c:pt idx="722">
                  <c:v>71014000</c:v>
                </c:pt>
                <c:pt idx="723">
                  <c:v>39307000</c:v>
                </c:pt>
                <c:pt idx="724">
                  <c:v>36173000</c:v>
                </c:pt>
                <c:pt idx="725">
                  <c:v>33388000</c:v>
                </c:pt>
                <c:pt idx="726">
                  <c:v>34259000</c:v>
                </c:pt>
                <c:pt idx="727">
                  <c:v>22807000</c:v>
                </c:pt>
                <c:pt idx="728">
                  <c:v>26889000</c:v>
                </c:pt>
                <c:pt idx="729">
                  <c:v>26891000</c:v>
                </c:pt>
                <c:pt idx="730">
                  <c:v>30471000</c:v>
                </c:pt>
                <c:pt idx="731">
                  <c:v>26387000</c:v>
                </c:pt>
                <c:pt idx="732">
                  <c:v>25852000</c:v>
                </c:pt>
                <c:pt idx="733">
                  <c:v>38455000</c:v>
                </c:pt>
                <c:pt idx="734">
                  <c:v>38573000</c:v>
                </c:pt>
                <c:pt idx="735">
                  <c:v>33765000</c:v>
                </c:pt>
                <c:pt idx="736">
                  <c:v>37592000</c:v>
                </c:pt>
                <c:pt idx="737">
                  <c:v>46661000</c:v>
                </c:pt>
                <c:pt idx="738">
                  <c:v>32246000</c:v>
                </c:pt>
                <c:pt idx="739">
                  <c:v>25769000</c:v>
                </c:pt>
                <c:pt idx="740">
                  <c:v>20521000</c:v>
                </c:pt>
                <c:pt idx="741">
                  <c:v>25534000</c:v>
                </c:pt>
                <c:pt idx="742">
                  <c:v>35248000</c:v>
                </c:pt>
                <c:pt idx="743">
                  <c:v>27964000</c:v>
                </c:pt>
                <c:pt idx="744">
                  <c:v>43150000</c:v>
                </c:pt>
                <c:pt idx="745">
                  <c:v>65405000</c:v>
                </c:pt>
                <c:pt idx="746">
                  <c:v>51802000</c:v>
                </c:pt>
                <c:pt idx="747">
                  <c:v>83494000</c:v>
                </c:pt>
                <c:pt idx="748">
                  <c:v>58216000</c:v>
                </c:pt>
                <c:pt idx="749">
                  <c:v>78416000</c:v>
                </c:pt>
                <c:pt idx="750">
                  <c:v>64278000</c:v>
                </c:pt>
                <c:pt idx="751">
                  <c:v>54819000</c:v>
                </c:pt>
                <c:pt idx="752">
                  <c:v>39767000</c:v>
                </c:pt>
                <c:pt idx="753">
                  <c:v>47587000</c:v>
                </c:pt>
                <c:pt idx="754">
                  <c:v>46071000</c:v>
                </c:pt>
                <c:pt idx="755">
                  <c:v>16401000</c:v>
                </c:pt>
                <c:pt idx="756">
                  <c:v>21991000</c:v>
                </c:pt>
                <c:pt idx="757">
                  <c:v>73009000</c:v>
                </c:pt>
                <c:pt idx="758">
                  <c:v>62214000</c:v>
                </c:pt>
                <c:pt idx="759">
                  <c:v>159000000</c:v>
                </c:pt>
                <c:pt idx="760">
                  <c:v>51964000</c:v>
                </c:pt>
                <c:pt idx="761">
                  <c:v>74193000</c:v>
                </c:pt>
                <c:pt idx="762">
                  <c:v>61158000</c:v>
                </c:pt>
                <c:pt idx="763">
                  <c:v>33208000</c:v>
                </c:pt>
                <c:pt idx="764">
                  <c:v>52580000</c:v>
                </c:pt>
                <c:pt idx="765">
                  <c:v>45491000</c:v>
                </c:pt>
                <c:pt idx="766">
                  <c:v>56997000</c:v>
                </c:pt>
                <c:pt idx="767">
                  <c:v>46522000</c:v>
                </c:pt>
                <c:pt idx="768">
                  <c:v>52219000</c:v>
                </c:pt>
                <c:pt idx="769">
                  <c:v>45179000</c:v>
                </c:pt>
                <c:pt idx="770">
                  <c:v>46834000</c:v>
                </c:pt>
                <c:pt idx="771">
                  <c:v>113000000</c:v>
                </c:pt>
                <c:pt idx="772">
                  <c:v>87345000</c:v>
                </c:pt>
                <c:pt idx="773">
                  <c:v>58568000</c:v>
                </c:pt>
                <c:pt idx="774">
                  <c:v>22651000</c:v>
                </c:pt>
                <c:pt idx="775">
                  <c:v>21810000</c:v>
                </c:pt>
                <c:pt idx="776">
                  <c:v>27104000</c:v>
                </c:pt>
                <c:pt idx="777">
                  <c:v>19137000</c:v>
                </c:pt>
                <c:pt idx="778">
                  <c:v>19443000</c:v>
                </c:pt>
                <c:pt idx="779">
                  <c:v>36156000</c:v>
                </c:pt>
                <c:pt idx="780">
                  <c:v>28293000</c:v>
                </c:pt>
                <c:pt idx="781">
                  <c:v>27150000</c:v>
                </c:pt>
                <c:pt idx="782">
                  <c:v>37665000</c:v>
                </c:pt>
                <c:pt idx="783">
                  <c:v>59442000</c:v>
                </c:pt>
                <c:pt idx="784">
                  <c:v>31792000</c:v>
                </c:pt>
                <c:pt idx="785">
                  <c:v>28367000</c:v>
                </c:pt>
                <c:pt idx="786">
                  <c:v>54625000</c:v>
                </c:pt>
                <c:pt idx="787">
                  <c:v>65332000</c:v>
                </c:pt>
                <c:pt idx="788">
                  <c:v>69621000</c:v>
                </c:pt>
                <c:pt idx="789">
                  <c:v>21438000</c:v>
                </c:pt>
                <c:pt idx="790">
                  <c:v>54034000</c:v>
                </c:pt>
                <c:pt idx="791">
                  <c:v>44884000</c:v>
                </c:pt>
                <c:pt idx="792">
                  <c:v>47356000</c:v>
                </c:pt>
                <c:pt idx="793">
                  <c:v>37949000</c:v>
                </c:pt>
                <c:pt idx="794">
                  <c:v>29110000</c:v>
                </c:pt>
                <c:pt idx="795">
                  <c:v>31056000</c:v>
                </c:pt>
                <c:pt idx="796">
                  <c:v>38771000</c:v>
                </c:pt>
                <c:pt idx="797">
                  <c:v>43603000</c:v>
                </c:pt>
                <c:pt idx="798">
                  <c:v>73365000</c:v>
                </c:pt>
                <c:pt idx="799">
                  <c:v>68556000</c:v>
                </c:pt>
                <c:pt idx="800">
                  <c:v>69105000</c:v>
                </c:pt>
                <c:pt idx="801">
                  <c:v>66686000</c:v>
                </c:pt>
                <c:pt idx="802">
                  <c:v>74986000</c:v>
                </c:pt>
                <c:pt idx="803">
                  <c:v>40371000</c:v>
                </c:pt>
                <c:pt idx="804">
                  <c:v>30956000</c:v>
                </c:pt>
                <c:pt idx="805">
                  <c:v>41164000</c:v>
                </c:pt>
                <c:pt idx="806">
                  <c:v>39765000</c:v>
                </c:pt>
                <c:pt idx="807">
                  <c:v>62618000</c:v>
                </c:pt>
                <c:pt idx="808">
                  <c:v>34859000</c:v>
                </c:pt>
                <c:pt idx="809">
                  <c:v>38260000</c:v>
                </c:pt>
                <c:pt idx="810">
                  <c:v>33741000</c:v>
                </c:pt>
                <c:pt idx="811">
                  <c:v>44038000</c:v>
                </c:pt>
                <c:pt idx="812">
                  <c:v>16865000</c:v>
                </c:pt>
                <c:pt idx="813">
                  <c:v>27806000</c:v>
                </c:pt>
                <c:pt idx="814">
                  <c:v>39284000</c:v>
                </c:pt>
                <c:pt idx="815">
                  <c:v>51882000</c:v>
                </c:pt>
                <c:pt idx="816">
                  <c:v>60088000</c:v>
                </c:pt>
                <c:pt idx="817">
                  <c:v>39459000</c:v>
                </c:pt>
                <c:pt idx="818">
                  <c:v>64226000</c:v>
                </c:pt>
                <c:pt idx="819">
                  <c:v>110000000</c:v>
                </c:pt>
                <c:pt idx="820">
                  <c:v>72511000</c:v>
                </c:pt>
                <c:pt idx="821">
                  <c:v>48340000</c:v>
                </c:pt>
                <c:pt idx="822">
                  <c:v>65890000</c:v>
                </c:pt>
                <c:pt idx="823">
                  <c:v>28692000</c:v>
                </c:pt>
                <c:pt idx="824">
                  <c:v>25297000</c:v>
                </c:pt>
                <c:pt idx="825">
                  <c:v>48850000</c:v>
                </c:pt>
                <c:pt idx="826">
                  <c:v>32943000</c:v>
                </c:pt>
                <c:pt idx="827">
                  <c:v>42881000</c:v>
                </c:pt>
                <c:pt idx="828">
                  <c:v>37114000</c:v>
                </c:pt>
                <c:pt idx="829">
                  <c:v>59311000</c:v>
                </c:pt>
                <c:pt idx="830">
                  <c:v>53662000</c:v>
                </c:pt>
                <c:pt idx="831">
                  <c:v>39063000</c:v>
                </c:pt>
                <c:pt idx="832">
                  <c:v>95199000</c:v>
                </c:pt>
                <c:pt idx="833">
                  <c:v>35240000</c:v>
                </c:pt>
                <c:pt idx="834">
                  <c:v>53358000</c:v>
                </c:pt>
                <c:pt idx="835">
                  <c:v>25998000</c:v>
                </c:pt>
                <c:pt idx="836">
                  <c:v>45031000</c:v>
                </c:pt>
                <c:pt idx="837">
                  <c:v>31768000</c:v>
                </c:pt>
                <c:pt idx="838">
                  <c:v>33476000</c:v>
                </c:pt>
                <c:pt idx="839">
                  <c:v>29043000</c:v>
                </c:pt>
                <c:pt idx="840">
                  <c:v>51932000</c:v>
                </c:pt>
                <c:pt idx="841">
                  <c:v>32669000</c:v>
                </c:pt>
                <c:pt idx="842">
                  <c:v>35680000</c:v>
                </c:pt>
                <c:pt idx="843">
                  <c:v>25802000</c:v>
                </c:pt>
                <c:pt idx="844">
                  <c:v>39590000</c:v>
                </c:pt>
                <c:pt idx="845">
                  <c:v>51510000</c:v>
                </c:pt>
                <c:pt idx="846">
                  <c:v>46803000</c:v>
                </c:pt>
                <c:pt idx="847">
                  <c:v>27682000</c:v>
                </c:pt>
                <c:pt idx="848">
                  <c:v>25190000</c:v>
                </c:pt>
                <c:pt idx="849">
                  <c:v>19598000</c:v>
                </c:pt>
                <c:pt idx="850">
                  <c:v>36863000</c:v>
                </c:pt>
                <c:pt idx="851">
                  <c:v>26323000</c:v>
                </c:pt>
                <c:pt idx="852">
                  <c:v>44422000</c:v>
                </c:pt>
                <c:pt idx="853">
                  <c:v>47171000</c:v>
                </c:pt>
                <c:pt idx="854">
                  <c:v>30173000</c:v>
                </c:pt>
                <c:pt idx="855">
                  <c:v>40172000</c:v>
                </c:pt>
                <c:pt idx="856">
                  <c:v>43984000</c:v>
                </c:pt>
                <c:pt idx="857">
                  <c:v>28307000</c:v>
                </c:pt>
                <c:pt idx="858">
                  <c:v>36780000</c:v>
                </c:pt>
                <c:pt idx="859">
                  <c:v>98063000</c:v>
                </c:pt>
                <c:pt idx="860">
                  <c:v>39220000</c:v>
                </c:pt>
                <c:pt idx="861">
                  <c:v>31554000</c:v>
                </c:pt>
                <c:pt idx="862">
                  <c:v>24399000</c:v>
                </c:pt>
                <c:pt idx="863">
                  <c:v>45706000</c:v>
                </c:pt>
                <c:pt idx="864">
                  <c:v>58927000</c:v>
                </c:pt>
                <c:pt idx="865">
                  <c:v>61592000</c:v>
                </c:pt>
                <c:pt idx="866">
                  <c:v>63230000</c:v>
                </c:pt>
                <c:pt idx="867">
                  <c:v>40392000</c:v>
                </c:pt>
                <c:pt idx="868">
                  <c:v>29712000</c:v>
                </c:pt>
                <c:pt idx="869">
                  <c:v>57864000</c:v>
                </c:pt>
                <c:pt idx="870">
                  <c:v>35806000</c:v>
                </c:pt>
                <c:pt idx="871">
                  <c:v>22980000</c:v>
                </c:pt>
                <c:pt idx="872">
                  <c:v>31768000</c:v>
                </c:pt>
                <c:pt idx="873">
                  <c:v>60848000</c:v>
                </c:pt>
                <c:pt idx="874">
                  <c:v>33799000</c:v>
                </c:pt>
                <c:pt idx="875">
                  <c:v>50224000</c:v>
                </c:pt>
                <c:pt idx="876">
                  <c:v>38519000</c:v>
                </c:pt>
                <c:pt idx="877">
                  <c:v>75730000</c:v>
                </c:pt>
                <c:pt idx="878">
                  <c:v>33392000</c:v>
                </c:pt>
                <c:pt idx="879">
                  <c:v>34889000</c:v>
                </c:pt>
                <c:pt idx="880">
                  <c:v>34984000</c:v>
                </c:pt>
                <c:pt idx="881">
                  <c:v>14224000</c:v>
                </c:pt>
                <c:pt idx="882">
                  <c:v>48973000</c:v>
                </c:pt>
                <c:pt idx="883">
                  <c:v>111000000</c:v>
                </c:pt>
                <c:pt idx="884">
                  <c:v>43245000</c:v>
                </c:pt>
                <c:pt idx="885">
                  <c:v>44702000</c:v>
                </c:pt>
                <c:pt idx="886">
                  <c:v>156000000</c:v>
                </c:pt>
                <c:pt idx="887">
                  <c:v>35663000</c:v>
                </c:pt>
                <c:pt idx="888">
                  <c:v>35558000</c:v>
                </c:pt>
                <c:pt idx="889">
                  <c:v>27807000</c:v>
                </c:pt>
                <c:pt idx="890">
                  <c:v>61485000</c:v>
                </c:pt>
                <c:pt idx="891">
                  <c:v>49150000</c:v>
                </c:pt>
                <c:pt idx="892">
                  <c:v>51046000</c:v>
                </c:pt>
                <c:pt idx="893">
                  <c:v>24864000</c:v>
                </c:pt>
                <c:pt idx="894">
                  <c:v>33102000</c:v>
                </c:pt>
                <c:pt idx="895">
                  <c:v>113000000</c:v>
                </c:pt>
                <c:pt idx="896">
                  <c:v>13074000</c:v>
                </c:pt>
                <c:pt idx="897">
                  <c:v>50662000</c:v>
                </c:pt>
                <c:pt idx="898">
                  <c:v>23967000</c:v>
                </c:pt>
                <c:pt idx="899">
                  <c:v>28088000</c:v>
                </c:pt>
                <c:pt idx="900">
                  <c:v>32217000</c:v>
                </c:pt>
                <c:pt idx="901">
                  <c:v>49130000</c:v>
                </c:pt>
                <c:pt idx="902">
                  <c:v>28735000</c:v>
                </c:pt>
                <c:pt idx="903">
                  <c:v>35563000</c:v>
                </c:pt>
                <c:pt idx="904">
                  <c:v>21858000</c:v>
                </c:pt>
                <c:pt idx="905">
                  <c:v>39814000</c:v>
                </c:pt>
                <c:pt idx="906">
                  <c:v>15752000</c:v>
                </c:pt>
                <c:pt idx="907">
                  <c:v>27176000</c:v>
                </c:pt>
                <c:pt idx="908">
                  <c:v>30932000</c:v>
                </c:pt>
                <c:pt idx="909">
                  <c:v>32464000</c:v>
                </c:pt>
                <c:pt idx="910">
                  <c:v>34164000</c:v>
                </c:pt>
                <c:pt idx="911">
                  <c:v>39342000</c:v>
                </c:pt>
                <c:pt idx="912">
                  <c:v>43705000</c:v>
                </c:pt>
                <c:pt idx="913">
                  <c:v>23252000</c:v>
                </c:pt>
                <c:pt idx="914">
                  <c:v>30696000</c:v>
                </c:pt>
                <c:pt idx="915">
                  <c:v>35163000</c:v>
                </c:pt>
                <c:pt idx="916">
                  <c:v>48795000</c:v>
                </c:pt>
                <c:pt idx="917">
                  <c:v>17599000</c:v>
                </c:pt>
                <c:pt idx="918">
                  <c:v>15375000</c:v>
                </c:pt>
                <c:pt idx="919">
                  <c:v>19716000</c:v>
                </c:pt>
                <c:pt idx="920">
                  <c:v>11258000</c:v>
                </c:pt>
                <c:pt idx="921">
                  <c:v>40510000</c:v>
                </c:pt>
                <c:pt idx="922">
                  <c:v>39748000</c:v>
                </c:pt>
                <c:pt idx="923">
                  <c:v>39204000</c:v>
                </c:pt>
                <c:pt idx="924">
                  <c:v>27693000</c:v>
                </c:pt>
                <c:pt idx="925">
                  <c:v>44170000</c:v>
                </c:pt>
                <c:pt idx="926">
                  <c:v>27822000</c:v>
                </c:pt>
                <c:pt idx="927">
                  <c:v>38012000</c:v>
                </c:pt>
                <c:pt idx="928">
                  <c:v>48648000</c:v>
                </c:pt>
                <c:pt idx="929">
                  <c:v>34583000</c:v>
                </c:pt>
                <c:pt idx="930">
                  <c:v>35372000</c:v>
                </c:pt>
                <c:pt idx="931">
                  <c:v>25323000</c:v>
                </c:pt>
                <c:pt idx="932">
                  <c:v>47393000</c:v>
                </c:pt>
                <c:pt idx="933">
                  <c:v>28029000</c:v>
                </c:pt>
                <c:pt idx="934">
                  <c:v>38563000</c:v>
                </c:pt>
                <c:pt idx="935">
                  <c:v>30389000</c:v>
                </c:pt>
                <c:pt idx="936">
                  <c:v>22912000</c:v>
                </c:pt>
                <c:pt idx="937">
                  <c:v>22126000</c:v>
                </c:pt>
                <c:pt idx="938">
                  <c:v>51745000</c:v>
                </c:pt>
                <c:pt idx="939">
                  <c:v>33215000</c:v>
                </c:pt>
                <c:pt idx="940">
                  <c:v>46453000</c:v>
                </c:pt>
                <c:pt idx="941">
                  <c:v>25357000</c:v>
                </c:pt>
                <c:pt idx="942">
                  <c:v>26732000</c:v>
                </c:pt>
                <c:pt idx="943">
                  <c:v>34599000</c:v>
                </c:pt>
                <c:pt idx="944">
                  <c:v>26627000</c:v>
                </c:pt>
                <c:pt idx="945">
                  <c:v>53735000</c:v>
                </c:pt>
                <c:pt idx="946">
                  <c:v>35146000</c:v>
                </c:pt>
                <c:pt idx="947">
                  <c:v>81201000</c:v>
                </c:pt>
                <c:pt idx="948">
                  <c:v>38084000</c:v>
                </c:pt>
                <c:pt idx="949">
                  <c:v>22734000</c:v>
                </c:pt>
                <c:pt idx="950">
                  <c:v>33380000</c:v>
                </c:pt>
                <c:pt idx="951">
                  <c:v>34439000</c:v>
                </c:pt>
                <c:pt idx="952">
                  <c:v>19320000</c:v>
                </c:pt>
                <c:pt idx="953">
                  <c:v>15055000</c:v>
                </c:pt>
                <c:pt idx="954">
                  <c:v>18863000</c:v>
                </c:pt>
                <c:pt idx="955">
                  <c:v>70936000</c:v>
                </c:pt>
                <c:pt idx="956">
                  <c:v>56270000</c:v>
                </c:pt>
                <c:pt idx="957">
                  <c:v>166000000</c:v>
                </c:pt>
                <c:pt idx="958">
                  <c:v>46249000</c:v>
                </c:pt>
                <c:pt idx="959">
                  <c:v>40227000</c:v>
                </c:pt>
                <c:pt idx="960">
                  <c:v>29942000</c:v>
                </c:pt>
                <c:pt idx="961">
                  <c:v>43018000</c:v>
                </c:pt>
                <c:pt idx="962">
                  <c:v>26412000</c:v>
                </c:pt>
                <c:pt idx="963">
                  <c:v>24398000</c:v>
                </c:pt>
                <c:pt idx="964">
                  <c:v>52437000</c:v>
                </c:pt>
                <c:pt idx="965">
                  <c:v>45411000</c:v>
                </c:pt>
                <c:pt idx="966">
                  <c:v>33331000</c:v>
                </c:pt>
                <c:pt idx="967">
                  <c:v>45903000</c:v>
                </c:pt>
                <c:pt idx="968">
                  <c:v>38982000</c:v>
                </c:pt>
                <c:pt idx="969">
                  <c:v>52068000</c:v>
                </c:pt>
                <c:pt idx="970">
                  <c:v>35270000</c:v>
                </c:pt>
                <c:pt idx="971">
                  <c:v>32193000</c:v>
                </c:pt>
                <c:pt idx="972">
                  <c:v>24774000</c:v>
                </c:pt>
                <c:pt idx="973">
                  <c:v>29766000</c:v>
                </c:pt>
                <c:pt idx="974">
                  <c:v>53990000</c:v>
                </c:pt>
                <c:pt idx="975">
                  <c:v>23198000</c:v>
                </c:pt>
                <c:pt idx="976">
                  <c:v>34562000</c:v>
                </c:pt>
                <c:pt idx="977">
                  <c:v>26935000</c:v>
                </c:pt>
                <c:pt idx="978">
                  <c:v>26562000</c:v>
                </c:pt>
                <c:pt idx="979">
                  <c:v>38951000</c:v>
                </c:pt>
                <c:pt idx="980">
                  <c:v>27786000</c:v>
                </c:pt>
                <c:pt idx="981">
                  <c:v>30767000</c:v>
                </c:pt>
                <c:pt idx="982">
                  <c:v>19972000</c:v>
                </c:pt>
                <c:pt idx="983">
                  <c:v>33301000</c:v>
                </c:pt>
                <c:pt idx="984">
                  <c:v>33426000</c:v>
                </c:pt>
                <c:pt idx="985">
                  <c:v>30547000</c:v>
                </c:pt>
                <c:pt idx="986">
                  <c:v>15269000</c:v>
                </c:pt>
                <c:pt idx="987">
                  <c:v>23662000</c:v>
                </c:pt>
                <c:pt idx="988">
                  <c:v>44308000</c:v>
                </c:pt>
                <c:pt idx="989">
                  <c:v>19256000</c:v>
                </c:pt>
                <c:pt idx="990">
                  <c:v>26220000</c:v>
                </c:pt>
                <c:pt idx="991">
                  <c:v>27515000</c:v>
                </c:pt>
                <c:pt idx="992">
                  <c:v>27982000</c:v>
                </c:pt>
                <c:pt idx="993">
                  <c:v>20856000</c:v>
                </c:pt>
                <c:pt idx="994">
                  <c:v>23214000</c:v>
                </c:pt>
                <c:pt idx="995">
                  <c:v>26554000</c:v>
                </c:pt>
                <c:pt idx="996">
                  <c:v>16343000</c:v>
                </c:pt>
                <c:pt idx="997">
                  <c:v>40336000</c:v>
                </c:pt>
                <c:pt idx="998">
                  <c:v>39168000</c:v>
                </c:pt>
                <c:pt idx="999">
                  <c:v>41579000</c:v>
                </c:pt>
                <c:pt idx="1000">
                  <c:v>46098000</c:v>
                </c:pt>
                <c:pt idx="1001">
                  <c:v>52588000</c:v>
                </c:pt>
                <c:pt idx="1002">
                  <c:v>31480000</c:v>
                </c:pt>
                <c:pt idx="1003">
                  <c:v>45190000</c:v>
                </c:pt>
                <c:pt idx="1004">
                  <c:v>59765000</c:v>
                </c:pt>
                <c:pt idx="1005">
                  <c:v>14714000</c:v>
                </c:pt>
                <c:pt idx="1006">
                  <c:v>20978000</c:v>
                </c:pt>
                <c:pt idx="1007">
                  <c:v>40422000</c:v>
                </c:pt>
                <c:pt idx="1008">
                  <c:v>54451000</c:v>
                </c:pt>
                <c:pt idx="1009">
                  <c:v>51921000</c:v>
                </c:pt>
                <c:pt idx="1010">
                  <c:v>247000000</c:v>
                </c:pt>
                <c:pt idx="1011">
                  <c:v>53122000</c:v>
                </c:pt>
                <c:pt idx="1012">
                  <c:v>31819000</c:v>
                </c:pt>
                <c:pt idx="1013">
                  <c:v>60749000</c:v>
                </c:pt>
                <c:pt idx="1014">
                  <c:v>80276000</c:v>
                </c:pt>
                <c:pt idx="1015">
                  <c:v>50672000</c:v>
                </c:pt>
                <c:pt idx="1016">
                  <c:v>58554000</c:v>
                </c:pt>
                <c:pt idx="1017">
                  <c:v>43883000</c:v>
                </c:pt>
                <c:pt idx="1018">
                  <c:v>55696000</c:v>
                </c:pt>
                <c:pt idx="1019">
                  <c:v>64240000</c:v>
                </c:pt>
                <c:pt idx="1020">
                  <c:v>123000000</c:v>
                </c:pt>
                <c:pt idx="1021">
                  <c:v>143000000</c:v>
                </c:pt>
                <c:pt idx="1022">
                  <c:v>51039000</c:v>
                </c:pt>
                <c:pt idx="1023">
                  <c:v>71911000</c:v>
                </c:pt>
                <c:pt idx="1024">
                  <c:v>66172000</c:v>
                </c:pt>
                <c:pt idx="1025">
                  <c:v>34727000</c:v>
                </c:pt>
                <c:pt idx="1026">
                  <c:v>47248000</c:v>
                </c:pt>
                <c:pt idx="1027">
                  <c:v>17582000</c:v>
                </c:pt>
                <c:pt idx="1028">
                  <c:v>17109000</c:v>
                </c:pt>
                <c:pt idx="1029">
                  <c:v>15926000</c:v>
                </c:pt>
                <c:pt idx="1030">
                  <c:v>22925000</c:v>
                </c:pt>
                <c:pt idx="1031">
                  <c:v>17292000</c:v>
                </c:pt>
                <c:pt idx="1032">
                  <c:v>44581000</c:v>
                </c:pt>
                <c:pt idx="1033">
                  <c:v>21397000</c:v>
                </c:pt>
                <c:pt idx="1034">
                  <c:v>36983000</c:v>
                </c:pt>
                <c:pt idx="1035">
                  <c:v>50590000</c:v>
                </c:pt>
                <c:pt idx="1036">
                  <c:v>17152000</c:v>
                </c:pt>
                <c:pt idx="1037">
                  <c:v>29081000</c:v>
                </c:pt>
                <c:pt idx="1038">
                  <c:v>40929000</c:v>
                </c:pt>
                <c:pt idx="1039">
                  <c:v>21418000</c:v>
                </c:pt>
                <c:pt idx="1040">
                  <c:v>36119000</c:v>
                </c:pt>
                <c:pt idx="1041">
                  <c:v>38385000</c:v>
                </c:pt>
                <c:pt idx="1042">
                  <c:v>43203000</c:v>
                </c:pt>
                <c:pt idx="1043">
                  <c:v>55668000</c:v>
                </c:pt>
                <c:pt idx="1044">
                  <c:v>30390000</c:v>
                </c:pt>
                <c:pt idx="1045">
                  <c:v>41693000</c:v>
                </c:pt>
                <c:pt idx="1046">
                  <c:v>48006000</c:v>
                </c:pt>
                <c:pt idx="1047">
                  <c:v>39471000</c:v>
                </c:pt>
                <c:pt idx="1048">
                  <c:v>44381000</c:v>
                </c:pt>
                <c:pt idx="1049">
                  <c:v>25908000</c:v>
                </c:pt>
                <c:pt idx="1050">
                  <c:v>23442000</c:v>
                </c:pt>
                <c:pt idx="1051">
                  <c:v>40319000</c:v>
                </c:pt>
                <c:pt idx="1052">
                  <c:v>17058000</c:v>
                </c:pt>
                <c:pt idx="1053">
                  <c:v>25458000</c:v>
                </c:pt>
                <c:pt idx="1054">
                  <c:v>29715000</c:v>
                </c:pt>
                <c:pt idx="1055">
                  <c:v>23649000</c:v>
                </c:pt>
                <c:pt idx="1056">
                  <c:v>17448000</c:v>
                </c:pt>
                <c:pt idx="1057">
                  <c:v>36396000</c:v>
                </c:pt>
                <c:pt idx="1058">
                  <c:v>29828000</c:v>
                </c:pt>
                <c:pt idx="1059">
                  <c:v>18945000</c:v>
                </c:pt>
                <c:pt idx="1060">
                  <c:v>28353000</c:v>
                </c:pt>
                <c:pt idx="1061">
                  <c:v>26989000</c:v>
                </c:pt>
                <c:pt idx="1062">
                  <c:v>19405000</c:v>
                </c:pt>
                <c:pt idx="1063">
                  <c:v>26539000</c:v>
                </c:pt>
                <c:pt idx="1064">
                  <c:v>30536000</c:v>
                </c:pt>
                <c:pt idx="1065">
                  <c:v>27921000</c:v>
                </c:pt>
                <c:pt idx="1066">
                  <c:v>65538000</c:v>
                </c:pt>
                <c:pt idx="1067">
                  <c:v>64904000</c:v>
                </c:pt>
                <c:pt idx="1068">
                  <c:v>40066000</c:v>
                </c:pt>
                <c:pt idx="1069">
                  <c:v>39561000</c:v>
                </c:pt>
                <c:pt idx="1070">
                  <c:v>54053000</c:v>
                </c:pt>
                <c:pt idx="1071">
                  <c:v>49359000</c:v>
                </c:pt>
                <c:pt idx="1072">
                  <c:v>24978000</c:v>
                </c:pt>
                <c:pt idx="1073">
                  <c:v>33245000</c:v>
                </c:pt>
                <c:pt idx="1074">
                  <c:v>29582000</c:v>
                </c:pt>
                <c:pt idx="1075">
                  <c:v>63094000</c:v>
                </c:pt>
                <c:pt idx="1076">
                  <c:v>57433000</c:v>
                </c:pt>
                <c:pt idx="1077">
                  <c:v>79351000</c:v>
                </c:pt>
                <c:pt idx="1078">
                  <c:v>54947000</c:v>
                </c:pt>
                <c:pt idx="1079">
                  <c:v>25362000</c:v>
                </c:pt>
                <c:pt idx="1080">
                  <c:v>43279000</c:v>
                </c:pt>
                <c:pt idx="1081">
                  <c:v>40644000</c:v>
                </c:pt>
                <c:pt idx="1082">
                  <c:v>133000000</c:v>
                </c:pt>
                <c:pt idx="1083">
                  <c:v>46481000</c:v>
                </c:pt>
                <c:pt idx="1084">
                  <c:v>36532000</c:v>
                </c:pt>
                <c:pt idx="1085">
                  <c:v>36837000</c:v>
                </c:pt>
                <c:pt idx="1086">
                  <c:v>55519000</c:v>
                </c:pt>
                <c:pt idx="1087">
                  <c:v>53109000</c:v>
                </c:pt>
                <c:pt idx="1088">
                  <c:v>39842000</c:v>
                </c:pt>
                <c:pt idx="1089">
                  <c:v>41031000</c:v>
                </c:pt>
                <c:pt idx="1090">
                  <c:v>30030000</c:v>
                </c:pt>
                <c:pt idx="1091">
                  <c:v>42172000</c:v>
                </c:pt>
                <c:pt idx="1092">
                  <c:v>20903000</c:v>
                </c:pt>
                <c:pt idx="1093">
                  <c:v>37749000</c:v>
                </c:pt>
                <c:pt idx="1094">
                  <c:v>32699000</c:v>
                </c:pt>
                <c:pt idx="1095">
                  <c:v>41960000</c:v>
                </c:pt>
                <c:pt idx="1096">
                  <c:v>27210000</c:v>
                </c:pt>
                <c:pt idx="1097">
                  <c:v>30613000</c:v>
                </c:pt>
                <c:pt idx="1098">
                  <c:v>25814000</c:v>
                </c:pt>
                <c:pt idx="1099">
                  <c:v>27083000</c:v>
                </c:pt>
                <c:pt idx="1100">
                  <c:v>35231000</c:v>
                </c:pt>
                <c:pt idx="1101">
                  <c:v>30463000</c:v>
                </c:pt>
                <c:pt idx="1102">
                  <c:v>40761000</c:v>
                </c:pt>
                <c:pt idx="1103">
                  <c:v>33279000</c:v>
                </c:pt>
                <c:pt idx="1104">
                  <c:v>23301000</c:v>
                </c:pt>
                <c:pt idx="1105">
                  <c:v>40494000</c:v>
                </c:pt>
                <c:pt idx="1106">
                  <c:v>44405000</c:v>
                </c:pt>
                <c:pt idx="1107">
                  <c:v>34092000</c:v>
                </c:pt>
                <c:pt idx="1108">
                  <c:v>28000000</c:v>
                </c:pt>
                <c:pt idx="1109">
                  <c:v>33772000</c:v>
                </c:pt>
                <c:pt idx="1110">
                  <c:v>19955000</c:v>
                </c:pt>
                <c:pt idx="1111">
                  <c:v>19297000</c:v>
                </c:pt>
                <c:pt idx="1112">
                  <c:v>25062000</c:v>
                </c:pt>
                <c:pt idx="1113">
                  <c:v>19463000</c:v>
                </c:pt>
                <c:pt idx="1114">
                  <c:v>20709000</c:v>
                </c:pt>
                <c:pt idx="1115">
                  <c:v>28182000</c:v>
                </c:pt>
                <c:pt idx="1116">
                  <c:v>23689000</c:v>
                </c:pt>
                <c:pt idx="1117">
                  <c:v>31622000</c:v>
                </c:pt>
                <c:pt idx="1118">
                  <c:v>36297000</c:v>
                </c:pt>
                <c:pt idx="1119">
                  <c:v>50162000</c:v>
                </c:pt>
                <c:pt idx="1120">
                  <c:v>25915000</c:v>
                </c:pt>
                <c:pt idx="1121">
                  <c:v>37175000</c:v>
                </c:pt>
                <c:pt idx="1122">
                  <c:v>30633000</c:v>
                </c:pt>
                <c:pt idx="1123">
                  <c:v>20611000</c:v>
                </c:pt>
                <c:pt idx="1124">
                  <c:v>35533000</c:v>
                </c:pt>
                <c:pt idx="1125">
                  <c:v>52038000</c:v>
                </c:pt>
                <c:pt idx="1126">
                  <c:v>25294000</c:v>
                </c:pt>
                <c:pt idx="1127">
                  <c:v>33186000</c:v>
                </c:pt>
                <c:pt idx="1128">
                  <c:v>53982000</c:v>
                </c:pt>
                <c:pt idx="1129">
                  <c:v>44049000</c:v>
                </c:pt>
                <c:pt idx="1130">
                  <c:v>68313000</c:v>
                </c:pt>
                <c:pt idx="1131">
                  <c:v>13019000</c:v>
                </c:pt>
                <c:pt idx="1132">
                  <c:v>49613000</c:v>
                </c:pt>
                <c:pt idx="1133">
                  <c:v>45743000</c:v>
                </c:pt>
                <c:pt idx="1134">
                  <c:v>43015000</c:v>
                </c:pt>
                <c:pt idx="1135">
                  <c:v>139000000</c:v>
                </c:pt>
                <c:pt idx="1136">
                  <c:v>67917000</c:v>
                </c:pt>
                <c:pt idx="1137">
                  <c:v>48269000</c:v>
                </c:pt>
                <c:pt idx="1138">
                  <c:v>64650000</c:v>
                </c:pt>
                <c:pt idx="1139">
                  <c:v>35515000</c:v>
                </c:pt>
                <c:pt idx="1140">
                  <c:v>29804000</c:v>
                </c:pt>
                <c:pt idx="1141">
                  <c:v>21713000</c:v>
                </c:pt>
                <c:pt idx="1142">
                  <c:v>40207000</c:v>
                </c:pt>
                <c:pt idx="1143">
                  <c:v>27272000</c:v>
                </c:pt>
                <c:pt idx="1144">
                  <c:v>35008000</c:v>
                </c:pt>
                <c:pt idx="1145">
                  <c:v>52677000</c:v>
                </c:pt>
                <c:pt idx="1146">
                  <c:v>45550000</c:v>
                </c:pt>
                <c:pt idx="1147">
                  <c:v>67739000</c:v>
                </c:pt>
                <c:pt idx="1148">
                  <c:v>30521000</c:v>
                </c:pt>
                <c:pt idx="1149">
                  <c:v>51766000</c:v>
                </c:pt>
                <c:pt idx="1150">
                  <c:v>140000000</c:v>
                </c:pt>
                <c:pt idx="1151">
                  <c:v>38994000</c:v>
                </c:pt>
                <c:pt idx="1152">
                  <c:v>28489000</c:v>
                </c:pt>
                <c:pt idx="1153">
                  <c:v>37037000</c:v>
                </c:pt>
                <c:pt idx="1154">
                  <c:v>31162000</c:v>
                </c:pt>
                <c:pt idx="1155">
                  <c:v>26527000</c:v>
                </c:pt>
                <c:pt idx="1156">
                  <c:v>31953000</c:v>
                </c:pt>
                <c:pt idx="1157">
                  <c:v>29933000</c:v>
                </c:pt>
                <c:pt idx="1158">
                  <c:v>11030000</c:v>
                </c:pt>
                <c:pt idx="1159">
                  <c:v>39785000</c:v>
                </c:pt>
                <c:pt idx="1160">
                  <c:v>33369000</c:v>
                </c:pt>
                <c:pt idx="1161">
                  <c:v>30386000</c:v>
                </c:pt>
                <c:pt idx="1162">
                  <c:v>25967000</c:v>
                </c:pt>
                <c:pt idx="1163">
                  <c:v>30427000</c:v>
                </c:pt>
                <c:pt idx="1164">
                  <c:v>24133000</c:v>
                </c:pt>
                <c:pt idx="1165">
                  <c:v>28811000</c:v>
                </c:pt>
                <c:pt idx="1166">
                  <c:v>24769000</c:v>
                </c:pt>
                <c:pt idx="1167">
                  <c:v>25330000</c:v>
                </c:pt>
                <c:pt idx="1168">
                  <c:v>49316000</c:v>
                </c:pt>
                <c:pt idx="1169">
                  <c:v>20255000</c:v>
                </c:pt>
                <c:pt idx="1170">
                  <c:v>35670000</c:v>
                </c:pt>
                <c:pt idx="1171">
                  <c:v>20701000</c:v>
                </c:pt>
                <c:pt idx="1172">
                  <c:v>29085000</c:v>
                </c:pt>
                <c:pt idx="1173">
                  <c:v>32495000</c:v>
                </c:pt>
                <c:pt idx="1174">
                  <c:v>27343000</c:v>
                </c:pt>
                <c:pt idx="1175">
                  <c:v>18591000</c:v>
                </c:pt>
                <c:pt idx="1176">
                  <c:v>34228000</c:v>
                </c:pt>
                <c:pt idx="1177">
                  <c:v>21306000</c:v>
                </c:pt>
                <c:pt idx="1178">
                  <c:v>27686000</c:v>
                </c:pt>
                <c:pt idx="1179">
                  <c:v>34855000</c:v>
                </c:pt>
                <c:pt idx="1180">
                  <c:v>47116000</c:v>
                </c:pt>
                <c:pt idx="1181">
                  <c:v>29269000</c:v>
                </c:pt>
                <c:pt idx="1182">
                  <c:v>25524000</c:v>
                </c:pt>
                <c:pt idx="1183">
                  <c:v>22226000</c:v>
                </c:pt>
                <c:pt idx="1184">
                  <c:v>16680000</c:v>
                </c:pt>
                <c:pt idx="1185">
                  <c:v>21739000</c:v>
                </c:pt>
                <c:pt idx="1186">
                  <c:v>25825000</c:v>
                </c:pt>
                <c:pt idx="1187">
                  <c:v>22641000</c:v>
                </c:pt>
                <c:pt idx="1188">
                  <c:v>23264000</c:v>
                </c:pt>
                <c:pt idx="1189">
                  <c:v>52743000</c:v>
                </c:pt>
                <c:pt idx="1190">
                  <c:v>19416000</c:v>
                </c:pt>
                <c:pt idx="1191">
                  <c:v>20744000</c:v>
                </c:pt>
                <c:pt idx="1192">
                  <c:v>17770000</c:v>
                </c:pt>
                <c:pt idx="1193">
                  <c:v>17180000</c:v>
                </c:pt>
                <c:pt idx="1194">
                  <c:v>14281000</c:v>
                </c:pt>
                <c:pt idx="1195">
                  <c:v>18344000</c:v>
                </c:pt>
                <c:pt idx="1196">
                  <c:v>16545000</c:v>
                </c:pt>
                <c:pt idx="1197">
                  <c:v>21432000</c:v>
                </c:pt>
                <c:pt idx="1198">
                  <c:v>57278000</c:v>
                </c:pt>
                <c:pt idx="1199">
                  <c:v>40267000</c:v>
                </c:pt>
                <c:pt idx="1200">
                  <c:v>18287000</c:v>
                </c:pt>
                <c:pt idx="1201">
                  <c:v>26968000</c:v>
                </c:pt>
                <c:pt idx="1202">
                  <c:v>36701000</c:v>
                </c:pt>
                <c:pt idx="1203">
                  <c:v>22417000</c:v>
                </c:pt>
                <c:pt idx="1204">
                  <c:v>39020000</c:v>
                </c:pt>
                <c:pt idx="1205">
                  <c:v>40992000</c:v>
                </c:pt>
                <c:pt idx="1206">
                  <c:v>38192000</c:v>
                </c:pt>
                <c:pt idx="1207">
                  <c:v>32050000</c:v>
                </c:pt>
                <c:pt idx="1208">
                  <c:v>40493000</c:v>
                </c:pt>
                <c:pt idx="1209">
                  <c:v>52411000</c:v>
                </c:pt>
                <c:pt idx="1210">
                  <c:v>43953000</c:v>
                </c:pt>
                <c:pt idx="1211">
                  <c:v>53359000</c:v>
                </c:pt>
                <c:pt idx="1212">
                  <c:v>179000000</c:v>
                </c:pt>
                <c:pt idx="1213">
                  <c:v>32016000</c:v>
                </c:pt>
                <c:pt idx="1214">
                  <c:v>28224000</c:v>
                </c:pt>
                <c:pt idx="1215">
                  <c:v>18712000</c:v>
                </c:pt>
                <c:pt idx="1216">
                  <c:v>26730000</c:v>
                </c:pt>
                <c:pt idx="1217">
                  <c:v>23484000</c:v>
                </c:pt>
                <c:pt idx="1218">
                  <c:v>75480000</c:v>
                </c:pt>
                <c:pt idx="1219">
                  <c:v>40187000</c:v>
                </c:pt>
                <c:pt idx="1220">
                  <c:v>25844000</c:v>
                </c:pt>
                <c:pt idx="1221">
                  <c:v>27614000</c:v>
                </c:pt>
                <c:pt idx="1222">
                  <c:v>25798000</c:v>
                </c:pt>
                <c:pt idx="1223">
                  <c:v>31234000</c:v>
                </c:pt>
                <c:pt idx="1224">
                  <c:v>29573000</c:v>
                </c:pt>
                <c:pt idx="1225">
                  <c:v>26471000</c:v>
                </c:pt>
                <c:pt idx="1226">
                  <c:v>23890000</c:v>
                </c:pt>
                <c:pt idx="1227">
                  <c:v>22629000</c:v>
                </c:pt>
                <c:pt idx="1228">
                  <c:v>39070000</c:v>
                </c:pt>
                <c:pt idx="1229">
                  <c:v>27426000</c:v>
                </c:pt>
                <c:pt idx="1230">
                  <c:v>26871000</c:v>
                </c:pt>
                <c:pt idx="1231">
                  <c:v>23259000</c:v>
                </c:pt>
                <c:pt idx="1232">
                  <c:v>28292000</c:v>
                </c:pt>
                <c:pt idx="1233">
                  <c:v>25614000</c:v>
                </c:pt>
                <c:pt idx="1234">
                  <c:v>19564000</c:v>
                </c:pt>
                <c:pt idx="1235">
                  <c:v>29211000</c:v>
                </c:pt>
                <c:pt idx="1236">
                  <c:v>24434000</c:v>
                </c:pt>
                <c:pt idx="1237">
                  <c:v>23010000</c:v>
                </c:pt>
                <c:pt idx="1238">
                  <c:v>26672000</c:v>
                </c:pt>
                <c:pt idx="1239">
                  <c:v>33278000</c:v>
                </c:pt>
                <c:pt idx="1240">
                  <c:v>40340000</c:v>
                </c:pt>
                <c:pt idx="1241">
                  <c:v>20084000</c:v>
                </c:pt>
                <c:pt idx="1242">
                  <c:v>18639000</c:v>
                </c:pt>
                <c:pt idx="1243">
                  <c:v>26507000</c:v>
                </c:pt>
                <c:pt idx="1244">
                  <c:v>29496000</c:v>
                </c:pt>
                <c:pt idx="1245">
                  <c:v>37240000</c:v>
                </c:pt>
                <c:pt idx="1246">
                  <c:v>33480000</c:v>
                </c:pt>
                <c:pt idx="1247">
                  <c:v>16900000</c:v>
                </c:pt>
                <c:pt idx="1248">
                  <c:v>34083000</c:v>
                </c:pt>
                <c:pt idx="1249">
                  <c:v>40454000</c:v>
                </c:pt>
                <c:pt idx="1250">
                  <c:v>36620000</c:v>
                </c:pt>
                <c:pt idx="1251">
                  <c:v>33766000</c:v>
                </c:pt>
                <c:pt idx="1252">
                  <c:v>38879000</c:v>
                </c:pt>
                <c:pt idx="1253">
                  <c:v>36521000</c:v>
                </c:pt>
                <c:pt idx="1254">
                  <c:v>30157000</c:v>
                </c:pt>
                <c:pt idx="1255">
                  <c:v>33815000</c:v>
                </c:pt>
                <c:pt idx="1256">
                  <c:v>17790000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4-4B43-B4C3-81DFE3499CB8}"/>
            </c:ext>
          </c:extLst>
        </c:ser>
        <c:ser>
          <c:idx val="1"/>
          <c:order val="1"/>
          <c:tx>
            <c:strRef>
              <c:f>'Loblaws Share Price'!$D$2:$D$3</c:f>
              <c:strCache>
                <c:ptCount val="2"/>
                <c:pt idx="0">
                  <c:v>Share Price - 5Y</c:v>
                </c:pt>
                <c:pt idx="1">
                  <c:v>VOLUME</c:v>
                </c:pt>
              </c:strCache>
            </c:strRef>
          </c:tx>
          <c:spPr>
            <a:ln w="2222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'Loblaws Share Price'!$B$4:$B$1260</c:f>
              <c:numCache>
                <c:formatCode>m/d/yyyy</c:formatCode>
                <c:ptCount val="1257"/>
                <c:pt idx="0">
                  <c:v>43790</c:v>
                </c:pt>
                <c:pt idx="1">
                  <c:v>43791</c:v>
                </c:pt>
                <c:pt idx="2">
                  <c:v>43794</c:v>
                </c:pt>
                <c:pt idx="3">
                  <c:v>43795</c:v>
                </c:pt>
                <c:pt idx="4">
                  <c:v>43796</c:v>
                </c:pt>
                <c:pt idx="5">
                  <c:v>43797</c:v>
                </c:pt>
                <c:pt idx="6">
                  <c:v>43798</c:v>
                </c:pt>
                <c:pt idx="7">
                  <c:v>43801</c:v>
                </c:pt>
                <c:pt idx="8">
                  <c:v>43802</c:v>
                </c:pt>
                <c:pt idx="9">
                  <c:v>43803</c:v>
                </c:pt>
                <c:pt idx="10">
                  <c:v>43804</c:v>
                </c:pt>
                <c:pt idx="11">
                  <c:v>43805</c:v>
                </c:pt>
                <c:pt idx="12">
                  <c:v>43808</c:v>
                </c:pt>
                <c:pt idx="13">
                  <c:v>43809</c:v>
                </c:pt>
                <c:pt idx="14">
                  <c:v>43810</c:v>
                </c:pt>
                <c:pt idx="15">
                  <c:v>43811</c:v>
                </c:pt>
                <c:pt idx="16">
                  <c:v>43812</c:v>
                </c:pt>
                <c:pt idx="17">
                  <c:v>43815</c:v>
                </c:pt>
                <c:pt idx="18">
                  <c:v>43816</c:v>
                </c:pt>
                <c:pt idx="19">
                  <c:v>43817</c:v>
                </c:pt>
                <c:pt idx="20">
                  <c:v>43818</c:v>
                </c:pt>
                <c:pt idx="21">
                  <c:v>43819</c:v>
                </c:pt>
                <c:pt idx="22">
                  <c:v>43822</c:v>
                </c:pt>
                <c:pt idx="23">
                  <c:v>43823</c:v>
                </c:pt>
                <c:pt idx="24">
                  <c:v>43826</c:v>
                </c:pt>
                <c:pt idx="25">
                  <c:v>43829</c:v>
                </c:pt>
                <c:pt idx="26">
                  <c:v>43830</c:v>
                </c:pt>
                <c:pt idx="27">
                  <c:v>43832</c:v>
                </c:pt>
                <c:pt idx="28">
                  <c:v>43833</c:v>
                </c:pt>
                <c:pt idx="29">
                  <c:v>43836</c:v>
                </c:pt>
                <c:pt idx="30">
                  <c:v>43837</c:v>
                </c:pt>
                <c:pt idx="31">
                  <c:v>43838</c:v>
                </c:pt>
                <c:pt idx="32">
                  <c:v>43839</c:v>
                </c:pt>
                <c:pt idx="33">
                  <c:v>43840</c:v>
                </c:pt>
                <c:pt idx="34">
                  <c:v>43843</c:v>
                </c:pt>
                <c:pt idx="35">
                  <c:v>43844</c:v>
                </c:pt>
                <c:pt idx="36">
                  <c:v>43845</c:v>
                </c:pt>
                <c:pt idx="37">
                  <c:v>43846</c:v>
                </c:pt>
                <c:pt idx="38">
                  <c:v>43847</c:v>
                </c:pt>
                <c:pt idx="39">
                  <c:v>43850</c:v>
                </c:pt>
                <c:pt idx="40">
                  <c:v>43851</c:v>
                </c:pt>
                <c:pt idx="41">
                  <c:v>43852</c:v>
                </c:pt>
                <c:pt idx="42">
                  <c:v>43853</c:v>
                </c:pt>
                <c:pt idx="43">
                  <c:v>43854</c:v>
                </c:pt>
                <c:pt idx="44">
                  <c:v>43857</c:v>
                </c:pt>
                <c:pt idx="45">
                  <c:v>43858</c:v>
                </c:pt>
                <c:pt idx="46">
                  <c:v>43859</c:v>
                </c:pt>
                <c:pt idx="47">
                  <c:v>43860</c:v>
                </c:pt>
                <c:pt idx="48">
                  <c:v>43861</c:v>
                </c:pt>
                <c:pt idx="49">
                  <c:v>43864</c:v>
                </c:pt>
                <c:pt idx="50">
                  <c:v>43865</c:v>
                </c:pt>
                <c:pt idx="51">
                  <c:v>43866</c:v>
                </c:pt>
                <c:pt idx="52">
                  <c:v>43867</c:v>
                </c:pt>
                <c:pt idx="53">
                  <c:v>43868</c:v>
                </c:pt>
                <c:pt idx="54">
                  <c:v>43871</c:v>
                </c:pt>
                <c:pt idx="55">
                  <c:v>43872</c:v>
                </c:pt>
                <c:pt idx="56">
                  <c:v>43873</c:v>
                </c:pt>
                <c:pt idx="57">
                  <c:v>43874</c:v>
                </c:pt>
                <c:pt idx="58">
                  <c:v>43875</c:v>
                </c:pt>
                <c:pt idx="59">
                  <c:v>43879</c:v>
                </c:pt>
                <c:pt idx="60">
                  <c:v>43880</c:v>
                </c:pt>
                <c:pt idx="61">
                  <c:v>43881</c:v>
                </c:pt>
                <c:pt idx="62">
                  <c:v>43882</c:v>
                </c:pt>
                <c:pt idx="63">
                  <c:v>43885</c:v>
                </c:pt>
                <c:pt idx="64">
                  <c:v>43886</c:v>
                </c:pt>
                <c:pt idx="65">
                  <c:v>43887</c:v>
                </c:pt>
                <c:pt idx="66">
                  <c:v>43888</c:v>
                </c:pt>
                <c:pt idx="67">
                  <c:v>43889</c:v>
                </c:pt>
                <c:pt idx="68">
                  <c:v>43892</c:v>
                </c:pt>
                <c:pt idx="69">
                  <c:v>43893</c:v>
                </c:pt>
                <c:pt idx="70">
                  <c:v>43894</c:v>
                </c:pt>
                <c:pt idx="71">
                  <c:v>43895</c:v>
                </c:pt>
                <c:pt idx="72">
                  <c:v>43896</c:v>
                </c:pt>
                <c:pt idx="73">
                  <c:v>43899</c:v>
                </c:pt>
                <c:pt idx="74">
                  <c:v>43900</c:v>
                </c:pt>
                <c:pt idx="75">
                  <c:v>43901</c:v>
                </c:pt>
                <c:pt idx="76">
                  <c:v>43902</c:v>
                </c:pt>
                <c:pt idx="77">
                  <c:v>43903</c:v>
                </c:pt>
                <c:pt idx="78">
                  <c:v>43906</c:v>
                </c:pt>
                <c:pt idx="79">
                  <c:v>43907</c:v>
                </c:pt>
                <c:pt idx="80">
                  <c:v>43908</c:v>
                </c:pt>
                <c:pt idx="81">
                  <c:v>43909</c:v>
                </c:pt>
                <c:pt idx="82">
                  <c:v>43910</c:v>
                </c:pt>
                <c:pt idx="83">
                  <c:v>43913</c:v>
                </c:pt>
                <c:pt idx="84">
                  <c:v>43914</c:v>
                </c:pt>
                <c:pt idx="85">
                  <c:v>43915</c:v>
                </c:pt>
                <c:pt idx="86">
                  <c:v>43916</c:v>
                </c:pt>
                <c:pt idx="87">
                  <c:v>43917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43927</c:v>
                </c:pt>
                <c:pt idx="94">
                  <c:v>43928</c:v>
                </c:pt>
                <c:pt idx="95">
                  <c:v>43929</c:v>
                </c:pt>
                <c:pt idx="96">
                  <c:v>43930</c:v>
                </c:pt>
                <c:pt idx="97">
                  <c:v>43934</c:v>
                </c:pt>
                <c:pt idx="98">
                  <c:v>43935</c:v>
                </c:pt>
                <c:pt idx="99">
                  <c:v>43936</c:v>
                </c:pt>
                <c:pt idx="100">
                  <c:v>43937</c:v>
                </c:pt>
                <c:pt idx="101">
                  <c:v>43938</c:v>
                </c:pt>
                <c:pt idx="102">
                  <c:v>43941</c:v>
                </c:pt>
                <c:pt idx="103">
                  <c:v>43942</c:v>
                </c:pt>
                <c:pt idx="104">
                  <c:v>43943</c:v>
                </c:pt>
                <c:pt idx="105">
                  <c:v>43944</c:v>
                </c:pt>
                <c:pt idx="106">
                  <c:v>43945</c:v>
                </c:pt>
                <c:pt idx="107">
                  <c:v>43948</c:v>
                </c:pt>
                <c:pt idx="108">
                  <c:v>43949</c:v>
                </c:pt>
                <c:pt idx="109">
                  <c:v>43950</c:v>
                </c:pt>
                <c:pt idx="110">
                  <c:v>43951</c:v>
                </c:pt>
                <c:pt idx="111">
                  <c:v>43952</c:v>
                </c:pt>
                <c:pt idx="112">
                  <c:v>43955</c:v>
                </c:pt>
                <c:pt idx="113">
                  <c:v>43956</c:v>
                </c:pt>
                <c:pt idx="114">
                  <c:v>43957</c:v>
                </c:pt>
                <c:pt idx="115">
                  <c:v>43958</c:v>
                </c:pt>
                <c:pt idx="116">
                  <c:v>43959</c:v>
                </c:pt>
                <c:pt idx="117">
                  <c:v>43962</c:v>
                </c:pt>
                <c:pt idx="118">
                  <c:v>43963</c:v>
                </c:pt>
                <c:pt idx="119">
                  <c:v>43964</c:v>
                </c:pt>
                <c:pt idx="120">
                  <c:v>43965</c:v>
                </c:pt>
                <c:pt idx="121">
                  <c:v>43966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43976</c:v>
                </c:pt>
                <c:pt idx="127">
                  <c:v>43977</c:v>
                </c:pt>
                <c:pt idx="128">
                  <c:v>43978</c:v>
                </c:pt>
                <c:pt idx="129">
                  <c:v>43979</c:v>
                </c:pt>
                <c:pt idx="130">
                  <c:v>43980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43990</c:v>
                </c:pt>
                <c:pt idx="137">
                  <c:v>43991</c:v>
                </c:pt>
                <c:pt idx="138">
                  <c:v>43992</c:v>
                </c:pt>
                <c:pt idx="139">
                  <c:v>43993</c:v>
                </c:pt>
                <c:pt idx="140">
                  <c:v>43994</c:v>
                </c:pt>
                <c:pt idx="141">
                  <c:v>43997</c:v>
                </c:pt>
                <c:pt idx="142">
                  <c:v>43998</c:v>
                </c:pt>
                <c:pt idx="143">
                  <c:v>43999</c:v>
                </c:pt>
                <c:pt idx="144">
                  <c:v>44000</c:v>
                </c:pt>
                <c:pt idx="145">
                  <c:v>44001</c:v>
                </c:pt>
                <c:pt idx="146">
                  <c:v>44004</c:v>
                </c:pt>
                <c:pt idx="147">
                  <c:v>44005</c:v>
                </c:pt>
                <c:pt idx="148">
                  <c:v>44006</c:v>
                </c:pt>
                <c:pt idx="149">
                  <c:v>44007</c:v>
                </c:pt>
                <c:pt idx="150">
                  <c:v>44008</c:v>
                </c:pt>
                <c:pt idx="151">
                  <c:v>44011</c:v>
                </c:pt>
                <c:pt idx="152">
                  <c:v>44012</c:v>
                </c:pt>
                <c:pt idx="153">
                  <c:v>44014</c:v>
                </c:pt>
                <c:pt idx="154">
                  <c:v>44015</c:v>
                </c:pt>
                <c:pt idx="155">
                  <c:v>44018</c:v>
                </c:pt>
                <c:pt idx="156">
                  <c:v>44019</c:v>
                </c:pt>
                <c:pt idx="157">
                  <c:v>44020</c:v>
                </c:pt>
                <c:pt idx="158">
                  <c:v>44021</c:v>
                </c:pt>
                <c:pt idx="159">
                  <c:v>44022</c:v>
                </c:pt>
                <c:pt idx="160">
                  <c:v>44025</c:v>
                </c:pt>
                <c:pt idx="161">
                  <c:v>44026</c:v>
                </c:pt>
                <c:pt idx="162">
                  <c:v>44027</c:v>
                </c:pt>
                <c:pt idx="163">
                  <c:v>44028</c:v>
                </c:pt>
                <c:pt idx="164">
                  <c:v>44029</c:v>
                </c:pt>
                <c:pt idx="165">
                  <c:v>44032</c:v>
                </c:pt>
                <c:pt idx="166">
                  <c:v>44033</c:v>
                </c:pt>
                <c:pt idx="167">
                  <c:v>44034</c:v>
                </c:pt>
                <c:pt idx="168">
                  <c:v>44035</c:v>
                </c:pt>
                <c:pt idx="169">
                  <c:v>44036</c:v>
                </c:pt>
                <c:pt idx="170">
                  <c:v>44039</c:v>
                </c:pt>
                <c:pt idx="171">
                  <c:v>44040</c:v>
                </c:pt>
                <c:pt idx="172">
                  <c:v>44041</c:v>
                </c:pt>
                <c:pt idx="173">
                  <c:v>44042</c:v>
                </c:pt>
                <c:pt idx="174">
                  <c:v>44043</c:v>
                </c:pt>
                <c:pt idx="175">
                  <c:v>44047</c:v>
                </c:pt>
                <c:pt idx="176">
                  <c:v>44048</c:v>
                </c:pt>
                <c:pt idx="177">
                  <c:v>44049</c:v>
                </c:pt>
                <c:pt idx="178">
                  <c:v>44050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44067</c:v>
                </c:pt>
                <c:pt idx="190">
                  <c:v>44068</c:v>
                </c:pt>
                <c:pt idx="191">
                  <c:v>44069</c:v>
                </c:pt>
                <c:pt idx="192">
                  <c:v>44070</c:v>
                </c:pt>
                <c:pt idx="193">
                  <c:v>44071</c:v>
                </c:pt>
                <c:pt idx="194">
                  <c:v>44074</c:v>
                </c:pt>
                <c:pt idx="195">
                  <c:v>44075</c:v>
                </c:pt>
                <c:pt idx="196">
                  <c:v>44076</c:v>
                </c:pt>
                <c:pt idx="197">
                  <c:v>44077</c:v>
                </c:pt>
                <c:pt idx="198">
                  <c:v>44078</c:v>
                </c:pt>
                <c:pt idx="199">
                  <c:v>44082</c:v>
                </c:pt>
                <c:pt idx="200">
                  <c:v>44083</c:v>
                </c:pt>
                <c:pt idx="201">
                  <c:v>44084</c:v>
                </c:pt>
                <c:pt idx="202">
                  <c:v>44085</c:v>
                </c:pt>
                <c:pt idx="203">
                  <c:v>44088</c:v>
                </c:pt>
                <c:pt idx="204">
                  <c:v>44089</c:v>
                </c:pt>
                <c:pt idx="205">
                  <c:v>44090</c:v>
                </c:pt>
                <c:pt idx="206">
                  <c:v>44091</c:v>
                </c:pt>
                <c:pt idx="207">
                  <c:v>44092</c:v>
                </c:pt>
                <c:pt idx="208">
                  <c:v>44095</c:v>
                </c:pt>
                <c:pt idx="209">
                  <c:v>44096</c:v>
                </c:pt>
                <c:pt idx="210">
                  <c:v>44097</c:v>
                </c:pt>
                <c:pt idx="211">
                  <c:v>44098</c:v>
                </c:pt>
                <c:pt idx="212">
                  <c:v>44099</c:v>
                </c:pt>
                <c:pt idx="213">
                  <c:v>44102</c:v>
                </c:pt>
                <c:pt idx="214">
                  <c:v>44103</c:v>
                </c:pt>
                <c:pt idx="215">
                  <c:v>44104</c:v>
                </c:pt>
                <c:pt idx="216">
                  <c:v>44105</c:v>
                </c:pt>
                <c:pt idx="217">
                  <c:v>44106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  <c:pt idx="221">
                  <c:v>44112</c:v>
                </c:pt>
                <c:pt idx="222">
                  <c:v>44113</c:v>
                </c:pt>
                <c:pt idx="223">
                  <c:v>44117</c:v>
                </c:pt>
                <c:pt idx="224">
                  <c:v>44118</c:v>
                </c:pt>
                <c:pt idx="225">
                  <c:v>44119</c:v>
                </c:pt>
                <c:pt idx="226">
                  <c:v>44120</c:v>
                </c:pt>
                <c:pt idx="227">
                  <c:v>44123</c:v>
                </c:pt>
                <c:pt idx="228">
                  <c:v>44124</c:v>
                </c:pt>
                <c:pt idx="229">
                  <c:v>44125</c:v>
                </c:pt>
                <c:pt idx="230">
                  <c:v>44126</c:v>
                </c:pt>
                <c:pt idx="231">
                  <c:v>44127</c:v>
                </c:pt>
                <c:pt idx="232">
                  <c:v>44130</c:v>
                </c:pt>
                <c:pt idx="233">
                  <c:v>44131</c:v>
                </c:pt>
                <c:pt idx="234">
                  <c:v>44132</c:v>
                </c:pt>
                <c:pt idx="235">
                  <c:v>44133</c:v>
                </c:pt>
                <c:pt idx="236">
                  <c:v>44134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44151</c:v>
                </c:pt>
                <c:pt idx="248">
                  <c:v>44152</c:v>
                </c:pt>
                <c:pt idx="249">
                  <c:v>44153</c:v>
                </c:pt>
                <c:pt idx="250">
                  <c:v>44154</c:v>
                </c:pt>
                <c:pt idx="251">
                  <c:v>44155</c:v>
                </c:pt>
                <c:pt idx="252">
                  <c:v>44158</c:v>
                </c:pt>
                <c:pt idx="253">
                  <c:v>44159</c:v>
                </c:pt>
                <c:pt idx="254">
                  <c:v>44160</c:v>
                </c:pt>
                <c:pt idx="255">
                  <c:v>44161</c:v>
                </c:pt>
                <c:pt idx="256">
                  <c:v>44162</c:v>
                </c:pt>
                <c:pt idx="257">
                  <c:v>44165</c:v>
                </c:pt>
                <c:pt idx="258">
                  <c:v>44166</c:v>
                </c:pt>
                <c:pt idx="259">
                  <c:v>44167</c:v>
                </c:pt>
                <c:pt idx="260">
                  <c:v>44168</c:v>
                </c:pt>
                <c:pt idx="261">
                  <c:v>44169</c:v>
                </c:pt>
                <c:pt idx="262">
                  <c:v>44172</c:v>
                </c:pt>
                <c:pt idx="263">
                  <c:v>44173</c:v>
                </c:pt>
                <c:pt idx="264">
                  <c:v>44174</c:v>
                </c:pt>
                <c:pt idx="265">
                  <c:v>44175</c:v>
                </c:pt>
                <c:pt idx="266">
                  <c:v>44176</c:v>
                </c:pt>
                <c:pt idx="267">
                  <c:v>44179</c:v>
                </c:pt>
                <c:pt idx="268">
                  <c:v>44180</c:v>
                </c:pt>
                <c:pt idx="269">
                  <c:v>44181</c:v>
                </c:pt>
                <c:pt idx="270">
                  <c:v>44182</c:v>
                </c:pt>
                <c:pt idx="271">
                  <c:v>44183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44194</c:v>
                </c:pt>
                <c:pt idx="277">
                  <c:v>44195</c:v>
                </c:pt>
                <c:pt idx="278">
                  <c:v>44196</c:v>
                </c:pt>
                <c:pt idx="279">
                  <c:v>44200</c:v>
                </c:pt>
                <c:pt idx="280">
                  <c:v>44201</c:v>
                </c:pt>
                <c:pt idx="281">
                  <c:v>44202</c:v>
                </c:pt>
                <c:pt idx="282">
                  <c:v>44203</c:v>
                </c:pt>
                <c:pt idx="283">
                  <c:v>44204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44214</c:v>
                </c:pt>
                <c:pt idx="290">
                  <c:v>44215</c:v>
                </c:pt>
                <c:pt idx="291">
                  <c:v>44216</c:v>
                </c:pt>
                <c:pt idx="292">
                  <c:v>44217</c:v>
                </c:pt>
                <c:pt idx="293">
                  <c:v>44218</c:v>
                </c:pt>
                <c:pt idx="294">
                  <c:v>44221</c:v>
                </c:pt>
                <c:pt idx="295">
                  <c:v>44222</c:v>
                </c:pt>
                <c:pt idx="296">
                  <c:v>44223</c:v>
                </c:pt>
                <c:pt idx="297">
                  <c:v>44224</c:v>
                </c:pt>
                <c:pt idx="298">
                  <c:v>44225</c:v>
                </c:pt>
                <c:pt idx="299">
                  <c:v>44228</c:v>
                </c:pt>
                <c:pt idx="300">
                  <c:v>44229</c:v>
                </c:pt>
                <c:pt idx="301">
                  <c:v>44230</c:v>
                </c:pt>
                <c:pt idx="302">
                  <c:v>44231</c:v>
                </c:pt>
                <c:pt idx="303">
                  <c:v>44232</c:v>
                </c:pt>
                <c:pt idx="304">
                  <c:v>44235</c:v>
                </c:pt>
                <c:pt idx="305">
                  <c:v>44236</c:v>
                </c:pt>
                <c:pt idx="306">
                  <c:v>44237</c:v>
                </c:pt>
                <c:pt idx="307">
                  <c:v>44238</c:v>
                </c:pt>
                <c:pt idx="308">
                  <c:v>44239</c:v>
                </c:pt>
                <c:pt idx="309">
                  <c:v>44243</c:v>
                </c:pt>
                <c:pt idx="310">
                  <c:v>44244</c:v>
                </c:pt>
                <c:pt idx="311">
                  <c:v>44245</c:v>
                </c:pt>
                <c:pt idx="312">
                  <c:v>44246</c:v>
                </c:pt>
                <c:pt idx="313">
                  <c:v>44249</c:v>
                </c:pt>
                <c:pt idx="314">
                  <c:v>44250</c:v>
                </c:pt>
                <c:pt idx="315">
                  <c:v>44251</c:v>
                </c:pt>
                <c:pt idx="316">
                  <c:v>44252</c:v>
                </c:pt>
                <c:pt idx="317">
                  <c:v>44253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44263</c:v>
                </c:pt>
                <c:pt idx="324">
                  <c:v>44264</c:v>
                </c:pt>
                <c:pt idx="325">
                  <c:v>44265</c:v>
                </c:pt>
                <c:pt idx="326">
                  <c:v>44266</c:v>
                </c:pt>
                <c:pt idx="327">
                  <c:v>44267</c:v>
                </c:pt>
                <c:pt idx="328">
                  <c:v>44270</c:v>
                </c:pt>
                <c:pt idx="329">
                  <c:v>44271</c:v>
                </c:pt>
                <c:pt idx="330">
                  <c:v>44272</c:v>
                </c:pt>
                <c:pt idx="331">
                  <c:v>44273</c:v>
                </c:pt>
                <c:pt idx="332">
                  <c:v>44274</c:v>
                </c:pt>
                <c:pt idx="333">
                  <c:v>44277</c:v>
                </c:pt>
                <c:pt idx="334">
                  <c:v>44278</c:v>
                </c:pt>
                <c:pt idx="335">
                  <c:v>44279</c:v>
                </c:pt>
                <c:pt idx="336">
                  <c:v>44280</c:v>
                </c:pt>
                <c:pt idx="337">
                  <c:v>44281</c:v>
                </c:pt>
                <c:pt idx="338">
                  <c:v>44284</c:v>
                </c:pt>
                <c:pt idx="339">
                  <c:v>44285</c:v>
                </c:pt>
                <c:pt idx="340">
                  <c:v>44286</c:v>
                </c:pt>
                <c:pt idx="341">
                  <c:v>44287</c:v>
                </c:pt>
                <c:pt idx="342">
                  <c:v>44291</c:v>
                </c:pt>
                <c:pt idx="343">
                  <c:v>44292</c:v>
                </c:pt>
                <c:pt idx="344">
                  <c:v>44293</c:v>
                </c:pt>
                <c:pt idx="345">
                  <c:v>44294</c:v>
                </c:pt>
                <c:pt idx="346">
                  <c:v>44295</c:v>
                </c:pt>
                <c:pt idx="347">
                  <c:v>44298</c:v>
                </c:pt>
                <c:pt idx="348">
                  <c:v>44299</c:v>
                </c:pt>
                <c:pt idx="349">
                  <c:v>44300</c:v>
                </c:pt>
                <c:pt idx="350">
                  <c:v>44301</c:v>
                </c:pt>
                <c:pt idx="351">
                  <c:v>44302</c:v>
                </c:pt>
                <c:pt idx="352">
                  <c:v>44305</c:v>
                </c:pt>
                <c:pt idx="353">
                  <c:v>44306</c:v>
                </c:pt>
                <c:pt idx="354">
                  <c:v>44307</c:v>
                </c:pt>
                <c:pt idx="355">
                  <c:v>44308</c:v>
                </c:pt>
                <c:pt idx="356">
                  <c:v>44309</c:v>
                </c:pt>
                <c:pt idx="357">
                  <c:v>44312</c:v>
                </c:pt>
                <c:pt idx="358">
                  <c:v>44313</c:v>
                </c:pt>
                <c:pt idx="359">
                  <c:v>44314</c:v>
                </c:pt>
                <c:pt idx="360">
                  <c:v>44315</c:v>
                </c:pt>
                <c:pt idx="361">
                  <c:v>44316</c:v>
                </c:pt>
                <c:pt idx="362">
                  <c:v>44319</c:v>
                </c:pt>
                <c:pt idx="363">
                  <c:v>44320</c:v>
                </c:pt>
                <c:pt idx="364">
                  <c:v>44321</c:v>
                </c:pt>
                <c:pt idx="365">
                  <c:v>44322</c:v>
                </c:pt>
                <c:pt idx="366">
                  <c:v>44323</c:v>
                </c:pt>
                <c:pt idx="367">
                  <c:v>44326</c:v>
                </c:pt>
                <c:pt idx="368">
                  <c:v>44327</c:v>
                </c:pt>
                <c:pt idx="369">
                  <c:v>44328</c:v>
                </c:pt>
                <c:pt idx="370">
                  <c:v>44329</c:v>
                </c:pt>
                <c:pt idx="371">
                  <c:v>44330</c:v>
                </c:pt>
                <c:pt idx="372">
                  <c:v>44333</c:v>
                </c:pt>
                <c:pt idx="373">
                  <c:v>44334</c:v>
                </c:pt>
                <c:pt idx="374">
                  <c:v>44335</c:v>
                </c:pt>
                <c:pt idx="375">
                  <c:v>44336</c:v>
                </c:pt>
                <c:pt idx="376">
                  <c:v>44337</c:v>
                </c:pt>
                <c:pt idx="377">
                  <c:v>44341</c:v>
                </c:pt>
                <c:pt idx="378">
                  <c:v>44342</c:v>
                </c:pt>
                <c:pt idx="379">
                  <c:v>44343</c:v>
                </c:pt>
                <c:pt idx="380">
                  <c:v>44344</c:v>
                </c:pt>
                <c:pt idx="381">
                  <c:v>44347</c:v>
                </c:pt>
                <c:pt idx="382">
                  <c:v>44348</c:v>
                </c:pt>
                <c:pt idx="383">
                  <c:v>44349</c:v>
                </c:pt>
                <c:pt idx="384">
                  <c:v>44350</c:v>
                </c:pt>
                <c:pt idx="385">
                  <c:v>44351</c:v>
                </c:pt>
                <c:pt idx="386">
                  <c:v>44354</c:v>
                </c:pt>
                <c:pt idx="387">
                  <c:v>44355</c:v>
                </c:pt>
                <c:pt idx="388">
                  <c:v>44356</c:v>
                </c:pt>
                <c:pt idx="389">
                  <c:v>44357</c:v>
                </c:pt>
                <c:pt idx="390">
                  <c:v>44358</c:v>
                </c:pt>
                <c:pt idx="391">
                  <c:v>44361</c:v>
                </c:pt>
                <c:pt idx="392">
                  <c:v>44362</c:v>
                </c:pt>
                <c:pt idx="393">
                  <c:v>44363</c:v>
                </c:pt>
                <c:pt idx="394">
                  <c:v>44364</c:v>
                </c:pt>
                <c:pt idx="395">
                  <c:v>44365</c:v>
                </c:pt>
                <c:pt idx="396">
                  <c:v>44368</c:v>
                </c:pt>
                <c:pt idx="397">
                  <c:v>44369</c:v>
                </c:pt>
                <c:pt idx="398">
                  <c:v>44370</c:v>
                </c:pt>
                <c:pt idx="399">
                  <c:v>44371</c:v>
                </c:pt>
                <c:pt idx="400">
                  <c:v>44372</c:v>
                </c:pt>
                <c:pt idx="401">
                  <c:v>44375</c:v>
                </c:pt>
                <c:pt idx="402">
                  <c:v>44376</c:v>
                </c:pt>
                <c:pt idx="403">
                  <c:v>44377</c:v>
                </c:pt>
                <c:pt idx="404">
                  <c:v>44379</c:v>
                </c:pt>
                <c:pt idx="405">
                  <c:v>44382</c:v>
                </c:pt>
                <c:pt idx="406">
                  <c:v>44383</c:v>
                </c:pt>
                <c:pt idx="407">
                  <c:v>44384</c:v>
                </c:pt>
                <c:pt idx="408">
                  <c:v>44385</c:v>
                </c:pt>
                <c:pt idx="409">
                  <c:v>44386</c:v>
                </c:pt>
                <c:pt idx="410">
                  <c:v>44389</c:v>
                </c:pt>
                <c:pt idx="411">
                  <c:v>44390</c:v>
                </c:pt>
                <c:pt idx="412">
                  <c:v>44391</c:v>
                </c:pt>
                <c:pt idx="413">
                  <c:v>44392</c:v>
                </c:pt>
                <c:pt idx="414">
                  <c:v>44393</c:v>
                </c:pt>
                <c:pt idx="415">
                  <c:v>44396</c:v>
                </c:pt>
                <c:pt idx="416">
                  <c:v>44397</c:v>
                </c:pt>
                <c:pt idx="417">
                  <c:v>44398</c:v>
                </c:pt>
                <c:pt idx="418">
                  <c:v>44399</c:v>
                </c:pt>
                <c:pt idx="419">
                  <c:v>44400</c:v>
                </c:pt>
                <c:pt idx="420">
                  <c:v>44403</c:v>
                </c:pt>
                <c:pt idx="421">
                  <c:v>44404</c:v>
                </c:pt>
                <c:pt idx="422">
                  <c:v>44405</c:v>
                </c:pt>
                <c:pt idx="423">
                  <c:v>44406</c:v>
                </c:pt>
                <c:pt idx="424">
                  <c:v>44407</c:v>
                </c:pt>
                <c:pt idx="425">
                  <c:v>44411</c:v>
                </c:pt>
                <c:pt idx="426">
                  <c:v>44412</c:v>
                </c:pt>
                <c:pt idx="427">
                  <c:v>44413</c:v>
                </c:pt>
                <c:pt idx="428">
                  <c:v>44414</c:v>
                </c:pt>
                <c:pt idx="429">
                  <c:v>44417</c:v>
                </c:pt>
                <c:pt idx="430">
                  <c:v>44418</c:v>
                </c:pt>
                <c:pt idx="431">
                  <c:v>44419</c:v>
                </c:pt>
                <c:pt idx="432">
                  <c:v>44420</c:v>
                </c:pt>
                <c:pt idx="433">
                  <c:v>44421</c:v>
                </c:pt>
                <c:pt idx="434">
                  <c:v>44424</c:v>
                </c:pt>
                <c:pt idx="435">
                  <c:v>44425</c:v>
                </c:pt>
                <c:pt idx="436">
                  <c:v>44426</c:v>
                </c:pt>
                <c:pt idx="437">
                  <c:v>44427</c:v>
                </c:pt>
                <c:pt idx="438">
                  <c:v>44428</c:v>
                </c:pt>
                <c:pt idx="439">
                  <c:v>44431</c:v>
                </c:pt>
                <c:pt idx="440">
                  <c:v>44432</c:v>
                </c:pt>
                <c:pt idx="441">
                  <c:v>44433</c:v>
                </c:pt>
                <c:pt idx="442">
                  <c:v>44434</c:v>
                </c:pt>
                <c:pt idx="443">
                  <c:v>44435</c:v>
                </c:pt>
                <c:pt idx="444">
                  <c:v>44438</c:v>
                </c:pt>
                <c:pt idx="445">
                  <c:v>44439</c:v>
                </c:pt>
                <c:pt idx="446">
                  <c:v>44440</c:v>
                </c:pt>
                <c:pt idx="447">
                  <c:v>44441</c:v>
                </c:pt>
                <c:pt idx="448">
                  <c:v>44442</c:v>
                </c:pt>
                <c:pt idx="449">
                  <c:v>44446</c:v>
                </c:pt>
                <c:pt idx="450">
                  <c:v>44447</c:v>
                </c:pt>
                <c:pt idx="451">
                  <c:v>44448</c:v>
                </c:pt>
                <c:pt idx="452">
                  <c:v>44449</c:v>
                </c:pt>
                <c:pt idx="453">
                  <c:v>44452</c:v>
                </c:pt>
                <c:pt idx="454">
                  <c:v>44453</c:v>
                </c:pt>
                <c:pt idx="455">
                  <c:v>44454</c:v>
                </c:pt>
                <c:pt idx="456">
                  <c:v>44455</c:v>
                </c:pt>
                <c:pt idx="457">
                  <c:v>44456</c:v>
                </c:pt>
                <c:pt idx="458">
                  <c:v>44459</c:v>
                </c:pt>
                <c:pt idx="459">
                  <c:v>44460</c:v>
                </c:pt>
                <c:pt idx="460">
                  <c:v>44461</c:v>
                </c:pt>
                <c:pt idx="461">
                  <c:v>44462</c:v>
                </c:pt>
                <c:pt idx="462">
                  <c:v>44463</c:v>
                </c:pt>
                <c:pt idx="463">
                  <c:v>44466</c:v>
                </c:pt>
                <c:pt idx="464">
                  <c:v>44467</c:v>
                </c:pt>
                <c:pt idx="465">
                  <c:v>44468</c:v>
                </c:pt>
                <c:pt idx="466">
                  <c:v>44469</c:v>
                </c:pt>
                <c:pt idx="467">
                  <c:v>44470</c:v>
                </c:pt>
                <c:pt idx="468">
                  <c:v>44473</c:v>
                </c:pt>
                <c:pt idx="469">
                  <c:v>44474</c:v>
                </c:pt>
                <c:pt idx="470">
                  <c:v>44475</c:v>
                </c:pt>
                <c:pt idx="471">
                  <c:v>44476</c:v>
                </c:pt>
                <c:pt idx="472">
                  <c:v>44477</c:v>
                </c:pt>
                <c:pt idx="473">
                  <c:v>44481</c:v>
                </c:pt>
                <c:pt idx="474">
                  <c:v>44482</c:v>
                </c:pt>
                <c:pt idx="475">
                  <c:v>44483</c:v>
                </c:pt>
                <c:pt idx="476">
                  <c:v>44484</c:v>
                </c:pt>
                <c:pt idx="477">
                  <c:v>44487</c:v>
                </c:pt>
                <c:pt idx="478">
                  <c:v>44488</c:v>
                </c:pt>
                <c:pt idx="479">
                  <c:v>44489</c:v>
                </c:pt>
                <c:pt idx="480">
                  <c:v>44490</c:v>
                </c:pt>
                <c:pt idx="481">
                  <c:v>44491</c:v>
                </c:pt>
                <c:pt idx="482">
                  <c:v>44494</c:v>
                </c:pt>
                <c:pt idx="483">
                  <c:v>44495</c:v>
                </c:pt>
                <c:pt idx="484">
                  <c:v>44496</c:v>
                </c:pt>
                <c:pt idx="485">
                  <c:v>44497</c:v>
                </c:pt>
                <c:pt idx="486">
                  <c:v>44498</c:v>
                </c:pt>
                <c:pt idx="487">
                  <c:v>44501</c:v>
                </c:pt>
                <c:pt idx="488">
                  <c:v>44502</c:v>
                </c:pt>
                <c:pt idx="489">
                  <c:v>44503</c:v>
                </c:pt>
                <c:pt idx="490">
                  <c:v>44504</c:v>
                </c:pt>
                <c:pt idx="491">
                  <c:v>44505</c:v>
                </c:pt>
                <c:pt idx="492">
                  <c:v>44508</c:v>
                </c:pt>
                <c:pt idx="493">
                  <c:v>44509</c:v>
                </c:pt>
                <c:pt idx="494">
                  <c:v>44510</c:v>
                </c:pt>
                <c:pt idx="495">
                  <c:v>44511</c:v>
                </c:pt>
                <c:pt idx="496">
                  <c:v>44512</c:v>
                </c:pt>
                <c:pt idx="497">
                  <c:v>44515</c:v>
                </c:pt>
                <c:pt idx="498">
                  <c:v>44516</c:v>
                </c:pt>
                <c:pt idx="499">
                  <c:v>44517</c:v>
                </c:pt>
                <c:pt idx="500">
                  <c:v>44518</c:v>
                </c:pt>
                <c:pt idx="501">
                  <c:v>44519</c:v>
                </c:pt>
                <c:pt idx="502">
                  <c:v>44522</c:v>
                </c:pt>
                <c:pt idx="503">
                  <c:v>44523</c:v>
                </c:pt>
                <c:pt idx="504">
                  <c:v>44524</c:v>
                </c:pt>
                <c:pt idx="505">
                  <c:v>44525</c:v>
                </c:pt>
                <c:pt idx="506">
                  <c:v>44526</c:v>
                </c:pt>
                <c:pt idx="507">
                  <c:v>44529</c:v>
                </c:pt>
                <c:pt idx="508">
                  <c:v>44530</c:v>
                </c:pt>
                <c:pt idx="509">
                  <c:v>44531</c:v>
                </c:pt>
                <c:pt idx="510">
                  <c:v>44532</c:v>
                </c:pt>
                <c:pt idx="511">
                  <c:v>44533</c:v>
                </c:pt>
                <c:pt idx="512">
                  <c:v>44536</c:v>
                </c:pt>
                <c:pt idx="513">
                  <c:v>44537</c:v>
                </c:pt>
                <c:pt idx="514">
                  <c:v>44538</c:v>
                </c:pt>
                <c:pt idx="515">
                  <c:v>44539</c:v>
                </c:pt>
                <c:pt idx="516">
                  <c:v>44540</c:v>
                </c:pt>
                <c:pt idx="517">
                  <c:v>44543</c:v>
                </c:pt>
                <c:pt idx="518">
                  <c:v>44544</c:v>
                </c:pt>
                <c:pt idx="519">
                  <c:v>44545</c:v>
                </c:pt>
                <c:pt idx="520">
                  <c:v>44546</c:v>
                </c:pt>
                <c:pt idx="521">
                  <c:v>44547</c:v>
                </c:pt>
                <c:pt idx="522">
                  <c:v>44550</c:v>
                </c:pt>
                <c:pt idx="523">
                  <c:v>44551</c:v>
                </c:pt>
                <c:pt idx="524">
                  <c:v>44552</c:v>
                </c:pt>
                <c:pt idx="525">
                  <c:v>44553</c:v>
                </c:pt>
                <c:pt idx="526">
                  <c:v>44554</c:v>
                </c:pt>
                <c:pt idx="527">
                  <c:v>44559</c:v>
                </c:pt>
                <c:pt idx="528">
                  <c:v>44560</c:v>
                </c:pt>
                <c:pt idx="529">
                  <c:v>44561</c:v>
                </c:pt>
                <c:pt idx="530">
                  <c:v>44565</c:v>
                </c:pt>
                <c:pt idx="531">
                  <c:v>44566</c:v>
                </c:pt>
                <c:pt idx="532">
                  <c:v>44567</c:v>
                </c:pt>
                <c:pt idx="533">
                  <c:v>44568</c:v>
                </c:pt>
                <c:pt idx="534">
                  <c:v>44571</c:v>
                </c:pt>
                <c:pt idx="535">
                  <c:v>44572</c:v>
                </c:pt>
                <c:pt idx="536">
                  <c:v>44573</c:v>
                </c:pt>
                <c:pt idx="537">
                  <c:v>44574</c:v>
                </c:pt>
                <c:pt idx="538">
                  <c:v>44575</c:v>
                </c:pt>
                <c:pt idx="539">
                  <c:v>44578</c:v>
                </c:pt>
                <c:pt idx="540">
                  <c:v>44579</c:v>
                </c:pt>
                <c:pt idx="541">
                  <c:v>44580</c:v>
                </c:pt>
                <c:pt idx="542">
                  <c:v>44581</c:v>
                </c:pt>
                <c:pt idx="543">
                  <c:v>44582</c:v>
                </c:pt>
                <c:pt idx="544">
                  <c:v>44585</c:v>
                </c:pt>
                <c:pt idx="545">
                  <c:v>44586</c:v>
                </c:pt>
                <c:pt idx="546">
                  <c:v>44587</c:v>
                </c:pt>
                <c:pt idx="547">
                  <c:v>44588</c:v>
                </c:pt>
                <c:pt idx="548">
                  <c:v>44589</c:v>
                </c:pt>
                <c:pt idx="549">
                  <c:v>44592</c:v>
                </c:pt>
                <c:pt idx="550">
                  <c:v>44593</c:v>
                </c:pt>
                <c:pt idx="551">
                  <c:v>44594</c:v>
                </c:pt>
                <c:pt idx="552">
                  <c:v>44595</c:v>
                </c:pt>
                <c:pt idx="553">
                  <c:v>44596</c:v>
                </c:pt>
                <c:pt idx="554">
                  <c:v>44599</c:v>
                </c:pt>
                <c:pt idx="555">
                  <c:v>44600</c:v>
                </c:pt>
                <c:pt idx="556">
                  <c:v>44601</c:v>
                </c:pt>
                <c:pt idx="557">
                  <c:v>44602</c:v>
                </c:pt>
                <c:pt idx="558">
                  <c:v>44603</c:v>
                </c:pt>
                <c:pt idx="559">
                  <c:v>44606</c:v>
                </c:pt>
                <c:pt idx="560">
                  <c:v>44607</c:v>
                </c:pt>
                <c:pt idx="561">
                  <c:v>44608</c:v>
                </c:pt>
                <c:pt idx="562">
                  <c:v>44609</c:v>
                </c:pt>
                <c:pt idx="563">
                  <c:v>44610</c:v>
                </c:pt>
                <c:pt idx="564">
                  <c:v>44614</c:v>
                </c:pt>
                <c:pt idx="565">
                  <c:v>44615</c:v>
                </c:pt>
                <c:pt idx="566">
                  <c:v>44616</c:v>
                </c:pt>
                <c:pt idx="567">
                  <c:v>44617</c:v>
                </c:pt>
                <c:pt idx="568">
                  <c:v>44620</c:v>
                </c:pt>
                <c:pt idx="569">
                  <c:v>44621</c:v>
                </c:pt>
                <c:pt idx="570">
                  <c:v>44622</c:v>
                </c:pt>
                <c:pt idx="571">
                  <c:v>44623</c:v>
                </c:pt>
                <c:pt idx="572">
                  <c:v>44624</c:v>
                </c:pt>
                <c:pt idx="573">
                  <c:v>44627</c:v>
                </c:pt>
                <c:pt idx="574">
                  <c:v>44628</c:v>
                </c:pt>
                <c:pt idx="575">
                  <c:v>44629</c:v>
                </c:pt>
                <c:pt idx="576">
                  <c:v>44630</c:v>
                </c:pt>
                <c:pt idx="577">
                  <c:v>44631</c:v>
                </c:pt>
                <c:pt idx="578">
                  <c:v>44634</c:v>
                </c:pt>
                <c:pt idx="579">
                  <c:v>44635</c:v>
                </c:pt>
                <c:pt idx="580">
                  <c:v>44636</c:v>
                </c:pt>
                <c:pt idx="581">
                  <c:v>44637</c:v>
                </c:pt>
                <c:pt idx="582">
                  <c:v>44638</c:v>
                </c:pt>
                <c:pt idx="583">
                  <c:v>44641</c:v>
                </c:pt>
                <c:pt idx="584">
                  <c:v>44642</c:v>
                </c:pt>
                <c:pt idx="585">
                  <c:v>44643</c:v>
                </c:pt>
                <c:pt idx="586">
                  <c:v>44644</c:v>
                </c:pt>
                <c:pt idx="587">
                  <c:v>44645</c:v>
                </c:pt>
                <c:pt idx="588">
                  <c:v>44648</c:v>
                </c:pt>
                <c:pt idx="589">
                  <c:v>44649</c:v>
                </c:pt>
                <c:pt idx="590">
                  <c:v>44650</c:v>
                </c:pt>
                <c:pt idx="591">
                  <c:v>44651</c:v>
                </c:pt>
                <c:pt idx="592">
                  <c:v>44652</c:v>
                </c:pt>
                <c:pt idx="593">
                  <c:v>44655</c:v>
                </c:pt>
                <c:pt idx="594">
                  <c:v>44656</c:v>
                </c:pt>
                <c:pt idx="595">
                  <c:v>44657</c:v>
                </c:pt>
                <c:pt idx="596">
                  <c:v>44658</c:v>
                </c:pt>
                <c:pt idx="597">
                  <c:v>44659</c:v>
                </c:pt>
                <c:pt idx="598">
                  <c:v>44662</c:v>
                </c:pt>
                <c:pt idx="599">
                  <c:v>44663</c:v>
                </c:pt>
                <c:pt idx="600">
                  <c:v>44664</c:v>
                </c:pt>
                <c:pt idx="601">
                  <c:v>44665</c:v>
                </c:pt>
                <c:pt idx="602">
                  <c:v>44669</c:v>
                </c:pt>
                <c:pt idx="603">
                  <c:v>44670</c:v>
                </c:pt>
                <c:pt idx="604">
                  <c:v>44671</c:v>
                </c:pt>
                <c:pt idx="605">
                  <c:v>44672</c:v>
                </c:pt>
                <c:pt idx="606">
                  <c:v>44673</c:v>
                </c:pt>
                <c:pt idx="607">
                  <c:v>44676</c:v>
                </c:pt>
                <c:pt idx="608">
                  <c:v>44677</c:v>
                </c:pt>
                <c:pt idx="609">
                  <c:v>44678</c:v>
                </c:pt>
                <c:pt idx="610">
                  <c:v>44679</c:v>
                </c:pt>
                <c:pt idx="611">
                  <c:v>44680</c:v>
                </c:pt>
                <c:pt idx="612">
                  <c:v>44683</c:v>
                </c:pt>
                <c:pt idx="613">
                  <c:v>44684</c:v>
                </c:pt>
                <c:pt idx="614">
                  <c:v>44685</c:v>
                </c:pt>
                <c:pt idx="615">
                  <c:v>44686</c:v>
                </c:pt>
                <c:pt idx="616">
                  <c:v>44687</c:v>
                </c:pt>
                <c:pt idx="617">
                  <c:v>44690</c:v>
                </c:pt>
                <c:pt idx="618">
                  <c:v>44691</c:v>
                </c:pt>
                <c:pt idx="619">
                  <c:v>44692</c:v>
                </c:pt>
                <c:pt idx="620">
                  <c:v>44693</c:v>
                </c:pt>
                <c:pt idx="621">
                  <c:v>44694</c:v>
                </c:pt>
                <c:pt idx="622">
                  <c:v>44697</c:v>
                </c:pt>
                <c:pt idx="623">
                  <c:v>44698</c:v>
                </c:pt>
                <c:pt idx="624">
                  <c:v>44699</c:v>
                </c:pt>
                <c:pt idx="625">
                  <c:v>44700</c:v>
                </c:pt>
                <c:pt idx="626">
                  <c:v>44701</c:v>
                </c:pt>
                <c:pt idx="627">
                  <c:v>44705</c:v>
                </c:pt>
                <c:pt idx="628">
                  <c:v>44706</c:v>
                </c:pt>
                <c:pt idx="629">
                  <c:v>44707</c:v>
                </c:pt>
                <c:pt idx="630">
                  <c:v>44708</c:v>
                </c:pt>
                <c:pt idx="631">
                  <c:v>44711</c:v>
                </c:pt>
                <c:pt idx="632">
                  <c:v>44712</c:v>
                </c:pt>
                <c:pt idx="633">
                  <c:v>44713</c:v>
                </c:pt>
                <c:pt idx="634">
                  <c:v>44714</c:v>
                </c:pt>
                <c:pt idx="635">
                  <c:v>44715</c:v>
                </c:pt>
                <c:pt idx="636">
                  <c:v>44718</c:v>
                </c:pt>
                <c:pt idx="637">
                  <c:v>44719</c:v>
                </c:pt>
                <c:pt idx="638">
                  <c:v>44720</c:v>
                </c:pt>
                <c:pt idx="639">
                  <c:v>44721</c:v>
                </c:pt>
                <c:pt idx="640">
                  <c:v>44722</c:v>
                </c:pt>
                <c:pt idx="641">
                  <c:v>44725</c:v>
                </c:pt>
                <c:pt idx="642">
                  <c:v>44726</c:v>
                </c:pt>
                <c:pt idx="643">
                  <c:v>44727</c:v>
                </c:pt>
                <c:pt idx="644">
                  <c:v>44728</c:v>
                </c:pt>
                <c:pt idx="645">
                  <c:v>44729</c:v>
                </c:pt>
                <c:pt idx="646">
                  <c:v>44732</c:v>
                </c:pt>
                <c:pt idx="647">
                  <c:v>44733</c:v>
                </c:pt>
                <c:pt idx="648">
                  <c:v>44734</c:v>
                </c:pt>
                <c:pt idx="649">
                  <c:v>44735</c:v>
                </c:pt>
                <c:pt idx="650">
                  <c:v>44736</c:v>
                </c:pt>
                <c:pt idx="651">
                  <c:v>44739</c:v>
                </c:pt>
                <c:pt idx="652">
                  <c:v>44740</c:v>
                </c:pt>
                <c:pt idx="653">
                  <c:v>44741</c:v>
                </c:pt>
                <c:pt idx="654">
                  <c:v>44742</c:v>
                </c:pt>
                <c:pt idx="655">
                  <c:v>44746</c:v>
                </c:pt>
                <c:pt idx="656">
                  <c:v>44747</c:v>
                </c:pt>
                <c:pt idx="657">
                  <c:v>44748</c:v>
                </c:pt>
                <c:pt idx="658">
                  <c:v>44749</c:v>
                </c:pt>
                <c:pt idx="659">
                  <c:v>44750</c:v>
                </c:pt>
                <c:pt idx="660">
                  <c:v>44753</c:v>
                </c:pt>
                <c:pt idx="661">
                  <c:v>44754</c:v>
                </c:pt>
                <c:pt idx="662">
                  <c:v>44755</c:v>
                </c:pt>
                <c:pt idx="663">
                  <c:v>44756</c:v>
                </c:pt>
                <c:pt idx="664">
                  <c:v>44757</c:v>
                </c:pt>
                <c:pt idx="665">
                  <c:v>44760</c:v>
                </c:pt>
                <c:pt idx="666">
                  <c:v>44761</c:v>
                </c:pt>
                <c:pt idx="667">
                  <c:v>44762</c:v>
                </c:pt>
                <c:pt idx="668">
                  <c:v>44763</c:v>
                </c:pt>
                <c:pt idx="669">
                  <c:v>44764</c:v>
                </c:pt>
                <c:pt idx="670">
                  <c:v>44767</c:v>
                </c:pt>
                <c:pt idx="671">
                  <c:v>44768</c:v>
                </c:pt>
                <c:pt idx="672">
                  <c:v>44769</c:v>
                </c:pt>
                <c:pt idx="673">
                  <c:v>44770</c:v>
                </c:pt>
                <c:pt idx="674">
                  <c:v>44771</c:v>
                </c:pt>
                <c:pt idx="675">
                  <c:v>44775</c:v>
                </c:pt>
                <c:pt idx="676">
                  <c:v>44776</c:v>
                </c:pt>
                <c:pt idx="677">
                  <c:v>44777</c:v>
                </c:pt>
                <c:pt idx="678">
                  <c:v>44778</c:v>
                </c:pt>
                <c:pt idx="679">
                  <c:v>44781</c:v>
                </c:pt>
                <c:pt idx="680">
                  <c:v>44782</c:v>
                </c:pt>
                <c:pt idx="681">
                  <c:v>44783</c:v>
                </c:pt>
                <c:pt idx="682">
                  <c:v>44784</c:v>
                </c:pt>
                <c:pt idx="683">
                  <c:v>44785</c:v>
                </c:pt>
                <c:pt idx="684">
                  <c:v>44788</c:v>
                </c:pt>
                <c:pt idx="685">
                  <c:v>44789</c:v>
                </c:pt>
                <c:pt idx="686">
                  <c:v>44790</c:v>
                </c:pt>
                <c:pt idx="687">
                  <c:v>44791</c:v>
                </c:pt>
                <c:pt idx="688">
                  <c:v>44792</c:v>
                </c:pt>
                <c:pt idx="689">
                  <c:v>44795</c:v>
                </c:pt>
                <c:pt idx="690">
                  <c:v>44796</c:v>
                </c:pt>
                <c:pt idx="691">
                  <c:v>44797</c:v>
                </c:pt>
                <c:pt idx="692">
                  <c:v>44798</c:v>
                </c:pt>
                <c:pt idx="693">
                  <c:v>44799</c:v>
                </c:pt>
                <c:pt idx="694">
                  <c:v>44802</c:v>
                </c:pt>
                <c:pt idx="695">
                  <c:v>44803</c:v>
                </c:pt>
                <c:pt idx="696">
                  <c:v>44804</c:v>
                </c:pt>
                <c:pt idx="697">
                  <c:v>44805</c:v>
                </c:pt>
                <c:pt idx="698">
                  <c:v>44806</c:v>
                </c:pt>
                <c:pt idx="699">
                  <c:v>44810</c:v>
                </c:pt>
                <c:pt idx="700">
                  <c:v>44811</c:v>
                </c:pt>
                <c:pt idx="701">
                  <c:v>44812</c:v>
                </c:pt>
                <c:pt idx="702">
                  <c:v>44813</c:v>
                </c:pt>
                <c:pt idx="703">
                  <c:v>44816</c:v>
                </c:pt>
                <c:pt idx="704">
                  <c:v>44817</c:v>
                </c:pt>
                <c:pt idx="705">
                  <c:v>44818</c:v>
                </c:pt>
                <c:pt idx="706">
                  <c:v>44819</c:v>
                </c:pt>
                <c:pt idx="707">
                  <c:v>44820</c:v>
                </c:pt>
                <c:pt idx="708">
                  <c:v>44823</c:v>
                </c:pt>
                <c:pt idx="709">
                  <c:v>44824</c:v>
                </c:pt>
                <c:pt idx="710">
                  <c:v>44825</c:v>
                </c:pt>
                <c:pt idx="711">
                  <c:v>44826</c:v>
                </c:pt>
                <c:pt idx="712">
                  <c:v>44827</c:v>
                </c:pt>
                <c:pt idx="713">
                  <c:v>44830</c:v>
                </c:pt>
                <c:pt idx="714">
                  <c:v>44831</c:v>
                </c:pt>
                <c:pt idx="715">
                  <c:v>44832</c:v>
                </c:pt>
                <c:pt idx="716">
                  <c:v>44833</c:v>
                </c:pt>
                <c:pt idx="717">
                  <c:v>44834</c:v>
                </c:pt>
                <c:pt idx="718">
                  <c:v>44837</c:v>
                </c:pt>
                <c:pt idx="719">
                  <c:v>44838</c:v>
                </c:pt>
                <c:pt idx="720">
                  <c:v>44839</c:v>
                </c:pt>
                <c:pt idx="721">
                  <c:v>44840</c:v>
                </c:pt>
                <c:pt idx="722">
                  <c:v>44841</c:v>
                </c:pt>
                <c:pt idx="723">
                  <c:v>44845</c:v>
                </c:pt>
                <c:pt idx="724">
                  <c:v>44846</c:v>
                </c:pt>
                <c:pt idx="725">
                  <c:v>44847</c:v>
                </c:pt>
                <c:pt idx="726">
                  <c:v>44848</c:v>
                </c:pt>
                <c:pt idx="727">
                  <c:v>44851</c:v>
                </c:pt>
                <c:pt idx="728">
                  <c:v>44852</c:v>
                </c:pt>
                <c:pt idx="729">
                  <c:v>44853</c:v>
                </c:pt>
                <c:pt idx="730">
                  <c:v>44854</c:v>
                </c:pt>
                <c:pt idx="731">
                  <c:v>44855</c:v>
                </c:pt>
                <c:pt idx="732">
                  <c:v>44858</c:v>
                </c:pt>
                <c:pt idx="733">
                  <c:v>44859</c:v>
                </c:pt>
                <c:pt idx="734">
                  <c:v>44860</c:v>
                </c:pt>
                <c:pt idx="735">
                  <c:v>44861</c:v>
                </c:pt>
                <c:pt idx="736">
                  <c:v>44862</c:v>
                </c:pt>
                <c:pt idx="737">
                  <c:v>44865</c:v>
                </c:pt>
                <c:pt idx="738">
                  <c:v>44866</c:v>
                </c:pt>
                <c:pt idx="739">
                  <c:v>44867</c:v>
                </c:pt>
                <c:pt idx="740">
                  <c:v>44868</c:v>
                </c:pt>
                <c:pt idx="741">
                  <c:v>44869</c:v>
                </c:pt>
                <c:pt idx="742">
                  <c:v>44872</c:v>
                </c:pt>
                <c:pt idx="743">
                  <c:v>44873</c:v>
                </c:pt>
                <c:pt idx="744">
                  <c:v>44874</c:v>
                </c:pt>
                <c:pt idx="745">
                  <c:v>44875</c:v>
                </c:pt>
                <c:pt idx="746">
                  <c:v>44876</c:v>
                </c:pt>
                <c:pt idx="747">
                  <c:v>44879</c:v>
                </c:pt>
                <c:pt idx="748">
                  <c:v>44880</c:v>
                </c:pt>
                <c:pt idx="749">
                  <c:v>44881</c:v>
                </c:pt>
                <c:pt idx="750">
                  <c:v>44882</c:v>
                </c:pt>
                <c:pt idx="751">
                  <c:v>44883</c:v>
                </c:pt>
                <c:pt idx="752">
                  <c:v>44886</c:v>
                </c:pt>
                <c:pt idx="753">
                  <c:v>44887</c:v>
                </c:pt>
                <c:pt idx="754">
                  <c:v>44888</c:v>
                </c:pt>
                <c:pt idx="755">
                  <c:v>44889</c:v>
                </c:pt>
                <c:pt idx="756">
                  <c:v>44890</c:v>
                </c:pt>
                <c:pt idx="757">
                  <c:v>44893</c:v>
                </c:pt>
                <c:pt idx="758">
                  <c:v>44894</c:v>
                </c:pt>
                <c:pt idx="759">
                  <c:v>44895</c:v>
                </c:pt>
                <c:pt idx="760">
                  <c:v>44896</c:v>
                </c:pt>
                <c:pt idx="761">
                  <c:v>44897</c:v>
                </c:pt>
                <c:pt idx="762">
                  <c:v>44900</c:v>
                </c:pt>
                <c:pt idx="763">
                  <c:v>44901</c:v>
                </c:pt>
                <c:pt idx="764">
                  <c:v>44902</c:v>
                </c:pt>
                <c:pt idx="765">
                  <c:v>44903</c:v>
                </c:pt>
                <c:pt idx="766">
                  <c:v>44904</c:v>
                </c:pt>
                <c:pt idx="767">
                  <c:v>44907</c:v>
                </c:pt>
                <c:pt idx="768">
                  <c:v>44908</c:v>
                </c:pt>
                <c:pt idx="769">
                  <c:v>44909</c:v>
                </c:pt>
                <c:pt idx="770">
                  <c:v>44910</c:v>
                </c:pt>
                <c:pt idx="771">
                  <c:v>44911</c:v>
                </c:pt>
                <c:pt idx="772">
                  <c:v>44914</c:v>
                </c:pt>
                <c:pt idx="773">
                  <c:v>44915</c:v>
                </c:pt>
                <c:pt idx="774">
                  <c:v>44916</c:v>
                </c:pt>
                <c:pt idx="775">
                  <c:v>44917</c:v>
                </c:pt>
                <c:pt idx="776">
                  <c:v>44918</c:v>
                </c:pt>
                <c:pt idx="777">
                  <c:v>44923</c:v>
                </c:pt>
                <c:pt idx="778">
                  <c:v>44924</c:v>
                </c:pt>
                <c:pt idx="779">
                  <c:v>44925</c:v>
                </c:pt>
                <c:pt idx="780">
                  <c:v>44929</c:v>
                </c:pt>
                <c:pt idx="781">
                  <c:v>44930</c:v>
                </c:pt>
                <c:pt idx="782">
                  <c:v>44931</c:v>
                </c:pt>
                <c:pt idx="783">
                  <c:v>44932</c:v>
                </c:pt>
                <c:pt idx="784">
                  <c:v>44935</c:v>
                </c:pt>
                <c:pt idx="785">
                  <c:v>44936</c:v>
                </c:pt>
                <c:pt idx="786">
                  <c:v>44937</c:v>
                </c:pt>
                <c:pt idx="787">
                  <c:v>44938</c:v>
                </c:pt>
                <c:pt idx="788">
                  <c:v>44939</c:v>
                </c:pt>
                <c:pt idx="789">
                  <c:v>44942</c:v>
                </c:pt>
                <c:pt idx="790">
                  <c:v>44943</c:v>
                </c:pt>
                <c:pt idx="791">
                  <c:v>44944</c:v>
                </c:pt>
                <c:pt idx="792">
                  <c:v>44945</c:v>
                </c:pt>
                <c:pt idx="793">
                  <c:v>44946</c:v>
                </c:pt>
                <c:pt idx="794">
                  <c:v>44949</c:v>
                </c:pt>
                <c:pt idx="795">
                  <c:v>44950</c:v>
                </c:pt>
                <c:pt idx="796">
                  <c:v>44951</c:v>
                </c:pt>
                <c:pt idx="797">
                  <c:v>44952</c:v>
                </c:pt>
                <c:pt idx="798">
                  <c:v>44953</c:v>
                </c:pt>
                <c:pt idx="799">
                  <c:v>44956</c:v>
                </c:pt>
                <c:pt idx="800">
                  <c:v>44957</c:v>
                </c:pt>
                <c:pt idx="801">
                  <c:v>44958</c:v>
                </c:pt>
                <c:pt idx="802">
                  <c:v>44959</c:v>
                </c:pt>
                <c:pt idx="803">
                  <c:v>44960</c:v>
                </c:pt>
                <c:pt idx="804">
                  <c:v>44963</c:v>
                </c:pt>
                <c:pt idx="805">
                  <c:v>44964</c:v>
                </c:pt>
                <c:pt idx="806">
                  <c:v>44965</c:v>
                </c:pt>
                <c:pt idx="807">
                  <c:v>44966</c:v>
                </c:pt>
                <c:pt idx="808">
                  <c:v>44967</c:v>
                </c:pt>
                <c:pt idx="809">
                  <c:v>44970</c:v>
                </c:pt>
                <c:pt idx="810">
                  <c:v>44971</c:v>
                </c:pt>
                <c:pt idx="811">
                  <c:v>44972</c:v>
                </c:pt>
                <c:pt idx="812">
                  <c:v>44973</c:v>
                </c:pt>
                <c:pt idx="813">
                  <c:v>44974</c:v>
                </c:pt>
                <c:pt idx="814">
                  <c:v>44978</c:v>
                </c:pt>
                <c:pt idx="815">
                  <c:v>44979</c:v>
                </c:pt>
                <c:pt idx="816">
                  <c:v>44980</c:v>
                </c:pt>
                <c:pt idx="817">
                  <c:v>44981</c:v>
                </c:pt>
                <c:pt idx="818">
                  <c:v>44984</c:v>
                </c:pt>
                <c:pt idx="819">
                  <c:v>44985</c:v>
                </c:pt>
                <c:pt idx="820">
                  <c:v>44986</c:v>
                </c:pt>
                <c:pt idx="821">
                  <c:v>44987</c:v>
                </c:pt>
                <c:pt idx="822">
                  <c:v>44988</c:v>
                </c:pt>
                <c:pt idx="823">
                  <c:v>44991</c:v>
                </c:pt>
                <c:pt idx="824">
                  <c:v>44992</c:v>
                </c:pt>
                <c:pt idx="825">
                  <c:v>44993</c:v>
                </c:pt>
                <c:pt idx="826">
                  <c:v>44994</c:v>
                </c:pt>
                <c:pt idx="827">
                  <c:v>44995</c:v>
                </c:pt>
                <c:pt idx="828">
                  <c:v>44998</c:v>
                </c:pt>
                <c:pt idx="829">
                  <c:v>44999</c:v>
                </c:pt>
                <c:pt idx="830">
                  <c:v>45000</c:v>
                </c:pt>
                <c:pt idx="831">
                  <c:v>45001</c:v>
                </c:pt>
                <c:pt idx="832">
                  <c:v>45002</c:v>
                </c:pt>
                <c:pt idx="833">
                  <c:v>45005</c:v>
                </c:pt>
                <c:pt idx="834">
                  <c:v>45006</c:v>
                </c:pt>
                <c:pt idx="835">
                  <c:v>45007</c:v>
                </c:pt>
                <c:pt idx="836">
                  <c:v>45008</c:v>
                </c:pt>
                <c:pt idx="837">
                  <c:v>45009</c:v>
                </c:pt>
                <c:pt idx="838">
                  <c:v>45012</c:v>
                </c:pt>
                <c:pt idx="839">
                  <c:v>45013</c:v>
                </c:pt>
                <c:pt idx="840">
                  <c:v>45014</c:v>
                </c:pt>
                <c:pt idx="841">
                  <c:v>45015</c:v>
                </c:pt>
                <c:pt idx="842">
                  <c:v>45016</c:v>
                </c:pt>
                <c:pt idx="843">
                  <c:v>45019</c:v>
                </c:pt>
                <c:pt idx="844">
                  <c:v>45020</c:v>
                </c:pt>
                <c:pt idx="845">
                  <c:v>45021</c:v>
                </c:pt>
                <c:pt idx="846">
                  <c:v>45022</c:v>
                </c:pt>
                <c:pt idx="847">
                  <c:v>45026</c:v>
                </c:pt>
                <c:pt idx="848">
                  <c:v>45027</c:v>
                </c:pt>
                <c:pt idx="849">
                  <c:v>45028</c:v>
                </c:pt>
                <c:pt idx="850">
                  <c:v>45029</c:v>
                </c:pt>
                <c:pt idx="851">
                  <c:v>45030</c:v>
                </c:pt>
                <c:pt idx="852">
                  <c:v>45033</c:v>
                </c:pt>
                <c:pt idx="853">
                  <c:v>45034</c:v>
                </c:pt>
                <c:pt idx="854">
                  <c:v>45035</c:v>
                </c:pt>
                <c:pt idx="855">
                  <c:v>45036</c:v>
                </c:pt>
                <c:pt idx="856">
                  <c:v>45037</c:v>
                </c:pt>
                <c:pt idx="857">
                  <c:v>45040</c:v>
                </c:pt>
                <c:pt idx="858">
                  <c:v>45041</c:v>
                </c:pt>
                <c:pt idx="859">
                  <c:v>45042</c:v>
                </c:pt>
                <c:pt idx="860">
                  <c:v>45043</c:v>
                </c:pt>
                <c:pt idx="861">
                  <c:v>45044</c:v>
                </c:pt>
                <c:pt idx="862">
                  <c:v>45047</c:v>
                </c:pt>
                <c:pt idx="863">
                  <c:v>45048</c:v>
                </c:pt>
                <c:pt idx="864">
                  <c:v>45049</c:v>
                </c:pt>
                <c:pt idx="865">
                  <c:v>45050</c:v>
                </c:pt>
                <c:pt idx="866">
                  <c:v>45051</c:v>
                </c:pt>
                <c:pt idx="867">
                  <c:v>45054</c:v>
                </c:pt>
                <c:pt idx="868">
                  <c:v>45055</c:v>
                </c:pt>
                <c:pt idx="869">
                  <c:v>45056</c:v>
                </c:pt>
                <c:pt idx="870">
                  <c:v>45057</c:v>
                </c:pt>
                <c:pt idx="871">
                  <c:v>45058</c:v>
                </c:pt>
                <c:pt idx="872">
                  <c:v>45061</c:v>
                </c:pt>
                <c:pt idx="873">
                  <c:v>45062</c:v>
                </c:pt>
                <c:pt idx="874">
                  <c:v>45063</c:v>
                </c:pt>
                <c:pt idx="875">
                  <c:v>45064</c:v>
                </c:pt>
                <c:pt idx="876">
                  <c:v>45065</c:v>
                </c:pt>
                <c:pt idx="877">
                  <c:v>45069</c:v>
                </c:pt>
                <c:pt idx="878">
                  <c:v>45070</c:v>
                </c:pt>
                <c:pt idx="879">
                  <c:v>45071</c:v>
                </c:pt>
                <c:pt idx="880">
                  <c:v>45072</c:v>
                </c:pt>
                <c:pt idx="881">
                  <c:v>45075</c:v>
                </c:pt>
                <c:pt idx="882">
                  <c:v>45076</c:v>
                </c:pt>
                <c:pt idx="883">
                  <c:v>45077</c:v>
                </c:pt>
                <c:pt idx="884">
                  <c:v>45078</c:v>
                </c:pt>
                <c:pt idx="885">
                  <c:v>45079</c:v>
                </c:pt>
                <c:pt idx="886">
                  <c:v>45082</c:v>
                </c:pt>
                <c:pt idx="887">
                  <c:v>45083</c:v>
                </c:pt>
                <c:pt idx="888">
                  <c:v>45084</c:v>
                </c:pt>
                <c:pt idx="889">
                  <c:v>45085</c:v>
                </c:pt>
                <c:pt idx="890">
                  <c:v>45086</c:v>
                </c:pt>
                <c:pt idx="891">
                  <c:v>45089</c:v>
                </c:pt>
                <c:pt idx="892">
                  <c:v>45090</c:v>
                </c:pt>
                <c:pt idx="893">
                  <c:v>45091</c:v>
                </c:pt>
                <c:pt idx="894">
                  <c:v>45092</c:v>
                </c:pt>
                <c:pt idx="895">
                  <c:v>45093</c:v>
                </c:pt>
                <c:pt idx="896">
                  <c:v>45096</c:v>
                </c:pt>
                <c:pt idx="897">
                  <c:v>45097</c:v>
                </c:pt>
                <c:pt idx="898">
                  <c:v>45098</c:v>
                </c:pt>
                <c:pt idx="899">
                  <c:v>45099</c:v>
                </c:pt>
                <c:pt idx="900">
                  <c:v>45100</c:v>
                </c:pt>
                <c:pt idx="901">
                  <c:v>45103</c:v>
                </c:pt>
                <c:pt idx="902">
                  <c:v>45104</c:v>
                </c:pt>
                <c:pt idx="903">
                  <c:v>45105</c:v>
                </c:pt>
                <c:pt idx="904">
                  <c:v>45106</c:v>
                </c:pt>
                <c:pt idx="905">
                  <c:v>45107</c:v>
                </c:pt>
                <c:pt idx="906">
                  <c:v>45111</c:v>
                </c:pt>
                <c:pt idx="907">
                  <c:v>45112</c:v>
                </c:pt>
                <c:pt idx="908">
                  <c:v>45113</c:v>
                </c:pt>
                <c:pt idx="909">
                  <c:v>45114</c:v>
                </c:pt>
                <c:pt idx="910">
                  <c:v>45117</c:v>
                </c:pt>
                <c:pt idx="911">
                  <c:v>45118</c:v>
                </c:pt>
                <c:pt idx="912">
                  <c:v>45119</c:v>
                </c:pt>
                <c:pt idx="913">
                  <c:v>45120</c:v>
                </c:pt>
                <c:pt idx="914">
                  <c:v>45121</c:v>
                </c:pt>
                <c:pt idx="915">
                  <c:v>45124</c:v>
                </c:pt>
                <c:pt idx="916">
                  <c:v>45125</c:v>
                </c:pt>
                <c:pt idx="917">
                  <c:v>45126</c:v>
                </c:pt>
                <c:pt idx="918">
                  <c:v>45127</c:v>
                </c:pt>
                <c:pt idx="919">
                  <c:v>45128</c:v>
                </c:pt>
                <c:pt idx="920">
                  <c:v>45131</c:v>
                </c:pt>
                <c:pt idx="921">
                  <c:v>45132</c:v>
                </c:pt>
                <c:pt idx="922">
                  <c:v>45133</c:v>
                </c:pt>
                <c:pt idx="923">
                  <c:v>45134</c:v>
                </c:pt>
                <c:pt idx="924">
                  <c:v>45135</c:v>
                </c:pt>
                <c:pt idx="925">
                  <c:v>45138</c:v>
                </c:pt>
                <c:pt idx="926">
                  <c:v>45139</c:v>
                </c:pt>
                <c:pt idx="927">
                  <c:v>45140</c:v>
                </c:pt>
                <c:pt idx="928">
                  <c:v>45141</c:v>
                </c:pt>
                <c:pt idx="929">
                  <c:v>45142</c:v>
                </c:pt>
                <c:pt idx="930">
                  <c:v>45146</c:v>
                </c:pt>
                <c:pt idx="931">
                  <c:v>45147</c:v>
                </c:pt>
                <c:pt idx="932">
                  <c:v>45148</c:v>
                </c:pt>
                <c:pt idx="933">
                  <c:v>45149</c:v>
                </c:pt>
                <c:pt idx="934">
                  <c:v>45152</c:v>
                </c:pt>
                <c:pt idx="935">
                  <c:v>45153</c:v>
                </c:pt>
                <c:pt idx="936">
                  <c:v>45154</c:v>
                </c:pt>
                <c:pt idx="937">
                  <c:v>45155</c:v>
                </c:pt>
                <c:pt idx="938">
                  <c:v>45156</c:v>
                </c:pt>
                <c:pt idx="939">
                  <c:v>45159</c:v>
                </c:pt>
                <c:pt idx="940">
                  <c:v>45160</c:v>
                </c:pt>
                <c:pt idx="941">
                  <c:v>45161</c:v>
                </c:pt>
                <c:pt idx="942">
                  <c:v>45162</c:v>
                </c:pt>
                <c:pt idx="943">
                  <c:v>45163</c:v>
                </c:pt>
                <c:pt idx="944">
                  <c:v>45166</c:v>
                </c:pt>
                <c:pt idx="945">
                  <c:v>45167</c:v>
                </c:pt>
                <c:pt idx="946">
                  <c:v>45168</c:v>
                </c:pt>
                <c:pt idx="947">
                  <c:v>45169</c:v>
                </c:pt>
                <c:pt idx="948">
                  <c:v>45170</c:v>
                </c:pt>
                <c:pt idx="949">
                  <c:v>45174</c:v>
                </c:pt>
                <c:pt idx="950">
                  <c:v>45175</c:v>
                </c:pt>
                <c:pt idx="951">
                  <c:v>45176</c:v>
                </c:pt>
                <c:pt idx="952">
                  <c:v>45177</c:v>
                </c:pt>
                <c:pt idx="953">
                  <c:v>45180</c:v>
                </c:pt>
                <c:pt idx="954">
                  <c:v>45181</c:v>
                </c:pt>
                <c:pt idx="955">
                  <c:v>45182</c:v>
                </c:pt>
                <c:pt idx="956">
                  <c:v>45183</c:v>
                </c:pt>
                <c:pt idx="957">
                  <c:v>45184</c:v>
                </c:pt>
                <c:pt idx="958">
                  <c:v>45187</c:v>
                </c:pt>
                <c:pt idx="959">
                  <c:v>45188</c:v>
                </c:pt>
                <c:pt idx="960">
                  <c:v>45189</c:v>
                </c:pt>
                <c:pt idx="961">
                  <c:v>45190</c:v>
                </c:pt>
                <c:pt idx="962">
                  <c:v>45191</c:v>
                </c:pt>
                <c:pt idx="963">
                  <c:v>45194</c:v>
                </c:pt>
                <c:pt idx="964">
                  <c:v>45195</c:v>
                </c:pt>
                <c:pt idx="965">
                  <c:v>45196</c:v>
                </c:pt>
                <c:pt idx="966">
                  <c:v>45197</c:v>
                </c:pt>
                <c:pt idx="967">
                  <c:v>45198</c:v>
                </c:pt>
                <c:pt idx="968">
                  <c:v>45201</c:v>
                </c:pt>
                <c:pt idx="969">
                  <c:v>45202</c:v>
                </c:pt>
                <c:pt idx="970">
                  <c:v>45203</c:v>
                </c:pt>
                <c:pt idx="971">
                  <c:v>45204</c:v>
                </c:pt>
                <c:pt idx="972">
                  <c:v>45205</c:v>
                </c:pt>
                <c:pt idx="973">
                  <c:v>45209</c:v>
                </c:pt>
                <c:pt idx="974">
                  <c:v>45210</c:v>
                </c:pt>
                <c:pt idx="975">
                  <c:v>45211</c:v>
                </c:pt>
                <c:pt idx="976">
                  <c:v>45212</c:v>
                </c:pt>
                <c:pt idx="977">
                  <c:v>45215</c:v>
                </c:pt>
                <c:pt idx="978">
                  <c:v>45216</c:v>
                </c:pt>
                <c:pt idx="979">
                  <c:v>45217</c:v>
                </c:pt>
                <c:pt idx="980">
                  <c:v>45218</c:v>
                </c:pt>
                <c:pt idx="981">
                  <c:v>45219</c:v>
                </c:pt>
                <c:pt idx="982">
                  <c:v>45222</c:v>
                </c:pt>
                <c:pt idx="983">
                  <c:v>45223</c:v>
                </c:pt>
                <c:pt idx="984">
                  <c:v>45224</c:v>
                </c:pt>
                <c:pt idx="985">
                  <c:v>45225</c:v>
                </c:pt>
                <c:pt idx="986">
                  <c:v>45226</c:v>
                </c:pt>
                <c:pt idx="987">
                  <c:v>45229</c:v>
                </c:pt>
                <c:pt idx="988">
                  <c:v>45230</c:v>
                </c:pt>
                <c:pt idx="989">
                  <c:v>45231</c:v>
                </c:pt>
                <c:pt idx="990">
                  <c:v>45232</c:v>
                </c:pt>
                <c:pt idx="991">
                  <c:v>45233</c:v>
                </c:pt>
                <c:pt idx="992">
                  <c:v>45236</c:v>
                </c:pt>
                <c:pt idx="993">
                  <c:v>45237</c:v>
                </c:pt>
                <c:pt idx="994">
                  <c:v>45238</c:v>
                </c:pt>
                <c:pt idx="995">
                  <c:v>45239</c:v>
                </c:pt>
                <c:pt idx="996">
                  <c:v>45240</c:v>
                </c:pt>
                <c:pt idx="997">
                  <c:v>45243</c:v>
                </c:pt>
                <c:pt idx="998">
                  <c:v>45244</c:v>
                </c:pt>
                <c:pt idx="999">
                  <c:v>45245</c:v>
                </c:pt>
                <c:pt idx="1000">
                  <c:v>45246</c:v>
                </c:pt>
                <c:pt idx="1001">
                  <c:v>45247</c:v>
                </c:pt>
                <c:pt idx="1002">
                  <c:v>45250</c:v>
                </c:pt>
                <c:pt idx="1003">
                  <c:v>45251</c:v>
                </c:pt>
                <c:pt idx="1004">
                  <c:v>45252</c:v>
                </c:pt>
                <c:pt idx="1005">
                  <c:v>45253</c:v>
                </c:pt>
                <c:pt idx="1006">
                  <c:v>45254</c:v>
                </c:pt>
                <c:pt idx="1007">
                  <c:v>45257</c:v>
                </c:pt>
                <c:pt idx="1008">
                  <c:v>45258</c:v>
                </c:pt>
                <c:pt idx="1009">
                  <c:v>45259</c:v>
                </c:pt>
                <c:pt idx="1010">
                  <c:v>45260</c:v>
                </c:pt>
                <c:pt idx="1011">
                  <c:v>45261</c:v>
                </c:pt>
                <c:pt idx="1012">
                  <c:v>45264</c:v>
                </c:pt>
                <c:pt idx="1013">
                  <c:v>45265</c:v>
                </c:pt>
                <c:pt idx="1014">
                  <c:v>45266</c:v>
                </c:pt>
                <c:pt idx="1015">
                  <c:v>45267</c:v>
                </c:pt>
                <c:pt idx="1016">
                  <c:v>45268</c:v>
                </c:pt>
                <c:pt idx="1017">
                  <c:v>45271</c:v>
                </c:pt>
                <c:pt idx="1018">
                  <c:v>45272</c:v>
                </c:pt>
                <c:pt idx="1019">
                  <c:v>45273</c:v>
                </c:pt>
                <c:pt idx="1020">
                  <c:v>45274</c:v>
                </c:pt>
                <c:pt idx="1021">
                  <c:v>45275</c:v>
                </c:pt>
                <c:pt idx="1022">
                  <c:v>45278</c:v>
                </c:pt>
                <c:pt idx="1023">
                  <c:v>45279</c:v>
                </c:pt>
                <c:pt idx="1024">
                  <c:v>45280</c:v>
                </c:pt>
                <c:pt idx="1025">
                  <c:v>45281</c:v>
                </c:pt>
                <c:pt idx="1026">
                  <c:v>45282</c:v>
                </c:pt>
                <c:pt idx="1027">
                  <c:v>45287</c:v>
                </c:pt>
                <c:pt idx="1028">
                  <c:v>45288</c:v>
                </c:pt>
                <c:pt idx="1029">
                  <c:v>45289</c:v>
                </c:pt>
                <c:pt idx="1030">
                  <c:v>45293</c:v>
                </c:pt>
                <c:pt idx="1031">
                  <c:v>45294</c:v>
                </c:pt>
                <c:pt idx="1032">
                  <c:v>45295</c:v>
                </c:pt>
                <c:pt idx="1033">
                  <c:v>45296</c:v>
                </c:pt>
                <c:pt idx="1034">
                  <c:v>45299</c:v>
                </c:pt>
                <c:pt idx="1035">
                  <c:v>45300</c:v>
                </c:pt>
                <c:pt idx="1036">
                  <c:v>45301</c:v>
                </c:pt>
                <c:pt idx="1037">
                  <c:v>45302</c:v>
                </c:pt>
                <c:pt idx="1038">
                  <c:v>45303</c:v>
                </c:pt>
                <c:pt idx="1039">
                  <c:v>45306</c:v>
                </c:pt>
                <c:pt idx="1040">
                  <c:v>45307</c:v>
                </c:pt>
                <c:pt idx="1041">
                  <c:v>45308</c:v>
                </c:pt>
                <c:pt idx="1042">
                  <c:v>45309</c:v>
                </c:pt>
                <c:pt idx="1043">
                  <c:v>45310</c:v>
                </c:pt>
                <c:pt idx="1044">
                  <c:v>45313</c:v>
                </c:pt>
                <c:pt idx="1045">
                  <c:v>45314</c:v>
                </c:pt>
                <c:pt idx="1046">
                  <c:v>45315</c:v>
                </c:pt>
                <c:pt idx="1047">
                  <c:v>45316</c:v>
                </c:pt>
                <c:pt idx="1048">
                  <c:v>45317</c:v>
                </c:pt>
                <c:pt idx="1049">
                  <c:v>45320</c:v>
                </c:pt>
                <c:pt idx="1050">
                  <c:v>45321</c:v>
                </c:pt>
                <c:pt idx="1051">
                  <c:v>45322</c:v>
                </c:pt>
                <c:pt idx="1052">
                  <c:v>45323</c:v>
                </c:pt>
                <c:pt idx="1053">
                  <c:v>45324</c:v>
                </c:pt>
                <c:pt idx="1054">
                  <c:v>45327</c:v>
                </c:pt>
                <c:pt idx="1055">
                  <c:v>45328</c:v>
                </c:pt>
                <c:pt idx="1056">
                  <c:v>45329</c:v>
                </c:pt>
                <c:pt idx="1057">
                  <c:v>45330</c:v>
                </c:pt>
                <c:pt idx="1058">
                  <c:v>45331</c:v>
                </c:pt>
                <c:pt idx="1059">
                  <c:v>45334</c:v>
                </c:pt>
                <c:pt idx="1060">
                  <c:v>45335</c:v>
                </c:pt>
                <c:pt idx="1061">
                  <c:v>45336</c:v>
                </c:pt>
                <c:pt idx="1062">
                  <c:v>45337</c:v>
                </c:pt>
                <c:pt idx="1063">
                  <c:v>45338</c:v>
                </c:pt>
                <c:pt idx="1064">
                  <c:v>45342</c:v>
                </c:pt>
                <c:pt idx="1065">
                  <c:v>45343</c:v>
                </c:pt>
                <c:pt idx="1066">
                  <c:v>45344</c:v>
                </c:pt>
                <c:pt idx="1067">
                  <c:v>45345</c:v>
                </c:pt>
                <c:pt idx="1068">
                  <c:v>45348</c:v>
                </c:pt>
                <c:pt idx="1069">
                  <c:v>45349</c:v>
                </c:pt>
                <c:pt idx="1070">
                  <c:v>45350</c:v>
                </c:pt>
                <c:pt idx="1071">
                  <c:v>45351</c:v>
                </c:pt>
                <c:pt idx="1072">
                  <c:v>45352</c:v>
                </c:pt>
                <c:pt idx="1073">
                  <c:v>45355</c:v>
                </c:pt>
                <c:pt idx="1074">
                  <c:v>45356</c:v>
                </c:pt>
                <c:pt idx="1075">
                  <c:v>45357</c:v>
                </c:pt>
                <c:pt idx="1076">
                  <c:v>45358</c:v>
                </c:pt>
                <c:pt idx="1077">
                  <c:v>45359</c:v>
                </c:pt>
                <c:pt idx="1078">
                  <c:v>45362</c:v>
                </c:pt>
                <c:pt idx="1079">
                  <c:v>45363</c:v>
                </c:pt>
                <c:pt idx="1080">
                  <c:v>45364</c:v>
                </c:pt>
                <c:pt idx="1081">
                  <c:v>45365</c:v>
                </c:pt>
                <c:pt idx="1082">
                  <c:v>45366</c:v>
                </c:pt>
                <c:pt idx="1083">
                  <c:v>45369</c:v>
                </c:pt>
                <c:pt idx="1084">
                  <c:v>45370</c:v>
                </c:pt>
                <c:pt idx="1085">
                  <c:v>45371</c:v>
                </c:pt>
                <c:pt idx="1086">
                  <c:v>45372</c:v>
                </c:pt>
                <c:pt idx="1087">
                  <c:v>45373</c:v>
                </c:pt>
                <c:pt idx="1088">
                  <c:v>45376</c:v>
                </c:pt>
                <c:pt idx="1089">
                  <c:v>45377</c:v>
                </c:pt>
                <c:pt idx="1090">
                  <c:v>45378</c:v>
                </c:pt>
                <c:pt idx="1091">
                  <c:v>45379</c:v>
                </c:pt>
                <c:pt idx="1092">
                  <c:v>45383</c:v>
                </c:pt>
                <c:pt idx="1093">
                  <c:v>45384</c:v>
                </c:pt>
                <c:pt idx="1094">
                  <c:v>45385</c:v>
                </c:pt>
                <c:pt idx="1095">
                  <c:v>45386</c:v>
                </c:pt>
                <c:pt idx="1096">
                  <c:v>45387</c:v>
                </c:pt>
                <c:pt idx="1097">
                  <c:v>45390</c:v>
                </c:pt>
                <c:pt idx="1098">
                  <c:v>45391</c:v>
                </c:pt>
                <c:pt idx="1099">
                  <c:v>45392</c:v>
                </c:pt>
                <c:pt idx="1100">
                  <c:v>45393</c:v>
                </c:pt>
                <c:pt idx="1101">
                  <c:v>45394</c:v>
                </c:pt>
                <c:pt idx="1102">
                  <c:v>45397</c:v>
                </c:pt>
                <c:pt idx="1103">
                  <c:v>45398</c:v>
                </c:pt>
                <c:pt idx="1104">
                  <c:v>45399</c:v>
                </c:pt>
                <c:pt idx="1105">
                  <c:v>45400</c:v>
                </c:pt>
                <c:pt idx="1106">
                  <c:v>45401</c:v>
                </c:pt>
                <c:pt idx="1107">
                  <c:v>45404</c:v>
                </c:pt>
                <c:pt idx="1108">
                  <c:v>45405</c:v>
                </c:pt>
                <c:pt idx="1109">
                  <c:v>45406</c:v>
                </c:pt>
                <c:pt idx="1110">
                  <c:v>45407</c:v>
                </c:pt>
                <c:pt idx="1111">
                  <c:v>45408</c:v>
                </c:pt>
                <c:pt idx="1112">
                  <c:v>45411</c:v>
                </c:pt>
                <c:pt idx="1113">
                  <c:v>45412</c:v>
                </c:pt>
                <c:pt idx="1114">
                  <c:v>45413</c:v>
                </c:pt>
                <c:pt idx="1115">
                  <c:v>45414</c:v>
                </c:pt>
                <c:pt idx="1116">
                  <c:v>45415</c:v>
                </c:pt>
                <c:pt idx="1117">
                  <c:v>45418</c:v>
                </c:pt>
                <c:pt idx="1118">
                  <c:v>45419</c:v>
                </c:pt>
                <c:pt idx="1119">
                  <c:v>45420</c:v>
                </c:pt>
                <c:pt idx="1120">
                  <c:v>45421</c:v>
                </c:pt>
                <c:pt idx="1121">
                  <c:v>45422</c:v>
                </c:pt>
                <c:pt idx="1122">
                  <c:v>45425</c:v>
                </c:pt>
                <c:pt idx="1123">
                  <c:v>45426</c:v>
                </c:pt>
                <c:pt idx="1124">
                  <c:v>45427</c:v>
                </c:pt>
                <c:pt idx="1125">
                  <c:v>45428</c:v>
                </c:pt>
                <c:pt idx="1126">
                  <c:v>45429</c:v>
                </c:pt>
                <c:pt idx="1127">
                  <c:v>45433</c:v>
                </c:pt>
                <c:pt idx="1128">
                  <c:v>45434</c:v>
                </c:pt>
                <c:pt idx="1129">
                  <c:v>45435</c:v>
                </c:pt>
                <c:pt idx="1130">
                  <c:v>45436</c:v>
                </c:pt>
                <c:pt idx="1131">
                  <c:v>45439</c:v>
                </c:pt>
                <c:pt idx="1132">
                  <c:v>45440</c:v>
                </c:pt>
                <c:pt idx="1133">
                  <c:v>45441</c:v>
                </c:pt>
                <c:pt idx="1134">
                  <c:v>45442</c:v>
                </c:pt>
                <c:pt idx="1135">
                  <c:v>45443</c:v>
                </c:pt>
                <c:pt idx="1136">
                  <c:v>45446</c:v>
                </c:pt>
                <c:pt idx="1137">
                  <c:v>45447</c:v>
                </c:pt>
                <c:pt idx="1138">
                  <c:v>45448</c:v>
                </c:pt>
                <c:pt idx="1139">
                  <c:v>45449</c:v>
                </c:pt>
                <c:pt idx="1140">
                  <c:v>45450</c:v>
                </c:pt>
                <c:pt idx="1141">
                  <c:v>45453</c:v>
                </c:pt>
                <c:pt idx="1142">
                  <c:v>45454</c:v>
                </c:pt>
                <c:pt idx="1143">
                  <c:v>45455</c:v>
                </c:pt>
                <c:pt idx="1144">
                  <c:v>45456</c:v>
                </c:pt>
                <c:pt idx="1145">
                  <c:v>45457</c:v>
                </c:pt>
                <c:pt idx="1146">
                  <c:v>45460</c:v>
                </c:pt>
                <c:pt idx="1147">
                  <c:v>45461</c:v>
                </c:pt>
                <c:pt idx="1148">
                  <c:v>45462</c:v>
                </c:pt>
                <c:pt idx="1149">
                  <c:v>45463</c:v>
                </c:pt>
                <c:pt idx="1150">
                  <c:v>45464</c:v>
                </c:pt>
                <c:pt idx="1151">
                  <c:v>45467</c:v>
                </c:pt>
                <c:pt idx="1152">
                  <c:v>45468</c:v>
                </c:pt>
                <c:pt idx="1153">
                  <c:v>45469</c:v>
                </c:pt>
                <c:pt idx="1154">
                  <c:v>45470</c:v>
                </c:pt>
                <c:pt idx="1155">
                  <c:v>45471</c:v>
                </c:pt>
                <c:pt idx="1156">
                  <c:v>45475</c:v>
                </c:pt>
                <c:pt idx="1157">
                  <c:v>45476</c:v>
                </c:pt>
                <c:pt idx="1158">
                  <c:v>45477</c:v>
                </c:pt>
                <c:pt idx="1159">
                  <c:v>45478</c:v>
                </c:pt>
                <c:pt idx="1160">
                  <c:v>45481</c:v>
                </c:pt>
                <c:pt idx="1161">
                  <c:v>45482</c:v>
                </c:pt>
                <c:pt idx="1162">
                  <c:v>45483</c:v>
                </c:pt>
                <c:pt idx="1163">
                  <c:v>45484</c:v>
                </c:pt>
                <c:pt idx="1164">
                  <c:v>45485</c:v>
                </c:pt>
                <c:pt idx="1165">
                  <c:v>45488</c:v>
                </c:pt>
                <c:pt idx="1166">
                  <c:v>45489</c:v>
                </c:pt>
                <c:pt idx="1167">
                  <c:v>45490</c:v>
                </c:pt>
                <c:pt idx="1168">
                  <c:v>45491</c:v>
                </c:pt>
                <c:pt idx="1169">
                  <c:v>45492</c:v>
                </c:pt>
                <c:pt idx="1170">
                  <c:v>45495</c:v>
                </c:pt>
                <c:pt idx="1171">
                  <c:v>45496</c:v>
                </c:pt>
                <c:pt idx="1172">
                  <c:v>45497</c:v>
                </c:pt>
                <c:pt idx="1173">
                  <c:v>45498</c:v>
                </c:pt>
                <c:pt idx="1174">
                  <c:v>45499</c:v>
                </c:pt>
                <c:pt idx="1175">
                  <c:v>45502</c:v>
                </c:pt>
                <c:pt idx="1176">
                  <c:v>45503</c:v>
                </c:pt>
                <c:pt idx="1177">
                  <c:v>45504</c:v>
                </c:pt>
                <c:pt idx="1178">
                  <c:v>45505</c:v>
                </c:pt>
                <c:pt idx="1179">
                  <c:v>45506</c:v>
                </c:pt>
                <c:pt idx="1180">
                  <c:v>45510</c:v>
                </c:pt>
                <c:pt idx="1181">
                  <c:v>45511</c:v>
                </c:pt>
                <c:pt idx="1182">
                  <c:v>45512</c:v>
                </c:pt>
                <c:pt idx="1183">
                  <c:v>45513</c:v>
                </c:pt>
                <c:pt idx="1184">
                  <c:v>45516</c:v>
                </c:pt>
                <c:pt idx="1185">
                  <c:v>45517</c:v>
                </c:pt>
                <c:pt idx="1186">
                  <c:v>45518</c:v>
                </c:pt>
                <c:pt idx="1187">
                  <c:v>45519</c:v>
                </c:pt>
                <c:pt idx="1188">
                  <c:v>45520</c:v>
                </c:pt>
                <c:pt idx="1189">
                  <c:v>45523</c:v>
                </c:pt>
                <c:pt idx="1190">
                  <c:v>45524</c:v>
                </c:pt>
                <c:pt idx="1191">
                  <c:v>45525</c:v>
                </c:pt>
                <c:pt idx="1192">
                  <c:v>45526</c:v>
                </c:pt>
                <c:pt idx="1193">
                  <c:v>45527</c:v>
                </c:pt>
                <c:pt idx="1194">
                  <c:v>45530</c:v>
                </c:pt>
                <c:pt idx="1195">
                  <c:v>45531</c:v>
                </c:pt>
                <c:pt idx="1196">
                  <c:v>45532</c:v>
                </c:pt>
                <c:pt idx="1197">
                  <c:v>45533</c:v>
                </c:pt>
                <c:pt idx="1198">
                  <c:v>45534</c:v>
                </c:pt>
                <c:pt idx="1199">
                  <c:v>45538</c:v>
                </c:pt>
                <c:pt idx="1200">
                  <c:v>45539</c:v>
                </c:pt>
                <c:pt idx="1201">
                  <c:v>45540</c:v>
                </c:pt>
                <c:pt idx="1202">
                  <c:v>45541</c:v>
                </c:pt>
                <c:pt idx="1203">
                  <c:v>45544</c:v>
                </c:pt>
                <c:pt idx="1204">
                  <c:v>45545</c:v>
                </c:pt>
                <c:pt idx="1205">
                  <c:v>45546</c:v>
                </c:pt>
                <c:pt idx="1206">
                  <c:v>45547</c:v>
                </c:pt>
                <c:pt idx="1207">
                  <c:v>45548</c:v>
                </c:pt>
                <c:pt idx="1208">
                  <c:v>45551</c:v>
                </c:pt>
                <c:pt idx="1209">
                  <c:v>45552</c:v>
                </c:pt>
                <c:pt idx="1210">
                  <c:v>45553</c:v>
                </c:pt>
                <c:pt idx="1211">
                  <c:v>45554</c:v>
                </c:pt>
                <c:pt idx="1212">
                  <c:v>45555</c:v>
                </c:pt>
                <c:pt idx="1213">
                  <c:v>45558</c:v>
                </c:pt>
                <c:pt idx="1214">
                  <c:v>45559</c:v>
                </c:pt>
                <c:pt idx="1215">
                  <c:v>45560</c:v>
                </c:pt>
                <c:pt idx="1216">
                  <c:v>45561</c:v>
                </c:pt>
                <c:pt idx="1217">
                  <c:v>45562</c:v>
                </c:pt>
                <c:pt idx="1218">
                  <c:v>45565</c:v>
                </c:pt>
                <c:pt idx="1219">
                  <c:v>45566</c:v>
                </c:pt>
                <c:pt idx="1220">
                  <c:v>45567</c:v>
                </c:pt>
                <c:pt idx="1221">
                  <c:v>45568</c:v>
                </c:pt>
                <c:pt idx="1222">
                  <c:v>45569</c:v>
                </c:pt>
                <c:pt idx="1223">
                  <c:v>45572</c:v>
                </c:pt>
                <c:pt idx="1224">
                  <c:v>45573</c:v>
                </c:pt>
                <c:pt idx="1225">
                  <c:v>45574</c:v>
                </c:pt>
                <c:pt idx="1226">
                  <c:v>45575</c:v>
                </c:pt>
                <c:pt idx="1227">
                  <c:v>45576</c:v>
                </c:pt>
                <c:pt idx="1228">
                  <c:v>45580</c:v>
                </c:pt>
                <c:pt idx="1229">
                  <c:v>45581</c:v>
                </c:pt>
                <c:pt idx="1230">
                  <c:v>45582</c:v>
                </c:pt>
                <c:pt idx="1231">
                  <c:v>45583</c:v>
                </c:pt>
                <c:pt idx="1232">
                  <c:v>45586</c:v>
                </c:pt>
                <c:pt idx="1233">
                  <c:v>45587</c:v>
                </c:pt>
                <c:pt idx="1234">
                  <c:v>45588</c:v>
                </c:pt>
                <c:pt idx="1235">
                  <c:v>45589</c:v>
                </c:pt>
                <c:pt idx="1236">
                  <c:v>45590</c:v>
                </c:pt>
                <c:pt idx="1237">
                  <c:v>45593</c:v>
                </c:pt>
                <c:pt idx="1238">
                  <c:v>45594</c:v>
                </c:pt>
                <c:pt idx="1239">
                  <c:v>45595</c:v>
                </c:pt>
                <c:pt idx="1240">
                  <c:v>45596</c:v>
                </c:pt>
                <c:pt idx="1241">
                  <c:v>45597</c:v>
                </c:pt>
                <c:pt idx="1242">
                  <c:v>45600</c:v>
                </c:pt>
                <c:pt idx="1243">
                  <c:v>45601</c:v>
                </c:pt>
                <c:pt idx="1244">
                  <c:v>45602</c:v>
                </c:pt>
                <c:pt idx="1245">
                  <c:v>45603</c:v>
                </c:pt>
                <c:pt idx="1246">
                  <c:v>45604</c:v>
                </c:pt>
                <c:pt idx="1247">
                  <c:v>45607</c:v>
                </c:pt>
                <c:pt idx="1248">
                  <c:v>45608</c:v>
                </c:pt>
                <c:pt idx="1249">
                  <c:v>45609</c:v>
                </c:pt>
                <c:pt idx="1250">
                  <c:v>45610</c:v>
                </c:pt>
                <c:pt idx="1251">
                  <c:v>45611</c:v>
                </c:pt>
                <c:pt idx="1252">
                  <c:v>45614</c:v>
                </c:pt>
                <c:pt idx="1253">
                  <c:v>45615</c:v>
                </c:pt>
                <c:pt idx="1254">
                  <c:v>45616</c:v>
                </c:pt>
                <c:pt idx="1255">
                  <c:v>45617</c:v>
                </c:pt>
                <c:pt idx="1256">
                  <c:v>45618</c:v>
                </c:pt>
              </c:numCache>
            </c:numRef>
          </c:cat>
          <c:val>
            <c:numRef>
              <c:f>'Loblaws Share Price'!$D$4:$D$1260</c:f>
              <c:numCache>
                <c:formatCode>0.00</c:formatCode>
                <c:ptCount val="1257"/>
                <c:pt idx="0">
                  <c:v>51262000</c:v>
                </c:pt>
                <c:pt idx="1">
                  <c:v>51831000</c:v>
                </c:pt>
                <c:pt idx="2">
                  <c:v>47604000</c:v>
                </c:pt>
                <c:pt idx="3">
                  <c:v>143000000</c:v>
                </c:pt>
                <c:pt idx="4">
                  <c:v>55042000</c:v>
                </c:pt>
                <c:pt idx="5">
                  <c:v>30755000</c:v>
                </c:pt>
                <c:pt idx="6">
                  <c:v>47467000</c:v>
                </c:pt>
                <c:pt idx="7">
                  <c:v>84398000</c:v>
                </c:pt>
                <c:pt idx="8">
                  <c:v>50578000</c:v>
                </c:pt>
                <c:pt idx="9">
                  <c:v>46022000</c:v>
                </c:pt>
                <c:pt idx="10">
                  <c:v>40907000</c:v>
                </c:pt>
                <c:pt idx="11">
                  <c:v>29749000</c:v>
                </c:pt>
                <c:pt idx="12">
                  <c:v>23383000</c:v>
                </c:pt>
                <c:pt idx="13">
                  <c:v>58119000</c:v>
                </c:pt>
                <c:pt idx="14">
                  <c:v>51804000</c:v>
                </c:pt>
                <c:pt idx="15">
                  <c:v>105000000</c:v>
                </c:pt>
                <c:pt idx="16">
                  <c:v>61971000</c:v>
                </c:pt>
                <c:pt idx="17">
                  <c:v>29256000</c:v>
                </c:pt>
                <c:pt idx="18">
                  <c:v>50824000</c:v>
                </c:pt>
                <c:pt idx="19">
                  <c:v>58380000</c:v>
                </c:pt>
                <c:pt idx="20">
                  <c:v>54861000</c:v>
                </c:pt>
                <c:pt idx="21">
                  <c:v>119000000</c:v>
                </c:pt>
                <c:pt idx="22">
                  <c:v>21332000</c:v>
                </c:pt>
                <c:pt idx="23">
                  <c:v>10864000</c:v>
                </c:pt>
                <c:pt idx="24">
                  <c:v>14490000</c:v>
                </c:pt>
                <c:pt idx="25">
                  <c:v>24041000</c:v>
                </c:pt>
                <c:pt idx="26">
                  <c:v>21309000</c:v>
                </c:pt>
                <c:pt idx="27">
                  <c:v>29436000</c:v>
                </c:pt>
                <c:pt idx="28">
                  <c:v>40503000</c:v>
                </c:pt>
                <c:pt idx="29">
                  <c:v>34852000</c:v>
                </c:pt>
                <c:pt idx="30">
                  <c:v>35736000</c:v>
                </c:pt>
                <c:pt idx="31">
                  <c:v>49844000</c:v>
                </c:pt>
                <c:pt idx="32">
                  <c:v>33008000</c:v>
                </c:pt>
                <c:pt idx="33">
                  <c:v>36516000</c:v>
                </c:pt>
                <c:pt idx="34">
                  <c:v>56479000</c:v>
                </c:pt>
                <c:pt idx="35">
                  <c:v>50327000</c:v>
                </c:pt>
                <c:pt idx="36">
                  <c:v>37997000</c:v>
                </c:pt>
                <c:pt idx="37">
                  <c:v>44492000</c:v>
                </c:pt>
                <c:pt idx="38">
                  <c:v>32147000</c:v>
                </c:pt>
                <c:pt idx="39">
                  <c:v>18086000</c:v>
                </c:pt>
                <c:pt idx="40">
                  <c:v>40757000</c:v>
                </c:pt>
                <c:pt idx="41">
                  <c:v>47433000</c:v>
                </c:pt>
                <c:pt idx="42">
                  <c:v>40257000</c:v>
                </c:pt>
                <c:pt idx="43">
                  <c:v>23766000</c:v>
                </c:pt>
                <c:pt idx="44">
                  <c:v>36924000</c:v>
                </c:pt>
                <c:pt idx="45">
                  <c:v>44882000</c:v>
                </c:pt>
                <c:pt idx="46">
                  <c:v>42017000</c:v>
                </c:pt>
                <c:pt idx="47">
                  <c:v>42472000</c:v>
                </c:pt>
                <c:pt idx="48">
                  <c:v>34500000</c:v>
                </c:pt>
                <c:pt idx="49">
                  <c:v>29775000</c:v>
                </c:pt>
                <c:pt idx="50">
                  <c:v>37086000</c:v>
                </c:pt>
                <c:pt idx="51">
                  <c:v>41160000</c:v>
                </c:pt>
                <c:pt idx="52">
                  <c:v>30514000</c:v>
                </c:pt>
                <c:pt idx="53">
                  <c:v>33616000</c:v>
                </c:pt>
                <c:pt idx="54">
                  <c:v>21993000</c:v>
                </c:pt>
                <c:pt idx="55">
                  <c:v>24846000</c:v>
                </c:pt>
                <c:pt idx="56">
                  <c:v>39734000</c:v>
                </c:pt>
                <c:pt idx="57">
                  <c:v>31940000</c:v>
                </c:pt>
                <c:pt idx="58">
                  <c:v>20310000</c:v>
                </c:pt>
                <c:pt idx="59">
                  <c:v>27421000</c:v>
                </c:pt>
                <c:pt idx="60">
                  <c:v>54529000</c:v>
                </c:pt>
                <c:pt idx="61">
                  <c:v>51872000</c:v>
                </c:pt>
                <c:pt idx="62">
                  <c:v>61837000</c:v>
                </c:pt>
                <c:pt idx="63">
                  <c:v>44929000</c:v>
                </c:pt>
                <c:pt idx="64">
                  <c:v>70325000</c:v>
                </c:pt>
                <c:pt idx="65">
                  <c:v>74245000</c:v>
                </c:pt>
                <c:pt idx="66">
                  <c:v>48859000</c:v>
                </c:pt>
                <c:pt idx="67">
                  <c:v>179000000</c:v>
                </c:pt>
                <c:pt idx="68">
                  <c:v>143000000</c:v>
                </c:pt>
                <c:pt idx="69">
                  <c:v>131000000</c:v>
                </c:pt>
                <c:pt idx="70">
                  <c:v>95382000</c:v>
                </c:pt>
                <c:pt idx="71">
                  <c:v>92413000</c:v>
                </c:pt>
                <c:pt idx="72">
                  <c:v>106000000</c:v>
                </c:pt>
                <c:pt idx="73">
                  <c:v>161000000</c:v>
                </c:pt>
                <c:pt idx="74">
                  <c:v>148000000</c:v>
                </c:pt>
                <c:pt idx="75">
                  <c:v>154000000</c:v>
                </c:pt>
                <c:pt idx="76">
                  <c:v>193000000</c:v>
                </c:pt>
                <c:pt idx="77">
                  <c:v>209000000</c:v>
                </c:pt>
                <c:pt idx="78">
                  <c:v>170000000</c:v>
                </c:pt>
                <c:pt idx="79">
                  <c:v>213000000</c:v>
                </c:pt>
                <c:pt idx="80">
                  <c:v>179000000</c:v>
                </c:pt>
                <c:pt idx="81">
                  <c:v>155000000</c:v>
                </c:pt>
                <c:pt idx="82">
                  <c:v>215000000</c:v>
                </c:pt>
                <c:pt idx="83">
                  <c:v>120000000</c:v>
                </c:pt>
                <c:pt idx="84">
                  <c:v>111000000</c:v>
                </c:pt>
                <c:pt idx="85">
                  <c:v>110000000</c:v>
                </c:pt>
                <c:pt idx="86">
                  <c:v>90722000</c:v>
                </c:pt>
                <c:pt idx="87">
                  <c:v>63040000</c:v>
                </c:pt>
                <c:pt idx="88">
                  <c:v>76988000</c:v>
                </c:pt>
                <c:pt idx="89">
                  <c:v>128000000</c:v>
                </c:pt>
                <c:pt idx="90">
                  <c:v>152000000</c:v>
                </c:pt>
                <c:pt idx="91">
                  <c:v>81601000</c:v>
                </c:pt>
                <c:pt idx="92">
                  <c:v>76999000</c:v>
                </c:pt>
                <c:pt idx="93">
                  <c:v>110000000</c:v>
                </c:pt>
                <c:pt idx="94">
                  <c:v>114000000</c:v>
                </c:pt>
                <c:pt idx="95">
                  <c:v>71238000</c:v>
                </c:pt>
                <c:pt idx="96">
                  <c:v>116000000</c:v>
                </c:pt>
                <c:pt idx="97">
                  <c:v>53266000</c:v>
                </c:pt>
                <c:pt idx="98">
                  <c:v>68951000</c:v>
                </c:pt>
                <c:pt idx="99">
                  <c:v>80193000</c:v>
                </c:pt>
                <c:pt idx="100">
                  <c:v>60256000</c:v>
                </c:pt>
                <c:pt idx="101">
                  <c:v>75529000</c:v>
                </c:pt>
                <c:pt idx="102">
                  <c:v>44583000</c:v>
                </c:pt>
                <c:pt idx="103">
                  <c:v>66927000</c:v>
                </c:pt>
                <c:pt idx="104">
                  <c:v>83203000</c:v>
                </c:pt>
                <c:pt idx="105">
                  <c:v>57022000</c:v>
                </c:pt>
                <c:pt idx="106">
                  <c:v>56796000</c:v>
                </c:pt>
                <c:pt idx="107">
                  <c:v>50137000</c:v>
                </c:pt>
                <c:pt idx="108">
                  <c:v>103000000</c:v>
                </c:pt>
                <c:pt idx="109">
                  <c:v>107000000</c:v>
                </c:pt>
                <c:pt idx="110">
                  <c:v>141000000</c:v>
                </c:pt>
                <c:pt idx="111">
                  <c:v>45469000</c:v>
                </c:pt>
                <c:pt idx="112">
                  <c:v>52861000</c:v>
                </c:pt>
                <c:pt idx="113">
                  <c:v>93220000</c:v>
                </c:pt>
                <c:pt idx="114">
                  <c:v>62093000</c:v>
                </c:pt>
                <c:pt idx="115">
                  <c:v>59384000</c:v>
                </c:pt>
                <c:pt idx="116">
                  <c:v>44662000</c:v>
                </c:pt>
                <c:pt idx="117">
                  <c:v>63704000</c:v>
                </c:pt>
                <c:pt idx="118">
                  <c:v>54342000</c:v>
                </c:pt>
                <c:pt idx="119">
                  <c:v>51133000</c:v>
                </c:pt>
                <c:pt idx="120">
                  <c:v>41116000</c:v>
                </c:pt>
                <c:pt idx="121">
                  <c:v>55754000</c:v>
                </c:pt>
                <c:pt idx="122">
                  <c:v>67945000</c:v>
                </c:pt>
                <c:pt idx="123">
                  <c:v>74604000</c:v>
                </c:pt>
                <c:pt idx="124">
                  <c:v>71937000</c:v>
                </c:pt>
                <c:pt idx="125">
                  <c:v>75508000</c:v>
                </c:pt>
                <c:pt idx="126">
                  <c:v>23571000</c:v>
                </c:pt>
                <c:pt idx="127">
                  <c:v>82665000</c:v>
                </c:pt>
                <c:pt idx="128">
                  <c:v>117000000</c:v>
                </c:pt>
                <c:pt idx="129">
                  <c:v>72470000</c:v>
                </c:pt>
                <c:pt idx="130">
                  <c:v>110000000</c:v>
                </c:pt>
                <c:pt idx="131">
                  <c:v>42820000</c:v>
                </c:pt>
                <c:pt idx="132">
                  <c:v>57380000</c:v>
                </c:pt>
                <c:pt idx="133">
                  <c:v>58722000</c:v>
                </c:pt>
                <c:pt idx="134">
                  <c:v>61259000</c:v>
                </c:pt>
                <c:pt idx="135">
                  <c:v>70743000</c:v>
                </c:pt>
                <c:pt idx="136">
                  <c:v>98700000</c:v>
                </c:pt>
                <c:pt idx="137">
                  <c:v>62967000</c:v>
                </c:pt>
                <c:pt idx="138">
                  <c:v>84963000</c:v>
                </c:pt>
                <c:pt idx="139">
                  <c:v>87075000</c:v>
                </c:pt>
                <c:pt idx="140">
                  <c:v>133000000</c:v>
                </c:pt>
                <c:pt idx="141">
                  <c:v>74549000</c:v>
                </c:pt>
                <c:pt idx="142">
                  <c:v>84753000</c:v>
                </c:pt>
                <c:pt idx="143">
                  <c:v>81407000</c:v>
                </c:pt>
                <c:pt idx="144">
                  <c:v>40516000</c:v>
                </c:pt>
                <c:pt idx="145">
                  <c:v>295000000</c:v>
                </c:pt>
                <c:pt idx="146">
                  <c:v>98326000</c:v>
                </c:pt>
                <c:pt idx="147">
                  <c:v>127000000</c:v>
                </c:pt>
                <c:pt idx="148">
                  <c:v>105000000</c:v>
                </c:pt>
                <c:pt idx="149">
                  <c:v>46519000</c:v>
                </c:pt>
                <c:pt idx="150">
                  <c:v>49538000</c:v>
                </c:pt>
                <c:pt idx="151">
                  <c:v>73535000</c:v>
                </c:pt>
                <c:pt idx="152">
                  <c:v>68385000</c:v>
                </c:pt>
                <c:pt idx="153">
                  <c:v>68402000</c:v>
                </c:pt>
                <c:pt idx="154">
                  <c:v>23753000</c:v>
                </c:pt>
                <c:pt idx="155">
                  <c:v>44833000</c:v>
                </c:pt>
                <c:pt idx="156">
                  <c:v>37237000</c:v>
                </c:pt>
                <c:pt idx="157">
                  <c:v>35479000</c:v>
                </c:pt>
                <c:pt idx="158">
                  <c:v>29201000</c:v>
                </c:pt>
                <c:pt idx="159">
                  <c:v>32791000</c:v>
                </c:pt>
                <c:pt idx="160">
                  <c:v>44269000</c:v>
                </c:pt>
                <c:pt idx="161">
                  <c:v>66907000</c:v>
                </c:pt>
                <c:pt idx="162">
                  <c:v>55839000</c:v>
                </c:pt>
                <c:pt idx="163">
                  <c:v>27112000</c:v>
                </c:pt>
                <c:pt idx="164">
                  <c:v>36799000</c:v>
                </c:pt>
                <c:pt idx="165">
                  <c:v>28252000</c:v>
                </c:pt>
                <c:pt idx="166">
                  <c:v>44948000</c:v>
                </c:pt>
                <c:pt idx="167">
                  <c:v>40025000</c:v>
                </c:pt>
                <c:pt idx="168">
                  <c:v>66520000</c:v>
                </c:pt>
                <c:pt idx="169">
                  <c:v>35744000</c:v>
                </c:pt>
                <c:pt idx="170">
                  <c:v>22245000</c:v>
                </c:pt>
                <c:pt idx="171">
                  <c:v>31005000</c:v>
                </c:pt>
                <c:pt idx="172">
                  <c:v>68720000</c:v>
                </c:pt>
                <c:pt idx="173">
                  <c:v>34126000</c:v>
                </c:pt>
                <c:pt idx="174">
                  <c:v>36046000</c:v>
                </c:pt>
                <c:pt idx="175">
                  <c:v>48375000</c:v>
                </c:pt>
                <c:pt idx="176">
                  <c:v>29750000</c:v>
                </c:pt>
                <c:pt idx="177">
                  <c:v>44622000</c:v>
                </c:pt>
                <c:pt idx="178">
                  <c:v>28957000</c:v>
                </c:pt>
                <c:pt idx="179">
                  <c:v>50921000</c:v>
                </c:pt>
                <c:pt idx="180">
                  <c:v>71000000</c:v>
                </c:pt>
                <c:pt idx="181">
                  <c:v>64736000</c:v>
                </c:pt>
                <c:pt idx="182">
                  <c:v>61187000</c:v>
                </c:pt>
                <c:pt idx="183">
                  <c:v>69675000</c:v>
                </c:pt>
                <c:pt idx="184">
                  <c:v>43378000</c:v>
                </c:pt>
                <c:pt idx="185">
                  <c:v>42942000</c:v>
                </c:pt>
                <c:pt idx="186">
                  <c:v>68875000</c:v>
                </c:pt>
                <c:pt idx="187">
                  <c:v>46151000</c:v>
                </c:pt>
                <c:pt idx="188">
                  <c:v>68890000</c:v>
                </c:pt>
                <c:pt idx="189">
                  <c:v>54746000</c:v>
                </c:pt>
                <c:pt idx="190">
                  <c:v>38209000</c:v>
                </c:pt>
                <c:pt idx="191">
                  <c:v>60515000</c:v>
                </c:pt>
                <c:pt idx="192">
                  <c:v>37460000</c:v>
                </c:pt>
                <c:pt idx="193">
                  <c:v>42266000</c:v>
                </c:pt>
                <c:pt idx="194">
                  <c:v>85414000</c:v>
                </c:pt>
                <c:pt idx="195">
                  <c:v>76386000</c:v>
                </c:pt>
                <c:pt idx="196">
                  <c:v>72861000</c:v>
                </c:pt>
                <c:pt idx="197">
                  <c:v>60696000</c:v>
                </c:pt>
                <c:pt idx="198">
                  <c:v>77820000</c:v>
                </c:pt>
                <c:pt idx="199">
                  <c:v>166000000</c:v>
                </c:pt>
                <c:pt idx="200">
                  <c:v>63999000</c:v>
                </c:pt>
                <c:pt idx="201">
                  <c:v>53730000</c:v>
                </c:pt>
                <c:pt idx="202">
                  <c:v>62653000</c:v>
                </c:pt>
                <c:pt idx="203">
                  <c:v>80493000</c:v>
                </c:pt>
                <c:pt idx="204">
                  <c:v>58818000</c:v>
                </c:pt>
                <c:pt idx="205">
                  <c:v>58961000</c:v>
                </c:pt>
                <c:pt idx="206">
                  <c:v>57778000</c:v>
                </c:pt>
                <c:pt idx="207">
                  <c:v>163000000</c:v>
                </c:pt>
                <c:pt idx="208">
                  <c:v>43752000</c:v>
                </c:pt>
                <c:pt idx="209">
                  <c:v>61860000</c:v>
                </c:pt>
                <c:pt idx="210">
                  <c:v>42986000</c:v>
                </c:pt>
                <c:pt idx="211">
                  <c:v>78108000</c:v>
                </c:pt>
                <c:pt idx="212">
                  <c:v>140000000</c:v>
                </c:pt>
                <c:pt idx="213">
                  <c:v>45337000</c:v>
                </c:pt>
                <c:pt idx="214">
                  <c:v>32618000</c:v>
                </c:pt>
                <c:pt idx="215">
                  <c:v>53334000</c:v>
                </c:pt>
                <c:pt idx="216">
                  <c:v>39411000</c:v>
                </c:pt>
                <c:pt idx="217">
                  <c:v>35059000</c:v>
                </c:pt>
                <c:pt idx="218">
                  <c:v>57416000</c:v>
                </c:pt>
                <c:pt idx="219">
                  <c:v>51358000</c:v>
                </c:pt>
                <c:pt idx="220">
                  <c:v>29538000</c:v>
                </c:pt>
                <c:pt idx="221">
                  <c:v>135000000</c:v>
                </c:pt>
                <c:pt idx="222">
                  <c:v>35434000</c:v>
                </c:pt>
                <c:pt idx="223">
                  <c:v>38834000</c:v>
                </c:pt>
                <c:pt idx="224">
                  <c:v>42816000</c:v>
                </c:pt>
                <c:pt idx="225">
                  <c:v>34025000</c:v>
                </c:pt>
                <c:pt idx="226">
                  <c:v>31387000</c:v>
                </c:pt>
                <c:pt idx="227">
                  <c:v>37959000</c:v>
                </c:pt>
                <c:pt idx="228">
                  <c:v>53073000</c:v>
                </c:pt>
                <c:pt idx="229">
                  <c:v>25852000</c:v>
                </c:pt>
                <c:pt idx="230">
                  <c:v>71419000</c:v>
                </c:pt>
                <c:pt idx="231">
                  <c:v>28191000</c:v>
                </c:pt>
                <c:pt idx="232">
                  <c:v>32845000</c:v>
                </c:pt>
                <c:pt idx="233">
                  <c:v>32253000</c:v>
                </c:pt>
                <c:pt idx="234">
                  <c:v>51296000</c:v>
                </c:pt>
                <c:pt idx="235">
                  <c:v>37327000</c:v>
                </c:pt>
                <c:pt idx="236">
                  <c:v>66393000</c:v>
                </c:pt>
                <c:pt idx="237">
                  <c:v>32427000</c:v>
                </c:pt>
                <c:pt idx="238">
                  <c:v>38044000</c:v>
                </c:pt>
                <c:pt idx="239">
                  <c:v>101000000</c:v>
                </c:pt>
                <c:pt idx="240">
                  <c:v>99739000</c:v>
                </c:pt>
                <c:pt idx="241">
                  <c:v>89477000</c:v>
                </c:pt>
                <c:pt idx="242">
                  <c:v>97603000</c:v>
                </c:pt>
                <c:pt idx="243">
                  <c:v>85671000</c:v>
                </c:pt>
                <c:pt idx="244">
                  <c:v>65351000</c:v>
                </c:pt>
                <c:pt idx="245">
                  <c:v>73645000</c:v>
                </c:pt>
                <c:pt idx="246">
                  <c:v>130000000</c:v>
                </c:pt>
                <c:pt idx="247">
                  <c:v>156000000</c:v>
                </c:pt>
                <c:pt idx="248">
                  <c:v>116000000</c:v>
                </c:pt>
                <c:pt idx="249">
                  <c:v>118000000</c:v>
                </c:pt>
                <c:pt idx="250">
                  <c:v>56032000</c:v>
                </c:pt>
                <c:pt idx="251">
                  <c:v>64988000</c:v>
                </c:pt>
                <c:pt idx="252">
                  <c:v>80917000</c:v>
                </c:pt>
                <c:pt idx="253">
                  <c:v>82811000</c:v>
                </c:pt>
                <c:pt idx="254">
                  <c:v>80427000</c:v>
                </c:pt>
                <c:pt idx="255">
                  <c:v>20271000</c:v>
                </c:pt>
                <c:pt idx="256">
                  <c:v>44131000</c:v>
                </c:pt>
                <c:pt idx="257">
                  <c:v>119000000</c:v>
                </c:pt>
                <c:pt idx="258">
                  <c:v>69216000</c:v>
                </c:pt>
                <c:pt idx="259">
                  <c:v>68880000</c:v>
                </c:pt>
                <c:pt idx="260">
                  <c:v>59094000</c:v>
                </c:pt>
                <c:pt idx="261">
                  <c:v>86035000</c:v>
                </c:pt>
                <c:pt idx="262">
                  <c:v>85896000</c:v>
                </c:pt>
                <c:pt idx="263">
                  <c:v>102000000</c:v>
                </c:pt>
                <c:pt idx="264">
                  <c:v>122000000</c:v>
                </c:pt>
                <c:pt idx="265">
                  <c:v>84857000</c:v>
                </c:pt>
                <c:pt idx="266">
                  <c:v>83461000</c:v>
                </c:pt>
                <c:pt idx="267">
                  <c:v>100000000</c:v>
                </c:pt>
                <c:pt idx="268">
                  <c:v>101000000</c:v>
                </c:pt>
                <c:pt idx="269">
                  <c:v>92815000</c:v>
                </c:pt>
                <c:pt idx="270">
                  <c:v>69030000</c:v>
                </c:pt>
                <c:pt idx="271">
                  <c:v>150000000</c:v>
                </c:pt>
                <c:pt idx="272">
                  <c:v>378000000</c:v>
                </c:pt>
                <c:pt idx="273">
                  <c:v>59611000</c:v>
                </c:pt>
                <c:pt idx="274">
                  <c:v>41920000</c:v>
                </c:pt>
                <c:pt idx="275">
                  <c:v>23542000</c:v>
                </c:pt>
                <c:pt idx="276">
                  <c:v>36037000</c:v>
                </c:pt>
                <c:pt idx="277">
                  <c:v>29288000</c:v>
                </c:pt>
                <c:pt idx="278">
                  <c:v>39341000</c:v>
                </c:pt>
                <c:pt idx="279">
                  <c:v>34094000</c:v>
                </c:pt>
                <c:pt idx="280">
                  <c:v>45314000</c:v>
                </c:pt>
                <c:pt idx="281">
                  <c:v>66148000</c:v>
                </c:pt>
                <c:pt idx="282">
                  <c:v>60314000</c:v>
                </c:pt>
                <c:pt idx="283">
                  <c:v>46950000</c:v>
                </c:pt>
                <c:pt idx="284">
                  <c:v>47685000</c:v>
                </c:pt>
                <c:pt idx="285">
                  <c:v>47829000</c:v>
                </c:pt>
                <c:pt idx="286">
                  <c:v>58432000</c:v>
                </c:pt>
                <c:pt idx="287">
                  <c:v>47249000</c:v>
                </c:pt>
                <c:pt idx="288">
                  <c:v>61576000</c:v>
                </c:pt>
                <c:pt idx="289">
                  <c:v>18781000</c:v>
                </c:pt>
                <c:pt idx="290">
                  <c:v>55642000</c:v>
                </c:pt>
                <c:pt idx="291">
                  <c:v>84362000</c:v>
                </c:pt>
                <c:pt idx="292">
                  <c:v>76562000</c:v>
                </c:pt>
                <c:pt idx="293">
                  <c:v>40696000</c:v>
                </c:pt>
                <c:pt idx="294">
                  <c:v>56321000</c:v>
                </c:pt>
                <c:pt idx="295">
                  <c:v>62500000</c:v>
                </c:pt>
                <c:pt idx="296">
                  <c:v>71320000</c:v>
                </c:pt>
                <c:pt idx="297">
                  <c:v>61346000</c:v>
                </c:pt>
                <c:pt idx="298">
                  <c:v>94197000</c:v>
                </c:pt>
                <c:pt idx="299">
                  <c:v>88047000</c:v>
                </c:pt>
                <c:pt idx="300">
                  <c:v>64323000</c:v>
                </c:pt>
                <c:pt idx="301">
                  <c:v>89794000</c:v>
                </c:pt>
                <c:pt idx="302">
                  <c:v>43926000</c:v>
                </c:pt>
                <c:pt idx="303">
                  <c:v>59018000</c:v>
                </c:pt>
                <c:pt idx="304">
                  <c:v>41734000</c:v>
                </c:pt>
                <c:pt idx="305">
                  <c:v>43572000</c:v>
                </c:pt>
                <c:pt idx="306">
                  <c:v>56143000</c:v>
                </c:pt>
                <c:pt idx="307">
                  <c:v>41119000</c:v>
                </c:pt>
                <c:pt idx="308">
                  <c:v>44049000</c:v>
                </c:pt>
                <c:pt idx="309">
                  <c:v>49167000</c:v>
                </c:pt>
                <c:pt idx="310">
                  <c:v>50064000</c:v>
                </c:pt>
                <c:pt idx="311">
                  <c:v>55307000</c:v>
                </c:pt>
                <c:pt idx="312">
                  <c:v>62147000</c:v>
                </c:pt>
                <c:pt idx="313">
                  <c:v>70584000</c:v>
                </c:pt>
                <c:pt idx="314">
                  <c:v>66126000</c:v>
                </c:pt>
                <c:pt idx="315">
                  <c:v>72713000</c:v>
                </c:pt>
                <c:pt idx="316">
                  <c:v>114000000</c:v>
                </c:pt>
                <c:pt idx="317">
                  <c:v>180000000</c:v>
                </c:pt>
                <c:pt idx="318">
                  <c:v>113000000</c:v>
                </c:pt>
                <c:pt idx="319">
                  <c:v>90491000</c:v>
                </c:pt>
                <c:pt idx="320">
                  <c:v>86626000</c:v>
                </c:pt>
                <c:pt idx="321">
                  <c:v>130000000</c:v>
                </c:pt>
                <c:pt idx="322">
                  <c:v>96999000</c:v>
                </c:pt>
                <c:pt idx="323">
                  <c:v>105000000</c:v>
                </c:pt>
                <c:pt idx="324">
                  <c:v>87778000</c:v>
                </c:pt>
                <c:pt idx="325">
                  <c:v>86760000</c:v>
                </c:pt>
                <c:pt idx="326">
                  <c:v>107000000</c:v>
                </c:pt>
                <c:pt idx="327">
                  <c:v>87442000</c:v>
                </c:pt>
                <c:pt idx="328">
                  <c:v>91205000</c:v>
                </c:pt>
                <c:pt idx="329">
                  <c:v>107000000</c:v>
                </c:pt>
                <c:pt idx="330">
                  <c:v>104000000</c:v>
                </c:pt>
                <c:pt idx="331">
                  <c:v>73706000</c:v>
                </c:pt>
                <c:pt idx="332">
                  <c:v>199000000</c:v>
                </c:pt>
                <c:pt idx="333">
                  <c:v>82364000</c:v>
                </c:pt>
                <c:pt idx="334">
                  <c:v>98912000</c:v>
                </c:pt>
                <c:pt idx="335">
                  <c:v>60948000</c:v>
                </c:pt>
                <c:pt idx="336">
                  <c:v>63118000</c:v>
                </c:pt>
                <c:pt idx="337">
                  <c:v>49961000</c:v>
                </c:pt>
                <c:pt idx="338">
                  <c:v>79091000</c:v>
                </c:pt>
                <c:pt idx="339">
                  <c:v>47105000</c:v>
                </c:pt>
                <c:pt idx="340">
                  <c:v>70180000</c:v>
                </c:pt>
                <c:pt idx="341">
                  <c:v>47495000</c:v>
                </c:pt>
                <c:pt idx="342">
                  <c:v>21212000</c:v>
                </c:pt>
                <c:pt idx="343">
                  <c:v>35077000</c:v>
                </c:pt>
                <c:pt idx="344">
                  <c:v>32776000</c:v>
                </c:pt>
                <c:pt idx="345">
                  <c:v>51957000</c:v>
                </c:pt>
                <c:pt idx="346">
                  <c:v>36024000</c:v>
                </c:pt>
                <c:pt idx="347">
                  <c:v>25690000</c:v>
                </c:pt>
                <c:pt idx="348">
                  <c:v>32619000</c:v>
                </c:pt>
                <c:pt idx="349">
                  <c:v>34186000</c:v>
                </c:pt>
                <c:pt idx="350">
                  <c:v>32622000</c:v>
                </c:pt>
                <c:pt idx="351">
                  <c:v>27316000</c:v>
                </c:pt>
                <c:pt idx="352">
                  <c:v>25100000</c:v>
                </c:pt>
                <c:pt idx="353">
                  <c:v>34822000</c:v>
                </c:pt>
                <c:pt idx="354">
                  <c:v>22640000</c:v>
                </c:pt>
                <c:pt idx="355">
                  <c:v>33242000</c:v>
                </c:pt>
                <c:pt idx="356">
                  <c:v>25103000</c:v>
                </c:pt>
                <c:pt idx="357">
                  <c:v>22413000</c:v>
                </c:pt>
                <c:pt idx="358">
                  <c:v>50191000</c:v>
                </c:pt>
                <c:pt idx="359">
                  <c:v>44441000</c:v>
                </c:pt>
                <c:pt idx="360">
                  <c:v>46246000</c:v>
                </c:pt>
                <c:pt idx="361">
                  <c:v>75136000</c:v>
                </c:pt>
                <c:pt idx="362">
                  <c:v>18275000</c:v>
                </c:pt>
                <c:pt idx="363">
                  <c:v>29937000</c:v>
                </c:pt>
                <c:pt idx="364">
                  <c:v>37438000</c:v>
                </c:pt>
                <c:pt idx="365">
                  <c:v>80343000</c:v>
                </c:pt>
                <c:pt idx="366">
                  <c:v>70041000</c:v>
                </c:pt>
                <c:pt idx="367">
                  <c:v>80401000</c:v>
                </c:pt>
                <c:pt idx="368">
                  <c:v>78460000</c:v>
                </c:pt>
                <c:pt idx="369">
                  <c:v>86573000</c:v>
                </c:pt>
                <c:pt idx="370">
                  <c:v>86902000</c:v>
                </c:pt>
                <c:pt idx="371">
                  <c:v>68588000</c:v>
                </c:pt>
                <c:pt idx="372">
                  <c:v>70721000</c:v>
                </c:pt>
                <c:pt idx="373">
                  <c:v>78440000</c:v>
                </c:pt>
                <c:pt idx="374">
                  <c:v>147000000</c:v>
                </c:pt>
                <c:pt idx="375">
                  <c:v>99709000</c:v>
                </c:pt>
                <c:pt idx="376">
                  <c:v>81231000</c:v>
                </c:pt>
                <c:pt idx="377">
                  <c:v>103000000</c:v>
                </c:pt>
                <c:pt idx="378">
                  <c:v>80874000</c:v>
                </c:pt>
                <c:pt idx="379">
                  <c:v>122000000</c:v>
                </c:pt>
                <c:pt idx="380">
                  <c:v>50833000</c:v>
                </c:pt>
                <c:pt idx="381">
                  <c:v>23532000</c:v>
                </c:pt>
                <c:pt idx="382">
                  <c:v>60148000</c:v>
                </c:pt>
                <c:pt idx="383">
                  <c:v>45485000</c:v>
                </c:pt>
                <c:pt idx="384">
                  <c:v>54807000</c:v>
                </c:pt>
                <c:pt idx="385">
                  <c:v>25365000</c:v>
                </c:pt>
                <c:pt idx="386">
                  <c:v>56501000</c:v>
                </c:pt>
                <c:pt idx="387">
                  <c:v>34719000</c:v>
                </c:pt>
                <c:pt idx="388">
                  <c:v>55463000</c:v>
                </c:pt>
                <c:pt idx="389">
                  <c:v>40326000</c:v>
                </c:pt>
                <c:pt idx="390">
                  <c:v>19471000</c:v>
                </c:pt>
                <c:pt idx="391">
                  <c:v>40738000</c:v>
                </c:pt>
                <c:pt idx="392">
                  <c:v>26376000</c:v>
                </c:pt>
                <c:pt idx="393">
                  <c:v>35101000</c:v>
                </c:pt>
                <c:pt idx="394">
                  <c:v>50557000</c:v>
                </c:pt>
                <c:pt idx="395">
                  <c:v>108000000</c:v>
                </c:pt>
                <c:pt idx="396">
                  <c:v>31451000</c:v>
                </c:pt>
                <c:pt idx="397">
                  <c:v>44840000</c:v>
                </c:pt>
                <c:pt idx="398">
                  <c:v>69233000</c:v>
                </c:pt>
                <c:pt idx="399">
                  <c:v>46572000</c:v>
                </c:pt>
                <c:pt idx="400">
                  <c:v>54270000</c:v>
                </c:pt>
                <c:pt idx="401">
                  <c:v>46474000</c:v>
                </c:pt>
                <c:pt idx="402">
                  <c:v>25955000</c:v>
                </c:pt>
                <c:pt idx="403">
                  <c:v>53647000</c:v>
                </c:pt>
                <c:pt idx="404">
                  <c:v>38238000</c:v>
                </c:pt>
                <c:pt idx="405">
                  <c:v>11851000</c:v>
                </c:pt>
                <c:pt idx="406">
                  <c:v>33822000</c:v>
                </c:pt>
                <c:pt idx="407">
                  <c:v>39670000</c:v>
                </c:pt>
                <c:pt idx="408">
                  <c:v>59746000</c:v>
                </c:pt>
                <c:pt idx="409">
                  <c:v>40606000</c:v>
                </c:pt>
                <c:pt idx="410">
                  <c:v>18817000</c:v>
                </c:pt>
                <c:pt idx="411">
                  <c:v>34042000</c:v>
                </c:pt>
                <c:pt idx="412">
                  <c:v>28918000</c:v>
                </c:pt>
                <c:pt idx="413">
                  <c:v>40095000</c:v>
                </c:pt>
                <c:pt idx="414">
                  <c:v>29018000</c:v>
                </c:pt>
                <c:pt idx="415">
                  <c:v>53889000</c:v>
                </c:pt>
                <c:pt idx="416">
                  <c:v>36501000</c:v>
                </c:pt>
                <c:pt idx="417">
                  <c:v>33478000</c:v>
                </c:pt>
                <c:pt idx="418">
                  <c:v>19304000</c:v>
                </c:pt>
                <c:pt idx="419">
                  <c:v>27269000</c:v>
                </c:pt>
                <c:pt idx="420">
                  <c:v>24150000</c:v>
                </c:pt>
                <c:pt idx="421">
                  <c:v>34748000</c:v>
                </c:pt>
                <c:pt idx="422">
                  <c:v>42099000</c:v>
                </c:pt>
                <c:pt idx="423">
                  <c:v>65523000</c:v>
                </c:pt>
                <c:pt idx="424">
                  <c:v>52086000</c:v>
                </c:pt>
                <c:pt idx="425">
                  <c:v>62970000</c:v>
                </c:pt>
                <c:pt idx="426">
                  <c:v>48962000</c:v>
                </c:pt>
                <c:pt idx="427">
                  <c:v>31102000</c:v>
                </c:pt>
                <c:pt idx="428">
                  <c:v>24555000</c:v>
                </c:pt>
                <c:pt idx="429">
                  <c:v>42153000</c:v>
                </c:pt>
                <c:pt idx="430">
                  <c:v>47630000</c:v>
                </c:pt>
                <c:pt idx="431">
                  <c:v>56510000</c:v>
                </c:pt>
                <c:pt idx="432">
                  <c:v>63435000</c:v>
                </c:pt>
                <c:pt idx="433">
                  <c:v>57319000</c:v>
                </c:pt>
                <c:pt idx="434">
                  <c:v>45039000</c:v>
                </c:pt>
                <c:pt idx="435">
                  <c:v>67429000</c:v>
                </c:pt>
                <c:pt idx="436">
                  <c:v>94736000</c:v>
                </c:pt>
                <c:pt idx="437">
                  <c:v>71628000</c:v>
                </c:pt>
                <c:pt idx="438">
                  <c:v>61310000</c:v>
                </c:pt>
                <c:pt idx="439">
                  <c:v>40139000</c:v>
                </c:pt>
                <c:pt idx="440">
                  <c:v>37696000</c:v>
                </c:pt>
                <c:pt idx="441">
                  <c:v>29869000</c:v>
                </c:pt>
                <c:pt idx="442">
                  <c:v>32261000</c:v>
                </c:pt>
                <c:pt idx="443">
                  <c:v>37994000</c:v>
                </c:pt>
                <c:pt idx="444">
                  <c:v>22275000</c:v>
                </c:pt>
                <c:pt idx="445">
                  <c:v>89276000</c:v>
                </c:pt>
                <c:pt idx="446">
                  <c:v>64065000</c:v>
                </c:pt>
                <c:pt idx="447">
                  <c:v>34341000</c:v>
                </c:pt>
                <c:pt idx="448">
                  <c:v>26327000</c:v>
                </c:pt>
                <c:pt idx="449">
                  <c:v>55135000</c:v>
                </c:pt>
                <c:pt idx="450">
                  <c:v>64970000</c:v>
                </c:pt>
                <c:pt idx="451">
                  <c:v>99812000</c:v>
                </c:pt>
                <c:pt idx="452">
                  <c:v>52172000</c:v>
                </c:pt>
                <c:pt idx="453">
                  <c:v>74348000</c:v>
                </c:pt>
                <c:pt idx="454">
                  <c:v>49893000</c:v>
                </c:pt>
                <c:pt idx="455">
                  <c:v>46665000</c:v>
                </c:pt>
                <c:pt idx="456">
                  <c:v>28032000</c:v>
                </c:pt>
                <c:pt idx="457">
                  <c:v>176000000</c:v>
                </c:pt>
                <c:pt idx="458">
                  <c:v>36814000</c:v>
                </c:pt>
                <c:pt idx="459">
                  <c:v>35213000</c:v>
                </c:pt>
                <c:pt idx="460">
                  <c:v>40959000</c:v>
                </c:pt>
                <c:pt idx="461">
                  <c:v>31726000</c:v>
                </c:pt>
                <c:pt idx="462">
                  <c:v>34713000</c:v>
                </c:pt>
                <c:pt idx="463">
                  <c:v>32969000</c:v>
                </c:pt>
                <c:pt idx="464">
                  <c:v>31661000</c:v>
                </c:pt>
                <c:pt idx="465">
                  <c:v>59802000</c:v>
                </c:pt>
                <c:pt idx="466">
                  <c:v>56934000</c:v>
                </c:pt>
                <c:pt idx="467">
                  <c:v>31408000</c:v>
                </c:pt>
                <c:pt idx="468">
                  <c:v>53074000</c:v>
                </c:pt>
                <c:pt idx="469">
                  <c:v>84412000</c:v>
                </c:pt>
                <c:pt idx="470">
                  <c:v>101000000</c:v>
                </c:pt>
                <c:pt idx="471">
                  <c:v>53834000</c:v>
                </c:pt>
                <c:pt idx="472">
                  <c:v>42890000</c:v>
                </c:pt>
                <c:pt idx="473">
                  <c:v>77601000</c:v>
                </c:pt>
                <c:pt idx="474">
                  <c:v>126000000</c:v>
                </c:pt>
                <c:pt idx="475">
                  <c:v>36144000</c:v>
                </c:pt>
                <c:pt idx="476">
                  <c:v>30893000</c:v>
                </c:pt>
                <c:pt idx="477">
                  <c:v>30568000</c:v>
                </c:pt>
                <c:pt idx="478">
                  <c:v>34617000</c:v>
                </c:pt>
                <c:pt idx="479">
                  <c:v>35673000</c:v>
                </c:pt>
                <c:pt idx="480">
                  <c:v>32717000</c:v>
                </c:pt>
                <c:pt idx="481">
                  <c:v>21777000</c:v>
                </c:pt>
                <c:pt idx="482">
                  <c:v>49164000</c:v>
                </c:pt>
                <c:pt idx="483">
                  <c:v>50070000</c:v>
                </c:pt>
                <c:pt idx="484">
                  <c:v>51047000</c:v>
                </c:pt>
                <c:pt idx="485">
                  <c:v>41389000</c:v>
                </c:pt>
                <c:pt idx="486">
                  <c:v>51314000</c:v>
                </c:pt>
                <c:pt idx="487">
                  <c:v>25185000</c:v>
                </c:pt>
                <c:pt idx="488">
                  <c:v>35194000</c:v>
                </c:pt>
                <c:pt idx="489">
                  <c:v>36753000</c:v>
                </c:pt>
                <c:pt idx="490">
                  <c:v>32860000</c:v>
                </c:pt>
                <c:pt idx="491">
                  <c:v>30114000</c:v>
                </c:pt>
                <c:pt idx="492">
                  <c:v>32170000</c:v>
                </c:pt>
                <c:pt idx="493">
                  <c:v>37376000</c:v>
                </c:pt>
                <c:pt idx="494">
                  <c:v>19219000</c:v>
                </c:pt>
                <c:pt idx="495">
                  <c:v>24252000</c:v>
                </c:pt>
                <c:pt idx="496">
                  <c:v>25635000</c:v>
                </c:pt>
                <c:pt idx="497">
                  <c:v>31963000</c:v>
                </c:pt>
                <c:pt idx="498">
                  <c:v>32194000</c:v>
                </c:pt>
                <c:pt idx="499">
                  <c:v>55665000</c:v>
                </c:pt>
                <c:pt idx="500">
                  <c:v>66634000</c:v>
                </c:pt>
                <c:pt idx="501">
                  <c:v>55971000</c:v>
                </c:pt>
                <c:pt idx="502">
                  <c:v>101000000</c:v>
                </c:pt>
                <c:pt idx="503">
                  <c:v>85380000</c:v>
                </c:pt>
                <c:pt idx="504">
                  <c:v>81764000</c:v>
                </c:pt>
                <c:pt idx="505">
                  <c:v>42789000</c:v>
                </c:pt>
                <c:pt idx="506">
                  <c:v>76269000</c:v>
                </c:pt>
                <c:pt idx="507">
                  <c:v>73809000</c:v>
                </c:pt>
                <c:pt idx="508">
                  <c:v>130000000</c:v>
                </c:pt>
                <c:pt idx="509">
                  <c:v>36153000</c:v>
                </c:pt>
                <c:pt idx="510">
                  <c:v>54736000</c:v>
                </c:pt>
                <c:pt idx="511">
                  <c:v>27450000</c:v>
                </c:pt>
                <c:pt idx="512">
                  <c:v>25772000</c:v>
                </c:pt>
                <c:pt idx="513">
                  <c:v>42164000</c:v>
                </c:pt>
                <c:pt idx="514">
                  <c:v>67745000</c:v>
                </c:pt>
                <c:pt idx="515">
                  <c:v>60673000</c:v>
                </c:pt>
                <c:pt idx="516">
                  <c:v>56350000</c:v>
                </c:pt>
                <c:pt idx="517">
                  <c:v>74515000</c:v>
                </c:pt>
                <c:pt idx="518">
                  <c:v>44947000</c:v>
                </c:pt>
                <c:pt idx="519">
                  <c:v>83332000</c:v>
                </c:pt>
                <c:pt idx="520">
                  <c:v>54219000</c:v>
                </c:pt>
                <c:pt idx="521">
                  <c:v>134000000</c:v>
                </c:pt>
                <c:pt idx="522">
                  <c:v>52914000</c:v>
                </c:pt>
                <c:pt idx="523">
                  <c:v>39539000</c:v>
                </c:pt>
                <c:pt idx="524">
                  <c:v>32052000</c:v>
                </c:pt>
                <c:pt idx="525">
                  <c:v>46670000</c:v>
                </c:pt>
                <c:pt idx="526">
                  <c:v>11265000</c:v>
                </c:pt>
                <c:pt idx="527">
                  <c:v>34917000</c:v>
                </c:pt>
                <c:pt idx="528">
                  <c:v>12605000</c:v>
                </c:pt>
                <c:pt idx="529">
                  <c:v>17873000</c:v>
                </c:pt>
                <c:pt idx="530">
                  <c:v>34264000</c:v>
                </c:pt>
                <c:pt idx="531">
                  <c:v>45328000</c:v>
                </c:pt>
                <c:pt idx="532">
                  <c:v>26914000</c:v>
                </c:pt>
                <c:pt idx="533">
                  <c:v>24617000</c:v>
                </c:pt>
                <c:pt idx="534">
                  <c:v>38777000</c:v>
                </c:pt>
                <c:pt idx="535">
                  <c:v>49213000</c:v>
                </c:pt>
                <c:pt idx="536">
                  <c:v>37863000</c:v>
                </c:pt>
                <c:pt idx="537">
                  <c:v>34627000</c:v>
                </c:pt>
                <c:pt idx="538">
                  <c:v>46375000</c:v>
                </c:pt>
                <c:pt idx="539">
                  <c:v>16016000</c:v>
                </c:pt>
                <c:pt idx="540">
                  <c:v>86647000</c:v>
                </c:pt>
                <c:pt idx="541">
                  <c:v>50713000</c:v>
                </c:pt>
                <c:pt idx="542">
                  <c:v>78433000</c:v>
                </c:pt>
                <c:pt idx="543">
                  <c:v>51156000</c:v>
                </c:pt>
                <c:pt idx="544">
                  <c:v>79028000</c:v>
                </c:pt>
                <c:pt idx="545">
                  <c:v>60233000</c:v>
                </c:pt>
                <c:pt idx="546">
                  <c:v>69587000</c:v>
                </c:pt>
                <c:pt idx="547">
                  <c:v>74751000</c:v>
                </c:pt>
                <c:pt idx="548">
                  <c:v>38181000</c:v>
                </c:pt>
                <c:pt idx="549">
                  <c:v>48205000</c:v>
                </c:pt>
                <c:pt idx="550">
                  <c:v>40825000</c:v>
                </c:pt>
                <c:pt idx="551">
                  <c:v>52431000</c:v>
                </c:pt>
                <c:pt idx="552">
                  <c:v>35239000</c:v>
                </c:pt>
                <c:pt idx="553">
                  <c:v>32247000</c:v>
                </c:pt>
                <c:pt idx="554">
                  <c:v>31095000</c:v>
                </c:pt>
                <c:pt idx="555">
                  <c:v>45582000</c:v>
                </c:pt>
                <c:pt idx="556">
                  <c:v>20024000</c:v>
                </c:pt>
                <c:pt idx="557">
                  <c:v>40990000</c:v>
                </c:pt>
                <c:pt idx="558">
                  <c:v>32722000</c:v>
                </c:pt>
                <c:pt idx="559">
                  <c:v>30259000</c:v>
                </c:pt>
                <c:pt idx="560">
                  <c:v>47505000</c:v>
                </c:pt>
                <c:pt idx="561">
                  <c:v>40652000</c:v>
                </c:pt>
                <c:pt idx="562">
                  <c:v>33221000</c:v>
                </c:pt>
                <c:pt idx="563">
                  <c:v>46024000</c:v>
                </c:pt>
                <c:pt idx="564">
                  <c:v>45386000</c:v>
                </c:pt>
                <c:pt idx="565">
                  <c:v>29710000</c:v>
                </c:pt>
                <c:pt idx="566">
                  <c:v>69449000</c:v>
                </c:pt>
                <c:pt idx="567">
                  <c:v>81031000</c:v>
                </c:pt>
                <c:pt idx="568">
                  <c:v>108000000</c:v>
                </c:pt>
                <c:pt idx="569">
                  <c:v>49722000</c:v>
                </c:pt>
                <c:pt idx="570">
                  <c:v>43905000</c:v>
                </c:pt>
                <c:pt idx="571">
                  <c:v>55680000</c:v>
                </c:pt>
                <c:pt idx="572">
                  <c:v>60144000</c:v>
                </c:pt>
                <c:pt idx="573">
                  <c:v>123000000</c:v>
                </c:pt>
                <c:pt idx="574">
                  <c:v>142000000</c:v>
                </c:pt>
                <c:pt idx="575">
                  <c:v>97504000</c:v>
                </c:pt>
                <c:pt idx="576">
                  <c:v>98496000</c:v>
                </c:pt>
                <c:pt idx="577">
                  <c:v>81938000</c:v>
                </c:pt>
                <c:pt idx="578">
                  <c:v>79563000</c:v>
                </c:pt>
                <c:pt idx="579">
                  <c:v>105000000</c:v>
                </c:pt>
                <c:pt idx="580">
                  <c:v>101000000</c:v>
                </c:pt>
                <c:pt idx="581">
                  <c:v>65174000</c:v>
                </c:pt>
                <c:pt idx="582">
                  <c:v>248000000</c:v>
                </c:pt>
                <c:pt idx="583">
                  <c:v>35539000</c:v>
                </c:pt>
                <c:pt idx="584">
                  <c:v>42922000</c:v>
                </c:pt>
                <c:pt idx="585">
                  <c:v>71620000</c:v>
                </c:pt>
                <c:pt idx="586">
                  <c:v>55516000</c:v>
                </c:pt>
                <c:pt idx="587">
                  <c:v>27624000</c:v>
                </c:pt>
                <c:pt idx="588">
                  <c:v>35148000</c:v>
                </c:pt>
                <c:pt idx="589">
                  <c:v>36710000</c:v>
                </c:pt>
                <c:pt idx="590">
                  <c:v>49728000</c:v>
                </c:pt>
                <c:pt idx="591">
                  <c:v>69687000</c:v>
                </c:pt>
                <c:pt idx="592">
                  <c:v>42210000</c:v>
                </c:pt>
                <c:pt idx="593">
                  <c:v>26928000</c:v>
                </c:pt>
                <c:pt idx="594">
                  <c:v>53567000</c:v>
                </c:pt>
                <c:pt idx="595">
                  <c:v>46142000</c:v>
                </c:pt>
                <c:pt idx="596">
                  <c:v>33012000</c:v>
                </c:pt>
                <c:pt idx="597">
                  <c:v>34754000</c:v>
                </c:pt>
                <c:pt idx="598">
                  <c:v>35173000</c:v>
                </c:pt>
                <c:pt idx="599">
                  <c:v>47475000</c:v>
                </c:pt>
                <c:pt idx="600">
                  <c:v>37899000</c:v>
                </c:pt>
                <c:pt idx="601">
                  <c:v>34096000</c:v>
                </c:pt>
                <c:pt idx="602">
                  <c:v>23771000</c:v>
                </c:pt>
                <c:pt idx="603">
                  <c:v>50247000</c:v>
                </c:pt>
                <c:pt idx="604">
                  <c:v>43930000</c:v>
                </c:pt>
                <c:pt idx="605">
                  <c:v>61538000</c:v>
                </c:pt>
                <c:pt idx="606">
                  <c:v>62123000</c:v>
                </c:pt>
                <c:pt idx="607">
                  <c:v>53073000</c:v>
                </c:pt>
                <c:pt idx="608">
                  <c:v>65390000</c:v>
                </c:pt>
                <c:pt idx="609">
                  <c:v>58683000</c:v>
                </c:pt>
                <c:pt idx="610">
                  <c:v>68424000</c:v>
                </c:pt>
                <c:pt idx="611">
                  <c:v>42334000</c:v>
                </c:pt>
                <c:pt idx="612">
                  <c:v>41267000</c:v>
                </c:pt>
                <c:pt idx="613">
                  <c:v>56836000</c:v>
                </c:pt>
                <c:pt idx="614">
                  <c:v>76291000</c:v>
                </c:pt>
                <c:pt idx="615">
                  <c:v>158000000</c:v>
                </c:pt>
                <c:pt idx="616">
                  <c:v>75408000</c:v>
                </c:pt>
                <c:pt idx="617">
                  <c:v>89364000</c:v>
                </c:pt>
                <c:pt idx="618">
                  <c:v>80768000</c:v>
                </c:pt>
                <c:pt idx="619">
                  <c:v>90637000</c:v>
                </c:pt>
                <c:pt idx="620">
                  <c:v>96147000</c:v>
                </c:pt>
                <c:pt idx="621">
                  <c:v>97119000</c:v>
                </c:pt>
                <c:pt idx="622">
                  <c:v>53645000</c:v>
                </c:pt>
                <c:pt idx="623">
                  <c:v>49384000</c:v>
                </c:pt>
                <c:pt idx="624">
                  <c:v>90699000</c:v>
                </c:pt>
                <c:pt idx="625">
                  <c:v>114000000</c:v>
                </c:pt>
                <c:pt idx="626">
                  <c:v>66059000</c:v>
                </c:pt>
                <c:pt idx="627">
                  <c:v>99933000</c:v>
                </c:pt>
                <c:pt idx="628">
                  <c:v>56505000</c:v>
                </c:pt>
                <c:pt idx="629">
                  <c:v>67289000</c:v>
                </c:pt>
                <c:pt idx="630">
                  <c:v>55838000</c:v>
                </c:pt>
                <c:pt idx="631">
                  <c:v>11269000</c:v>
                </c:pt>
                <c:pt idx="632">
                  <c:v>197000000</c:v>
                </c:pt>
                <c:pt idx="633">
                  <c:v>60410000</c:v>
                </c:pt>
                <c:pt idx="634">
                  <c:v>47837000</c:v>
                </c:pt>
                <c:pt idx="635">
                  <c:v>67802000</c:v>
                </c:pt>
                <c:pt idx="636">
                  <c:v>51385000</c:v>
                </c:pt>
                <c:pt idx="637">
                  <c:v>53537000</c:v>
                </c:pt>
                <c:pt idx="638">
                  <c:v>50568000</c:v>
                </c:pt>
                <c:pt idx="639">
                  <c:v>37601000</c:v>
                </c:pt>
                <c:pt idx="640">
                  <c:v>69896000</c:v>
                </c:pt>
                <c:pt idx="641">
                  <c:v>80854000</c:v>
                </c:pt>
                <c:pt idx="642">
                  <c:v>63411000</c:v>
                </c:pt>
                <c:pt idx="643">
                  <c:v>39669000</c:v>
                </c:pt>
                <c:pt idx="644">
                  <c:v>40141000</c:v>
                </c:pt>
                <c:pt idx="645">
                  <c:v>133000000</c:v>
                </c:pt>
                <c:pt idx="646">
                  <c:v>13899000</c:v>
                </c:pt>
                <c:pt idx="647">
                  <c:v>47766000</c:v>
                </c:pt>
                <c:pt idx="648">
                  <c:v>44130000</c:v>
                </c:pt>
                <c:pt idx="649">
                  <c:v>38799000</c:v>
                </c:pt>
                <c:pt idx="650">
                  <c:v>40003000</c:v>
                </c:pt>
                <c:pt idx="651">
                  <c:v>51016000</c:v>
                </c:pt>
                <c:pt idx="652">
                  <c:v>39815000</c:v>
                </c:pt>
                <c:pt idx="653">
                  <c:v>39160000</c:v>
                </c:pt>
                <c:pt idx="654">
                  <c:v>65159000</c:v>
                </c:pt>
                <c:pt idx="655">
                  <c:v>20533000</c:v>
                </c:pt>
                <c:pt idx="656">
                  <c:v>65843000</c:v>
                </c:pt>
                <c:pt idx="657">
                  <c:v>57178000</c:v>
                </c:pt>
                <c:pt idx="658">
                  <c:v>66890000</c:v>
                </c:pt>
                <c:pt idx="659">
                  <c:v>42538000</c:v>
                </c:pt>
                <c:pt idx="660">
                  <c:v>30334000</c:v>
                </c:pt>
                <c:pt idx="661">
                  <c:v>35239000</c:v>
                </c:pt>
                <c:pt idx="662">
                  <c:v>61903000</c:v>
                </c:pt>
                <c:pt idx="663">
                  <c:v>52239000</c:v>
                </c:pt>
                <c:pt idx="664">
                  <c:v>42571000</c:v>
                </c:pt>
                <c:pt idx="665">
                  <c:v>44049000</c:v>
                </c:pt>
                <c:pt idx="666">
                  <c:v>33136000</c:v>
                </c:pt>
                <c:pt idx="667">
                  <c:v>32693000</c:v>
                </c:pt>
                <c:pt idx="668">
                  <c:v>34730000</c:v>
                </c:pt>
                <c:pt idx="669">
                  <c:v>25397000</c:v>
                </c:pt>
                <c:pt idx="670">
                  <c:v>20213000</c:v>
                </c:pt>
                <c:pt idx="671">
                  <c:v>23037000</c:v>
                </c:pt>
                <c:pt idx="672">
                  <c:v>83102000</c:v>
                </c:pt>
                <c:pt idx="673">
                  <c:v>47814000</c:v>
                </c:pt>
                <c:pt idx="674">
                  <c:v>71714000</c:v>
                </c:pt>
                <c:pt idx="675">
                  <c:v>48884000</c:v>
                </c:pt>
                <c:pt idx="676">
                  <c:v>25402000</c:v>
                </c:pt>
                <c:pt idx="677">
                  <c:v>52915000</c:v>
                </c:pt>
                <c:pt idx="678">
                  <c:v>32681000</c:v>
                </c:pt>
                <c:pt idx="679">
                  <c:v>44028000</c:v>
                </c:pt>
                <c:pt idx="680">
                  <c:v>58328000</c:v>
                </c:pt>
                <c:pt idx="681">
                  <c:v>43410000</c:v>
                </c:pt>
                <c:pt idx="682">
                  <c:v>39580000</c:v>
                </c:pt>
                <c:pt idx="683">
                  <c:v>42264000</c:v>
                </c:pt>
                <c:pt idx="684">
                  <c:v>43738000</c:v>
                </c:pt>
                <c:pt idx="685">
                  <c:v>70028000</c:v>
                </c:pt>
                <c:pt idx="686">
                  <c:v>57923000</c:v>
                </c:pt>
                <c:pt idx="687">
                  <c:v>46916000</c:v>
                </c:pt>
                <c:pt idx="688">
                  <c:v>47706000</c:v>
                </c:pt>
                <c:pt idx="689">
                  <c:v>40235000</c:v>
                </c:pt>
                <c:pt idx="690">
                  <c:v>38085000</c:v>
                </c:pt>
                <c:pt idx="691">
                  <c:v>53867000</c:v>
                </c:pt>
                <c:pt idx="692">
                  <c:v>32175000</c:v>
                </c:pt>
                <c:pt idx="693">
                  <c:v>49017000</c:v>
                </c:pt>
                <c:pt idx="694">
                  <c:v>25494000</c:v>
                </c:pt>
                <c:pt idx="695">
                  <c:v>29135000</c:v>
                </c:pt>
                <c:pt idx="696">
                  <c:v>77427000</c:v>
                </c:pt>
                <c:pt idx="697">
                  <c:v>37096000</c:v>
                </c:pt>
                <c:pt idx="698">
                  <c:v>42703000</c:v>
                </c:pt>
                <c:pt idx="699">
                  <c:v>45000000</c:v>
                </c:pt>
                <c:pt idx="700">
                  <c:v>35744000</c:v>
                </c:pt>
                <c:pt idx="701">
                  <c:v>34253000</c:v>
                </c:pt>
                <c:pt idx="702">
                  <c:v>37784000</c:v>
                </c:pt>
                <c:pt idx="703">
                  <c:v>55845000</c:v>
                </c:pt>
                <c:pt idx="704">
                  <c:v>33586000</c:v>
                </c:pt>
                <c:pt idx="705">
                  <c:v>37451000</c:v>
                </c:pt>
                <c:pt idx="706">
                  <c:v>46445000</c:v>
                </c:pt>
                <c:pt idx="707">
                  <c:v>183000000</c:v>
                </c:pt>
                <c:pt idx="708">
                  <c:v>43523000</c:v>
                </c:pt>
                <c:pt idx="709">
                  <c:v>63830000</c:v>
                </c:pt>
                <c:pt idx="710">
                  <c:v>39309000</c:v>
                </c:pt>
                <c:pt idx="711">
                  <c:v>60686000</c:v>
                </c:pt>
                <c:pt idx="712">
                  <c:v>55557000</c:v>
                </c:pt>
                <c:pt idx="713">
                  <c:v>46859000</c:v>
                </c:pt>
                <c:pt idx="714">
                  <c:v>32927000</c:v>
                </c:pt>
                <c:pt idx="715">
                  <c:v>44655000</c:v>
                </c:pt>
                <c:pt idx="716">
                  <c:v>31463000</c:v>
                </c:pt>
                <c:pt idx="717">
                  <c:v>37095000</c:v>
                </c:pt>
                <c:pt idx="718">
                  <c:v>32305000</c:v>
                </c:pt>
                <c:pt idx="719">
                  <c:v>34380000</c:v>
                </c:pt>
                <c:pt idx="720">
                  <c:v>25221000</c:v>
                </c:pt>
                <c:pt idx="721">
                  <c:v>43383000</c:v>
                </c:pt>
                <c:pt idx="722">
                  <c:v>71014000</c:v>
                </c:pt>
                <c:pt idx="723">
                  <c:v>39307000</c:v>
                </c:pt>
                <c:pt idx="724">
                  <c:v>36173000</c:v>
                </c:pt>
                <c:pt idx="725">
                  <c:v>33388000</c:v>
                </c:pt>
                <c:pt idx="726">
                  <c:v>34259000</c:v>
                </c:pt>
                <c:pt idx="727">
                  <c:v>22807000</c:v>
                </c:pt>
                <c:pt idx="728">
                  <c:v>26889000</c:v>
                </c:pt>
                <c:pt idx="729">
                  <c:v>26891000</c:v>
                </c:pt>
                <c:pt idx="730">
                  <c:v>30471000</c:v>
                </c:pt>
                <c:pt idx="731">
                  <c:v>26387000</c:v>
                </c:pt>
                <c:pt idx="732">
                  <c:v>25852000</c:v>
                </c:pt>
                <c:pt idx="733">
                  <c:v>38455000</c:v>
                </c:pt>
                <c:pt idx="734">
                  <c:v>38573000</c:v>
                </c:pt>
                <c:pt idx="735">
                  <c:v>33765000</c:v>
                </c:pt>
                <c:pt idx="736">
                  <c:v>37592000</c:v>
                </c:pt>
                <c:pt idx="737">
                  <c:v>46661000</c:v>
                </c:pt>
                <c:pt idx="738">
                  <c:v>32246000</c:v>
                </c:pt>
                <c:pt idx="739">
                  <c:v>25769000</c:v>
                </c:pt>
                <c:pt idx="740">
                  <c:v>20521000</c:v>
                </c:pt>
                <c:pt idx="741">
                  <c:v>25534000</c:v>
                </c:pt>
                <c:pt idx="742">
                  <c:v>35248000</c:v>
                </c:pt>
                <c:pt idx="743">
                  <c:v>27964000</c:v>
                </c:pt>
                <c:pt idx="744">
                  <c:v>43150000</c:v>
                </c:pt>
                <c:pt idx="745">
                  <c:v>65405000</c:v>
                </c:pt>
                <c:pt idx="746">
                  <c:v>51802000</c:v>
                </c:pt>
                <c:pt idx="747">
                  <c:v>83494000</c:v>
                </c:pt>
                <c:pt idx="748">
                  <c:v>58216000</c:v>
                </c:pt>
                <c:pt idx="749">
                  <c:v>78416000</c:v>
                </c:pt>
                <c:pt idx="750">
                  <c:v>64278000</c:v>
                </c:pt>
                <c:pt idx="751">
                  <c:v>54819000</c:v>
                </c:pt>
                <c:pt idx="752">
                  <c:v>39767000</c:v>
                </c:pt>
                <c:pt idx="753">
                  <c:v>47587000</c:v>
                </c:pt>
                <c:pt idx="754">
                  <c:v>46071000</c:v>
                </c:pt>
                <c:pt idx="755">
                  <c:v>16401000</c:v>
                </c:pt>
                <c:pt idx="756">
                  <c:v>21991000</c:v>
                </c:pt>
                <c:pt idx="757">
                  <c:v>73009000</c:v>
                </c:pt>
                <c:pt idx="758">
                  <c:v>62214000</c:v>
                </c:pt>
                <c:pt idx="759">
                  <c:v>159000000</c:v>
                </c:pt>
                <c:pt idx="760">
                  <c:v>51964000</c:v>
                </c:pt>
                <c:pt idx="761">
                  <c:v>74193000</c:v>
                </c:pt>
                <c:pt idx="762">
                  <c:v>61158000</c:v>
                </c:pt>
                <c:pt idx="763">
                  <c:v>33208000</c:v>
                </c:pt>
                <c:pt idx="764">
                  <c:v>52580000</c:v>
                </c:pt>
                <c:pt idx="765">
                  <c:v>45491000</c:v>
                </c:pt>
                <c:pt idx="766">
                  <c:v>56997000</c:v>
                </c:pt>
                <c:pt idx="767">
                  <c:v>46522000</c:v>
                </c:pt>
                <c:pt idx="768">
                  <c:v>52219000</c:v>
                </c:pt>
                <c:pt idx="769">
                  <c:v>45179000</c:v>
                </c:pt>
                <c:pt idx="770">
                  <c:v>46834000</c:v>
                </c:pt>
                <c:pt idx="771">
                  <c:v>113000000</c:v>
                </c:pt>
                <c:pt idx="772">
                  <c:v>87345000</c:v>
                </c:pt>
                <c:pt idx="773">
                  <c:v>58568000</c:v>
                </c:pt>
                <c:pt idx="774">
                  <c:v>22651000</c:v>
                </c:pt>
                <c:pt idx="775">
                  <c:v>21810000</c:v>
                </c:pt>
                <c:pt idx="776">
                  <c:v>27104000</c:v>
                </c:pt>
                <c:pt idx="777">
                  <c:v>19137000</c:v>
                </c:pt>
                <c:pt idx="778">
                  <c:v>19443000</c:v>
                </c:pt>
                <c:pt idx="779">
                  <c:v>36156000</c:v>
                </c:pt>
                <c:pt idx="780">
                  <c:v>28293000</c:v>
                </c:pt>
                <c:pt idx="781">
                  <c:v>27150000</c:v>
                </c:pt>
                <c:pt idx="782">
                  <c:v>37665000</c:v>
                </c:pt>
                <c:pt idx="783">
                  <c:v>59442000</c:v>
                </c:pt>
                <c:pt idx="784">
                  <c:v>31792000</c:v>
                </c:pt>
                <c:pt idx="785">
                  <c:v>28367000</c:v>
                </c:pt>
                <c:pt idx="786">
                  <c:v>54625000</c:v>
                </c:pt>
                <c:pt idx="787">
                  <c:v>65332000</c:v>
                </c:pt>
                <c:pt idx="788">
                  <c:v>69621000</c:v>
                </c:pt>
                <c:pt idx="789">
                  <c:v>21438000</c:v>
                </c:pt>
                <c:pt idx="790">
                  <c:v>54034000</c:v>
                </c:pt>
                <c:pt idx="791">
                  <c:v>44884000</c:v>
                </c:pt>
                <c:pt idx="792">
                  <c:v>47356000</c:v>
                </c:pt>
                <c:pt idx="793">
                  <c:v>37949000</c:v>
                </c:pt>
                <c:pt idx="794">
                  <c:v>29110000</c:v>
                </c:pt>
                <c:pt idx="795">
                  <c:v>31056000</c:v>
                </c:pt>
                <c:pt idx="796">
                  <c:v>38771000</c:v>
                </c:pt>
                <c:pt idx="797">
                  <c:v>43603000</c:v>
                </c:pt>
                <c:pt idx="798">
                  <c:v>73365000</c:v>
                </c:pt>
                <c:pt idx="799">
                  <c:v>68556000</c:v>
                </c:pt>
                <c:pt idx="800">
                  <c:v>69105000</c:v>
                </c:pt>
                <c:pt idx="801">
                  <c:v>66686000</c:v>
                </c:pt>
                <c:pt idx="802">
                  <c:v>74986000</c:v>
                </c:pt>
                <c:pt idx="803">
                  <c:v>40371000</c:v>
                </c:pt>
                <c:pt idx="804">
                  <c:v>30956000</c:v>
                </c:pt>
                <c:pt idx="805">
                  <c:v>41164000</c:v>
                </c:pt>
                <c:pt idx="806">
                  <c:v>39765000</c:v>
                </c:pt>
                <c:pt idx="807">
                  <c:v>62618000</c:v>
                </c:pt>
                <c:pt idx="808">
                  <c:v>34859000</c:v>
                </c:pt>
                <c:pt idx="809">
                  <c:v>38260000</c:v>
                </c:pt>
                <c:pt idx="810">
                  <c:v>33741000</c:v>
                </c:pt>
                <c:pt idx="811">
                  <c:v>44038000</c:v>
                </c:pt>
                <c:pt idx="812">
                  <c:v>16865000</c:v>
                </c:pt>
                <c:pt idx="813">
                  <c:v>27806000</c:v>
                </c:pt>
                <c:pt idx="814">
                  <c:v>39284000</c:v>
                </c:pt>
                <c:pt idx="815">
                  <c:v>51882000</c:v>
                </c:pt>
                <c:pt idx="816">
                  <c:v>60088000</c:v>
                </c:pt>
                <c:pt idx="817">
                  <c:v>39459000</c:v>
                </c:pt>
                <c:pt idx="818">
                  <c:v>64226000</c:v>
                </c:pt>
                <c:pt idx="819">
                  <c:v>110000000</c:v>
                </c:pt>
                <c:pt idx="820">
                  <c:v>72511000</c:v>
                </c:pt>
                <c:pt idx="821">
                  <c:v>48340000</c:v>
                </c:pt>
                <c:pt idx="822">
                  <c:v>65890000</c:v>
                </c:pt>
                <c:pt idx="823">
                  <c:v>28692000</c:v>
                </c:pt>
                <c:pt idx="824">
                  <c:v>25297000</c:v>
                </c:pt>
                <c:pt idx="825">
                  <c:v>48850000</c:v>
                </c:pt>
                <c:pt idx="826">
                  <c:v>32943000</c:v>
                </c:pt>
                <c:pt idx="827">
                  <c:v>42881000</c:v>
                </c:pt>
                <c:pt idx="828">
                  <c:v>37114000</c:v>
                </c:pt>
                <c:pt idx="829">
                  <c:v>59311000</c:v>
                </c:pt>
                <c:pt idx="830">
                  <c:v>53662000</c:v>
                </c:pt>
                <c:pt idx="831">
                  <c:v>39063000</c:v>
                </c:pt>
                <c:pt idx="832">
                  <c:v>95199000</c:v>
                </c:pt>
                <c:pt idx="833">
                  <c:v>35240000</c:v>
                </c:pt>
                <c:pt idx="834">
                  <c:v>53358000</c:v>
                </c:pt>
                <c:pt idx="835">
                  <c:v>25998000</c:v>
                </c:pt>
                <c:pt idx="836">
                  <c:v>45031000</c:v>
                </c:pt>
                <c:pt idx="837">
                  <c:v>31768000</c:v>
                </c:pt>
                <c:pt idx="838">
                  <c:v>33476000</c:v>
                </c:pt>
                <c:pt idx="839">
                  <c:v>29043000</c:v>
                </c:pt>
                <c:pt idx="840">
                  <c:v>51932000</c:v>
                </c:pt>
                <c:pt idx="841">
                  <c:v>32669000</c:v>
                </c:pt>
                <c:pt idx="842">
                  <c:v>35680000</c:v>
                </c:pt>
                <c:pt idx="843">
                  <c:v>25802000</c:v>
                </c:pt>
                <c:pt idx="844">
                  <c:v>39590000</c:v>
                </c:pt>
                <c:pt idx="845">
                  <c:v>51510000</c:v>
                </c:pt>
                <c:pt idx="846">
                  <c:v>46803000</c:v>
                </c:pt>
                <c:pt idx="847">
                  <c:v>27682000</c:v>
                </c:pt>
                <c:pt idx="848">
                  <c:v>25190000</c:v>
                </c:pt>
                <c:pt idx="849">
                  <c:v>19598000</c:v>
                </c:pt>
                <c:pt idx="850">
                  <c:v>36863000</c:v>
                </c:pt>
                <c:pt idx="851">
                  <c:v>26323000</c:v>
                </c:pt>
                <c:pt idx="852">
                  <c:v>44422000</c:v>
                </c:pt>
                <c:pt idx="853">
                  <c:v>47171000</c:v>
                </c:pt>
                <c:pt idx="854">
                  <c:v>30173000</c:v>
                </c:pt>
                <c:pt idx="855">
                  <c:v>40172000</c:v>
                </c:pt>
                <c:pt idx="856">
                  <c:v>43984000</c:v>
                </c:pt>
                <c:pt idx="857">
                  <c:v>28307000</c:v>
                </c:pt>
                <c:pt idx="858">
                  <c:v>36780000</c:v>
                </c:pt>
                <c:pt idx="859">
                  <c:v>98063000</c:v>
                </c:pt>
                <c:pt idx="860">
                  <c:v>39220000</c:v>
                </c:pt>
                <c:pt idx="861">
                  <c:v>31554000</c:v>
                </c:pt>
                <c:pt idx="862">
                  <c:v>24399000</c:v>
                </c:pt>
                <c:pt idx="863">
                  <c:v>45706000</c:v>
                </c:pt>
                <c:pt idx="864">
                  <c:v>58927000</c:v>
                </c:pt>
                <c:pt idx="865">
                  <c:v>61592000</c:v>
                </c:pt>
                <c:pt idx="866">
                  <c:v>63230000</c:v>
                </c:pt>
                <c:pt idx="867">
                  <c:v>40392000</c:v>
                </c:pt>
                <c:pt idx="868">
                  <c:v>29712000</c:v>
                </c:pt>
                <c:pt idx="869">
                  <c:v>57864000</c:v>
                </c:pt>
                <c:pt idx="870">
                  <c:v>35806000</c:v>
                </c:pt>
                <c:pt idx="871">
                  <c:v>22980000</c:v>
                </c:pt>
                <c:pt idx="872">
                  <c:v>31768000</c:v>
                </c:pt>
                <c:pt idx="873">
                  <c:v>60848000</c:v>
                </c:pt>
                <c:pt idx="874">
                  <c:v>33799000</c:v>
                </c:pt>
                <c:pt idx="875">
                  <c:v>50224000</c:v>
                </c:pt>
                <c:pt idx="876">
                  <c:v>38519000</c:v>
                </c:pt>
                <c:pt idx="877">
                  <c:v>75730000</c:v>
                </c:pt>
                <c:pt idx="878">
                  <c:v>33392000</c:v>
                </c:pt>
                <c:pt idx="879">
                  <c:v>34889000</c:v>
                </c:pt>
                <c:pt idx="880">
                  <c:v>34984000</c:v>
                </c:pt>
                <c:pt idx="881">
                  <c:v>14224000</c:v>
                </c:pt>
                <c:pt idx="882">
                  <c:v>48973000</c:v>
                </c:pt>
                <c:pt idx="883">
                  <c:v>111000000</c:v>
                </c:pt>
                <c:pt idx="884">
                  <c:v>43245000</c:v>
                </c:pt>
                <c:pt idx="885">
                  <c:v>44702000</c:v>
                </c:pt>
                <c:pt idx="886">
                  <c:v>156000000</c:v>
                </c:pt>
                <c:pt idx="887">
                  <c:v>35663000</c:v>
                </c:pt>
                <c:pt idx="888">
                  <c:v>35558000</c:v>
                </c:pt>
                <c:pt idx="889">
                  <c:v>27807000</c:v>
                </c:pt>
                <c:pt idx="890">
                  <c:v>61485000</c:v>
                </c:pt>
                <c:pt idx="891">
                  <c:v>49150000</c:v>
                </c:pt>
                <c:pt idx="892">
                  <c:v>51046000</c:v>
                </c:pt>
                <c:pt idx="893">
                  <c:v>24864000</c:v>
                </c:pt>
                <c:pt idx="894">
                  <c:v>33102000</c:v>
                </c:pt>
                <c:pt idx="895">
                  <c:v>113000000</c:v>
                </c:pt>
                <c:pt idx="896">
                  <c:v>13074000</c:v>
                </c:pt>
                <c:pt idx="897">
                  <c:v>50662000</c:v>
                </c:pt>
                <c:pt idx="898">
                  <c:v>23967000</c:v>
                </c:pt>
                <c:pt idx="899">
                  <c:v>28088000</c:v>
                </c:pt>
                <c:pt idx="900">
                  <c:v>32217000</c:v>
                </c:pt>
                <c:pt idx="901">
                  <c:v>49130000</c:v>
                </c:pt>
                <c:pt idx="902">
                  <c:v>28735000</c:v>
                </c:pt>
                <c:pt idx="903">
                  <c:v>35563000</c:v>
                </c:pt>
                <c:pt idx="904">
                  <c:v>21858000</c:v>
                </c:pt>
                <c:pt idx="905">
                  <c:v>39814000</c:v>
                </c:pt>
                <c:pt idx="906">
                  <c:v>15752000</c:v>
                </c:pt>
                <c:pt idx="907">
                  <c:v>27176000</c:v>
                </c:pt>
                <c:pt idx="908">
                  <c:v>30932000</c:v>
                </c:pt>
                <c:pt idx="909">
                  <c:v>32464000</c:v>
                </c:pt>
                <c:pt idx="910">
                  <c:v>34164000</c:v>
                </c:pt>
                <c:pt idx="911">
                  <c:v>39342000</c:v>
                </c:pt>
                <c:pt idx="912">
                  <c:v>43705000</c:v>
                </c:pt>
                <c:pt idx="913">
                  <c:v>23252000</c:v>
                </c:pt>
                <c:pt idx="914">
                  <c:v>30696000</c:v>
                </c:pt>
                <c:pt idx="915">
                  <c:v>35163000</c:v>
                </c:pt>
                <c:pt idx="916">
                  <c:v>48795000</c:v>
                </c:pt>
                <c:pt idx="917">
                  <c:v>17599000</c:v>
                </c:pt>
                <c:pt idx="918">
                  <c:v>15375000</c:v>
                </c:pt>
                <c:pt idx="919">
                  <c:v>19716000</c:v>
                </c:pt>
                <c:pt idx="920">
                  <c:v>11258000</c:v>
                </c:pt>
                <c:pt idx="921">
                  <c:v>40510000</c:v>
                </c:pt>
                <c:pt idx="922">
                  <c:v>39748000</c:v>
                </c:pt>
                <c:pt idx="923">
                  <c:v>39204000</c:v>
                </c:pt>
                <c:pt idx="924">
                  <c:v>27693000</c:v>
                </c:pt>
                <c:pt idx="925">
                  <c:v>44170000</c:v>
                </c:pt>
                <c:pt idx="926">
                  <c:v>27822000</c:v>
                </c:pt>
                <c:pt idx="927">
                  <c:v>38012000</c:v>
                </c:pt>
                <c:pt idx="928">
                  <c:v>48648000</c:v>
                </c:pt>
                <c:pt idx="929">
                  <c:v>34583000</c:v>
                </c:pt>
                <c:pt idx="930">
                  <c:v>35372000</c:v>
                </c:pt>
                <c:pt idx="931">
                  <c:v>25323000</c:v>
                </c:pt>
                <c:pt idx="932">
                  <c:v>47393000</c:v>
                </c:pt>
                <c:pt idx="933">
                  <c:v>28029000</c:v>
                </c:pt>
                <c:pt idx="934">
                  <c:v>38563000</c:v>
                </c:pt>
                <c:pt idx="935">
                  <c:v>30389000</c:v>
                </c:pt>
                <c:pt idx="936">
                  <c:v>22912000</c:v>
                </c:pt>
                <c:pt idx="937">
                  <c:v>22126000</c:v>
                </c:pt>
                <c:pt idx="938">
                  <c:v>51745000</c:v>
                </c:pt>
                <c:pt idx="939">
                  <c:v>33215000</c:v>
                </c:pt>
                <c:pt idx="940">
                  <c:v>46453000</c:v>
                </c:pt>
                <c:pt idx="941">
                  <c:v>25357000</c:v>
                </c:pt>
                <c:pt idx="942">
                  <c:v>26732000</c:v>
                </c:pt>
                <c:pt idx="943">
                  <c:v>34599000</c:v>
                </c:pt>
                <c:pt idx="944">
                  <c:v>26627000</c:v>
                </c:pt>
                <c:pt idx="945">
                  <c:v>53735000</c:v>
                </c:pt>
                <c:pt idx="946">
                  <c:v>35146000</c:v>
                </c:pt>
                <c:pt idx="947">
                  <c:v>81201000</c:v>
                </c:pt>
                <c:pt idx="948">
                  <c:v>38084000</c:v>
                </c:pt>
                <c:pt idx="949">
                  <c:v>22734000</c:v>
                </c:pt>
                <c:pt idx="950">
                  <c:v>33380000</c:v>
                </c:pt>
                <c:pt idx="951">
                  <c:v>34439000</c:v>
                </c:pt>
                <c:pt idx="952">
                  <c:v>19320000</c:v>
                </c:pt>
                <c:pt idx="953">
                  <c:v>15055000</c:v>
                </c:pt>
                <c:pt idx="954">
                  <c:v>18863000</c:v>
                </c:pt>
                <c:pt idx="955">
                  <c:v>70936000</c:v>
                </c:pt>
                <c:pt idx="956">
                  <c:v>56270000</c:v>
                </c:pt>
                <c:pt idx="957">
                  <c:v>166000000</c:v>
                </c:pt>
                <c:pt idx="958">
                  <c:v>46249000</c:v>
                </c:pt>
                <c:pt idx="959">
                  <c:v>40227000</c:v>
                </c:pt>
                <c:pt idx="960">
                  <c:v>29942000</c:v>
                </c:pt>
                <c:pt idx="961">
                  <c:v>43018000</c:v>
                </c:pt>
                <c:pt idx="962">
                  <c:v>26412000</c:v>
                </c:pt>
                <c:pt idx="963">
                  <c:v>24398000</c:v>
                </c:pt>
                <c:pt idx="964">
                  <c:v>52437000</c:v>
                </c:pt>
                <c:pt idx="965">
                  <c:v>45411000</c:v>
                </c:pt>
                <c:pt idx="966">
                  <c:v>33331000</c:v>
                </c:pt>
                <c:pt idx="967">
                  <c:v>45903000</c:v>
                </c:pt>
                <c:pt idx="968">
                  <c:v>38982000</c:v>
                </c:pt>
                <c:pt idx="969">
                  <c:v>52068000</c:v>
                </c:pt>
                <c:pt idx="970">
                  <c:v>35270000</c:v>
                </c:pt>
                <c:pt idx="971">
                  <c:v>32193000</c:v>
                </c:pt>
                <c:pt idx="972">
                  <c:v>24774000</c:v>
                </c:pt>
                <c:pt idx="973">
                  <c:v>29766000</c:v>
                </c:pt>
                <c:pt idx="974">
                  <c:v>53990000</c:v>
                </c:pt>
                <c:pt idx="975">
                  <c:v>23198000</c:v>
                </c:pt>
                <c:pt idx="976">
                  <c:v>34562000</c:v>
                </c:pt>
                <c:pt idx="977">
                  <c:v>26935000</c:v>
                </c:pt>
                <c:pt idx="978">
                  <c:v>26562000</c:v>
                </c:pt>
                <c:pt idx="979">
                  <c:v>38951000</c:v>
                </c:pt>
                <c:pt idx="980">
                  <c:v>27786000</c:v>
                </c:pt>
                <c:pt idx="981">
                  <c:v>30767000</c:v>
                </c:pt>
                <c:pt idx="982">
                  <c:v>19972000</c:v>
                </c:pt>
                <c:pt idx="983">
                  <c:v>33301000</c:v>
                </c:pt>
                <c:pt idx="984">
                  <c:v>33426000</c:v>
                </c:pt>
                <c:pt idx="985">
                  <c:v>30547000</c:v>
                </c:pt>
                <c:pt idx="986">
                  <c:v>15269000</c:v>
                </c:pt>
                <c:pt idx="987">
                  <c:v>23662000</c:v>
                </c:pt>
                <c:pt idx="988">
                  <c:v>44308000</c:v>
                </c:pt>
                <c:pt idx="989">
                  <c:v>19256000</c:v>
                </c:pt>
                <c:pt idx="990">
                  <c:v>26220000</c:v>
                </c:pt>
                <c:pt idx="991">
                  <c:v>27515000</c:v>
                </c:pt>
                <c:pt idx="992">
                  <c:v>27982000</c:v>
                </c:pt>
                <c:pt idx="993">
                  <c:v>20856000</c:v>
                </c:pt>
                <c:pt idx="994">
                  <c:v>23214000</c:v>
                </c:pt>
                <c:pt idx="995">
                  <c:v>26554000</c:v>
                </c:pt>
                <c:pt idx="996">
                  <c:v>16343000</c:v>
                </c:pt>
                <c:pt idx="997">
                  <c:v>40336000</c:v>
                </c:pt>
                <c:pt idx="998">
                  <c:v>39168000</c:v>
                </c:pt>
                <c:pt idx="999">
                  <c:v>41579000</c:v>
                </c:pt>
                <c:pt idx="1000">
                  <c:v>46098000</c:v>
                </c:pt>
                <c:pt idx="1001">
                  <c:v>52588000</c:v>
                </c:pt>
                <c:pt idx="1002">
                  <c:v>31480000</c:v>
                </c:pt>
                <c:pt idx="1003">
                  <c:v>45190000</c:v>
                </c:pt>
                <c:pt idx="1004">
                  <c:v>59765000</c:v>
                </c:pt>
                <c:pt idx="1005">
                  <c:v>14714000</c:v>
                </c:pt>
                <c:pt idx="1006">
                  <c:v>20978000</c:v>
                </c:pt>
                <c:pt idx="1007">
                  <c:v>40422000</c:v>
                </c:pt>
                <c:pt idx="1008">
                  <c:v>54451000</c:v>
                </c:pt>
                <c:pt idx="1009">
                  <c:v>51921000</c:v>
                </c:pt>
                <c:pt idx="1010">
                  <c:v>247000000</c:v>
                </c:pt>
                <c:pt idx="1011">
                  <c:v>53122000</c:v>
                </c:pt>
                <c:pt idx="1012">
                  <c:v>31819000</c:v>
                </c:pt>
                <c:pt idx="1013">
                  <c:v>60749000</c:v>
                </c:pt>
                <c:pt idx="1014">
                  <c:v>80276000</c:v>
                </c:pt>
                <c:pt idx="1015">
                  <c:v>50672000</c:v>
                </c:pt>
                <c:pt idx="1016">
                  <c:v>58554000</c:v>
                </c:pt>
                <c:pt idx="1017">
                  <c:v>43883000</c:v>
                </c:pt>
                <c:pt idx="1018">
                  <c:v>55696000</c:v>
                </c:pt>
                <c:pt idx="1019">
                  <c:v>64240000</c:v>
                </c:pt>
                <c:pt idx="1020">
                  <c:v>123000000</c:v>
                </c:pt>
                <c:pt idx="1021">
                  <c:v>143000000</c:v>
                </c:pt>
                <c:pt idx="1022">
                  <c:v>51039000</c:v>
                </c:pt>
                <c:pt idx="1023">
                  <c:v>71911000</c:v>
                </c:pt>
                <c:pt idx="1024">
                  <c:v>66172000</c:v>
                </c:pt>
                <c:pt idx="1025">
                  <c:v>34727000</c:v>
                </c:pt>
                <c:pt idx="1026">
                  <c:v>47248000</c:v>
                </c:pt>
                <c:pt idx="1027">
                  <c:v>17582000</c:v>
                </c:pt>
                <c:pt idx="1028">
                  <c:v>17109000</c:v>
                </c:pt>
                <c:pt idx="1029">
                  <c:v>15926000</c:v>
                </c:pt>
                <c:pt idx="1030">
                  <c:v>22925000</c:v>
                </c:pt>
                <c:pt idx="1031">
                  <c:v>17292000</c:v>
                </c:pt>
                <c:pt idx="1032">
                  <c:v>44581000</c:v>
                </c:pt>
                <c:pt idx="1033">
                  <c:v>21397000</c:v>
                </c:pt>
                <c:pt idx="1034">
                  <c:v>36983000</c:v>
                </c:pt>
                <c:pt idx="1035">
                  <c:v>50590000</c:v>
                </c:pt>
                <c:pt idx="1036">
                  <c:v>17152000</c:v>
                </c:pt>
                <c:pt idx="1037">
                  <c:v>29081000</c:v>
                </c:pt>
                <c:pt idx="1038">
                  <c:v>40929000</c:v>
                </c:pt>
                <c:pt idx="1039">
                  <c:v>21418000</c:v>
                </c:pt>
                <c:pt idx="1040">
                  <c:v>36119000</c:v>
                </c:pt>
                <c:pt idx="1041">
                  <c:v>38385000</c:v>
                </c:pt>
                <c:pt idx="1042">
                  <c:v>43203000</c:v>
                </c:pt>
                <c:pt idx="1043">
                  <c:v>55668000</c:v>
                </c:pt>
                <c:pt idx="1044">
                  <c:v>30390000</c:v>
                </c:pt>
                <c:pt idx="1045">
                  <c:v>41693000</c:v>
                </c:pt>
                <c:pt idx="1046">
                  <c:v>48006000</c:v>
                </c:pt>
                <c:pt idx="1047">
                  <c:v>39471000</c:v>
                </c:pt>
                <c:pt idx="1048">
                  <c:v>44381000</c:v>
                </c:pt>
                <c:pt idx="1049">
                  <c:v>25908000</c:v>
                </c:pt>
                <c:pt idx="1050">
                  <c:v>23442000</c:v>
                </c:pt>
                <c:pt idx="1051">
                  <c:v>40319000</c:v>
                </c:pt>
                <c:pt idx="1052">
                  <c:v>17058000</c:v>
                </c:pt>
                <c:pt idx="1053">
                  <c:v>25458000</c:v>
                </c:pt>
                <c:pt idx="1054">
                  <c:v>29715000</c:v>
                </c:pt>
                <c:pt idx="1055">
                  <c:v>23649000</c:v>
                </c:pt>
                <c:pt idx="1056">
                  <c:v>17448000</c:v>
                </c:pt>
                <c:pt idx="1057">
                  <c:v>36396000</c:v>
                </c:pt>
                <c:pt idx="1058">
                  <c:v>29828000</c:v>
                </c:pt>
                <c:pt idx="1059">
                  <c:v>18945000</c:v>
                </c:pt>
                <c:pt idx="1060">
                  <c:v>28353000</c:v>
                </c:pt>
                <c:pt idx="1061">
                  <c:v>26989000</c:v>
                </c:pt>
                <c:pt idx="1062">
                  <c:v>19405000</c:v>
                </c:pt>
                <c:pt idx="1063">
                  <c:v>26539000</c:v>
                </c:pt>
                <c:pt idx="1064">
                  <c:v>30536000</c:v>
                </c:pt>
                <c:pt idx="1065">
                  <c:v>27921000</c:v>
                </c:pt>
                <c:pt idx="1066">
                  <c:v>65538000</c:v>
                </c:pt>
                <c:pt idx="1067">
                  <c:v>64904000</c:v>
                </c:pt>
                <c:pt idx="1068">
                  <c:v>40066000</c:v>
                </c:pt>
                <c:pt idx="1069">
                  <c:v>39561000</c:v>
                </c:pt>
                <c:pt idx="1070">
                  <c:v>54053000</c:v>
                </c:pt>
                <c:pt idx="1071">
                  <c:v>49359000</c:v>
                </c:pt>
                <c:pt idx="1072">
                  <c:v>24978000</c:v>
                </c:pt>
                <c:pt idx="1073">
                  <c:v>33245000</c:v>
                </c:pt>
                <c:pt idx="1074">
                  <c:v>29582000</c:v>
                </c:pt>
                <c:pt idx="1075">
                  <c:v>63094000</c:v>
                </c:pt>
                <c:pt idx="1076">
                  <c:v>57433000</c:v>
                </c:pt>
                <c:pt idx="1077">
                  <c:v>79351000</c:v>
                </c:pt>
                <c:pt idx="1078">
                  <c:v>54947000</c:v>
                </c:pt>
                <c:pt idx="1079">
                  <c:v>25362000</c:v>
                </c:pt>
                <c:pt idx="1080">
                  <c:v>43279000</c:v>
                </c:pt>
                <c:pt idx="1081">
                  <c:v>40644000</c:v>
                </c:pt>
                <c:pt idx="1082">
                  <c:v>133000000</c:v>
                </c:pt>
                <c:pt idx="1083">
                  <c:v>46481000</c:v>
                </c:pt>
                <c:pt idx="1084">
                  <c:v>36532000</c:v>
                </c:pt>
                <c:pt idx="1085">
                  <c:v>36837000</c:v>
                </c:pt>
                <c:pt idx="1086">
                  <c:v>55519000</c:v>
                </c:pt>
                <c:pt idx="1087">
                  <c:v>53109000</c:v>
                </c:pt>
                <c:pt idx="1088">
                  <c:v>39842000</c:v>
                </c:pt>
                <c:pt idx="1089">
                  <c:v>41031000</c:v>
                </c:pt>
                <c:pt idx="1090">
                  <c:v>30030000</c:v>
                </c:pt>
                <c:pt idx="1091">
                  <c:v>42172000</c:v>
                </c:pt>
                <c:pt idx="1092">
                  <c:v>20903000</c:v>
                </c:pt>
                <c:pt idx="1093">
                  <c:v>37749000</c:v>
                </c:pt>
                <c:pt idx="1094">
                  <c:v>32699000</c:v>
                </c:pt>
                <c:pt idx="1095">
                  <c:v>41960000</c:v>
                </c:pt>
                <c:pt idx="1096">
                  <c:v>27210000</c:v>
                </c:pt>
                <c:pt idx="1097">
                  <c:v>30613000</c:v>
                </c:pt>
                <c:pt idx="1098">
                  <c:v>25814000</c:v>
                </c:pt>
                <c:pt idx="1099">
                  <c:v>27083000</c:v>
                </c:pt>
                <c:pt idx="1100">
                  <c:v>35231000</c:v>
                </c:pt>
                <c:pt idx="1101">
                  <c:v>30463000</c:v>
                </c:pt>
                <c:pt idx="1102">
                  <c:v>40761000</c:v>
                </c:pt>
                <c:pt idx="1103">
                  <c:v>33279000</c:v>
                </c:pt>
                <c:pt idx="1104">
                  <c:v>23301000</c:v>
                </c:pt>
                <c:pt idx="1105">
                  <c:v>40494000</c:v>
                </c:pt>
                <c:pt idx="1106">
                  <c:v>44405000</c:v>
                </c:pt>
                <c:pt idx="1107">
                  <c:v>34092000</c:v>
                </c:pt>
                <c:pt idx="1108">
                  <c:v>28000000</c:v>
                </c:pt>
                <c:pt idx="1109">
                  <c:v>33772000</c:v>
                </c:pt>
                <c:pt idx="1110">
                  <c:v>19955000</c:v>
                </c:pt>
                <c:pt idx="1111">
                  <c:v>19297000</c:v>
                </c:pt>
                <c:pt idx="1112">
                  <c:v>25062000</c:v>
                </c:pt>
                <c:pt idx="1113">
                  <c:v>19463000</c:v>
                </c:pt>
                <c:pt idx="1114">
                  <c:v>20709000</c:v>
                </c:pt>
                <c:pt idx="1115">
                  <c:v>28182000</c:v>
                </c:pt>
                <c:pt idx="1116">
                  <c:v>23689000</c:v>
                </c:pt>
                <c:pt idx="1117">
                  <c:v>31622000</c:v>
                </c:pt>
                <c:pt idx="1118">
                  <c:v>36297000</c:v>
                </c:pt>
                <c:pt idx="1119">
                  <c:v>50162000</c:v>
                </c:pt>
                <c:pt idx="1120">
                  <c:v>25915000</c:v>
                </c:pt>
                <c:pt idx="1121">
                  <c:v>37175000</c:v>
                </c:pt>
                <c:pt idx="1122">
                  <c:v>30633000</c:v>
                </c:pt>
                <c:pt idx="1123">
                  <c:v>20611000</c:v>
                </c:pt>
                <c:pt idx="1124">
                  <c:v>35533000</c:v>
                </c:pt>
                <c:pt idx="1125">
                  <c:v>52038000</c:v>
                </c:pt>
                <c:pt idx="1126">
                  <c:v>25294000</c:v>
                </c:pt>
                <c:pt idx="1127">
                  <c:v>33186000</c:v>
                </c:pt>
                <c:pt idx="1128">
                  <c:v>53982000</c:v>
                </c:pt>
                <c:pt idx="1129">
                  <c:v>44049000</c:v>
                </c:pt>
                <c:pt idx="1130">
                  <c:v>68313000</c:v>
                </c:pt>
                <c:pt idx="1131">
                  <c:v>13019000</c:v>
                </c:pt>
                <c:pt idx="1132">
                  <c:v>49613000</c:v>
                </c:pt>
                <c:pt idx="1133">
                  <c:v>45743000</c:v>
                </c:pt>
                <c:pt idx="1134">
                  <c:v>43015000</c:v>
                </c:pt>
                <c:pt idx="1135">
                  <c:v>139000000</c:v>
                </c:pt>
                <c:pt idx="1136">
                  <c:v>67917000</c:v>
                </c:pt>
                <c:pt idx="1137">
                  <c:v>48269000</c:v>
                </c:pt>
                <c:pt idx="1138">
                  <c:v>64650000</c:v>
                </c:pt>
                <c:pt idx="1139">
                  <c:v>35515000</c:v>
                </c:pt>
                <c:pt idx="1140">
                  <c:v>29804000</c:v>
                </c:pt>
                <c:pt idx="1141">
                  <c:v>21713000</c:v>
                </c:pt>
                <c:pt idx="1142">
                  <c:v>40207000</c:v>
                </c:pt>
                <c:pt idx="1143">
                  <c:v>27272000</c:v>
                </c:pt>
                <c:pt idx="1144">
                  <c:v>35008000</c:v>
                </c:pt>
                <c:pt idx="1145">
                  <c:v>52677000</c:v>
                </c:pt>
                <c:pt idx="1146">
                  <c:v>45550000</c:v>
                </c:pt>
                <c:pt idx="1147">
                  <c:v>67739000</c:v>
                </c:pt>
                <c:pt idx="1148">
                  <c:v>30521000</c:v>
                </c:pt>
                <c:pt idx="1149">
                  <c:v>51766000</c:v>
                </c:pt>
                <c:pt idx="1150">
                  <c:v>140000000</c:v>
                </c:pt>
                <c:pt idx="1151">
                  <c:v>38994000</c:v>
                </c:pt>
                <c:pt idx="1152">
                  <c:v>28489000</c:v>
                </c:pt>
                <c:pt idx="1153">
                  <c:v>37037000</c:v>
                </c:pt>
                <c:pt idx="1154">
                  <c:v>31162000</c:v>
                </c:pt>
                <c:pt idx="1155">
                  <c:v>26527000</c:v>
                </c:pt>
                <c:pt idx="1156">
                  <c:v>31953000</c:v>
                </c:pt>
                <c:pt idx="1157">
                  <c:v>29933000</c:v>
                </c:pt>
                <c:pt idx="1158">
                  <c:v>11030000</c:v>
                </c:pt>
                <c:pt idx="1159">
                  <c:v>39785000</c:v>
                </c:pt>
                <c:pt idx="1160">
                  <c:v>33369000</c:v>
                </c:pt>
                <c:pt idx="1161">
                  <c:v>30386000</c:v>
                </c:pt>
                <c:pt idx="1162">
                  <c:v>25967000</c:v>
                </c:pt>
                <c:pt idx="1163">
                  <c:v>30427000</c:v>
                </c:pt>
                <c:pt idx="1164">
                  <c:v>24133000</c:v>
                </c:pt>
                <c:pt idx="1165">
                  <c:v>28811000</c:v>
                </c:pt>
                <c:pt idx="1166">
                  <c:v>24769000</c:v>
                </c:pt>
                <c:pt idx="1167">
                  <c:v>25330000</c:v>
                </c:pt>
                <c:pt idx="1168">
                  <c:v>49316000</c:v>
                </c:pt>
                <c:pt idx="1169">
                  <c:v>20255000</c:v>
                </c:pt>
                <c:pt idx="1170">
                  <c:v>35670000</c:v>
                </c:pt>
                <c:pt idx="1171">
                  <c:v>20701000</c:v>
                </c:pt>
                <c:pt idx="1172">
                  <c:v>29085000</c:v>
                </c:pt>
                <c:pt idx="1173">
                  <c:v>32495000</c:v>
                </c:pt>
                <c:pt idx="1174">
                  <c:v>27343000</c:v>
                </c:pt>
                <c:pt idx="1175">
                  <c:v>18591000</c:v>
                </c:pt>
                <c:pt idx="1176">
                  <c:v>34228000</c:v>
                </c:pt>
                <c:pt idx="1177">
                  <c:v>21306000</c:v>
                </c:pt>
                <c:pt idx="1178">
                  <c:v>27686000</c:v>
                </c:pt>
                <c:pt idx="1179">
                  <c:v>34855000</c:v>
                </c:pt>
                <c:pt idx="1180">
                  <c:v>47116000</c:v>
                </c:pt>
                <c:pt idx="1181">
                  <c:v>29269000</c:v>
                </c:pt>
                <c:pt idx="1182">
                  <c:v>25524000</c:v>
                </c:pt>
                <c:pt idx="1183">
                  <c:v>22226000</c:v>
                </c:pt>
                <c:pt idx="1184">
                  <c:v>16680000</c:v>
                </c:pt>
                <c:pt idx="1185">
                  <c:v>21739000</c:v>
                </c:pt>
                <c:pt idx="1186">
                  <c:v>25825000</c:v>
                </c:pt>
                <c:pt idx="1187">
                  <c:v>22641000</c:v>
                </c:pt>
                <c:pt idx="1188">
                  <c:v>23264000</c:v>
                </c:pt>
                <c:pt idx="1189">
                  <c:v>52743000</c:v>
                </c:pt>
                <c:pt idx="1190">
                  <c:v>19416000</c:v>
                </c:pt>
                <c:pt idx="1191">
                  <c:v>20744000</c:v>
                </c:pt>
                <c:pt idx="1192">
                  <c:v>17770000</c:v>
                </c:pt>
                <c:pt idx="1193">
                  <c:v>17180000</c:v>
                </c:pt>
                <c:pt idx="1194">
                  <c:v>14281000</c:v>
                </c:pt>
                <c:pt idx="1195">
                  <c:v>18344000</c:v>
                </c:pt>
                <c:pt idx="1196">
                  <c:v>16545000</c:v>
                </c:pt>
                <c:pt idx="1197">
                  <c:v>21432000</c:v>
                </c:pt>
                <c:pt idx="1198">
                  <c:v>57278000</c:v>
                </c:pt>
                <c:pt idx="1199">
                  <c:v>40267000</c:v>
                </c:pt>
                <c:pt idx="1200">
                  <c:v>18287000</c:v>
                </c:pt>
                <c:pt idx="1201">
                  <c:v>26968000</c:v>
                </c:pt>
                <c:pt idx="1202">
                  <c:v>36701000</c:v>
                </c:pt>
                <c:pt idx="1203">
                  <c:v>22417000</c:v>
                </c:pt>
                <c:pt idx="1204">
                  <c:v>39020000</c:v>
                </c:pt>
                <c:pt idx="1205">
                  <c:v>40992000</c:v>
                </c:pt>
                <c:pt idx="1206">
                  <c:v>38192000</c:v>
                </c:pt>
                <c:pt idx="1207">
                  <c:v>32050000</c:v>
                </c:pt>
                <c:pt idx="1208">
                  <c:v>40493000</c:v>
                </c:pt>
                <c:pt idx="1209">
                  <c:v>52411000</c:v>
                </c:pt>
                <c:pt idx="1210">
                  <c:v>43953000</c:v>
                </c:pt>
                <c:pt idx="1211">
                  <c:v>53359000</c:v>
                </c:pt>
                <c:pt idx="1212">
                  <c:v>179000000</c:v>
                </c:pt>
                <c:pt idx="1213">
                  <c:v>32016000</c:v>
                </c:pt>
                <c:pt idx="1214">
                  <c:v>28224000</c:v>
                </c:pt>
                <c:pt idx="1215">
                  <c:v>18712000</c:v>
                </c:pt>
                <c:pt idx="1216">
                  <c:v>26730000</c:v>
                </c:pt>
                <c:pt idx="1217">
                  <c:v>23484000</c:v>
                </c:pt>
                <c:pt idx="1218">
                  <c:v>75480000</c:v>
                </c:pt>
                <c:pt idx="1219">
                  <c:v>40187000</c:v>
                </c:pt>
                <c:pt idx="1220">
                  <c:v>25844000</c:v>
                </c:pt>
                <c:pt idx="1221">
                  <c:v>27614000</c:v>
                </c:pt>
                <c:pt idx="1222">
                  <c:v>25798000</c:v>
                </c:pt>
                <c:pt idx="1223">
                  <c:v>31234000</c:v>
                </c:pt>
                <c:pt idx="1224">
                  <c:v>29573000</c:v>
                </c:pt>
                <c:pt idx="1225">
                  <c:v>26471000</c:v>
                </c:pt>
                <c:pt idx="1226">
                  <c:v>23890000</c:v>
                </c:pt>
                <c:pt idx="1227">
                  <c:v>22629000</c:v>
                </c:pt>
                <c:pt idx="1228">
                  <c:v>39070000</c:v>
                </c:pt>
                <c:pt idx="1229">
                  <c:v>27426000</c:v>
                </c:pt>
                <c:pt idx="1230">
                  <c:v>26871000</c:v>
                </c:pt>
                <c:pt idx="1231">
                  <c:v>23259000</c:v>
                </c:pt>
                <c:pt idx="1232">
                  <c:v>28292000</c:v>
                </c:pt>
                <c:pt idx="1233">
                  <c:v>25614000</c:v>
                </c:pt>
                <c:pt idx="1234">
                  <c:v>19564000</c:v>
                </c:pt>
                <c:pt idx="1235">
                  <c:v>29211000</c:v>
                </c:pt>
                <c:pt idx="1236">
                  <c:v>24434000</c:v>
                </c:pt>
                <c:pt idx="1237">
                  <c:v>23010000</c:v>
                </c:pt>
                <c:pt idx="1238">
                  <c:v>26672000</c:v>
                </c:pt>
                <c:pt idx="1239">
                  <c:v>33278000</c:v>
                </c:pt>
                <c:pt idx="1240">
                  <c:v>40340000</c:v>
                </c:pt>
                <c:pt idx="1241">
                  <c:v>20084000</c:v>
                </c:pt>
                <c:pt idx="1242">
                  <c:v>18639000</c:v>
                </c:pt>
                <c:pt idx="1243">
                  <c:v>26507000</c:v>
                </c:pt>
                <c:pt idx="1244">
                  <c:v>29496000</c:v>
                </c:pt>
                <c:pt idx="1245">
                  <c:v>37240000</c:v>
                </c:pt>
                <c:pt idx="1246">
                  <c:v>33480000</c:v>
                </c:pt>
                <c:pt idx="1247">
                  <c:v>16900000</c:v>
                </c:pt>
                <c:pt idx="1248">
                  <c:v>34083000</c:v>
                </c:pt>
                <c:pt idx="1249">
                  <c:v>40454000</c:v>
                </c:pt>
                <c:pt idx="1250">
                  <c:v>36620000</c:v>
                </c:pt>
                <c:pt idx="1251">
                  <c:v>33766000</c:v>
                </c:pt>
                <c:pt idx="1252">
                  <c:v>38879000</c:v>
                </c:pt>
                <c:pt idx="1253">
                  <c:v>36521000</c:v>
                </c:pt>
                <c:pt idx="1254">
                  <c:v>30157000</c:v>
                </c:pt>
                <c:pt idx="1255">
                  <c:v>33815000</c:v>
                </c:pt>
                <c:pt idx="1256">
                  <c:v>17790000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24-4B43-B4C3-81DFE3499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826976"/>
        <c:axId val="773827304"/>
      </c:lineChart>
      <c:dateAx>
        <c:axId val="77382697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27304"/>
        <c:crosses val="autoZero"/>
        <c:auto val="1"/>
        <c:lblOffset val="100"/>
        <c:baseTimeUnit val="days"/>
      </c:dateAx>
      <c:valAx>
        <c:axId val="77382730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269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23963</xdr:colOff>
      <xdr:row>2</xdr:row>
      <xdr:rowOff>50527</xdr:rowOff>
    </xdr:from>
    <xdr:to>
      <xdr:col>1</xdr:col>
      <xdr:colOff>1612626</xdr:colOff>
      <xdr:row>2</xdr:row>
      <xdr:rowOff>805269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DBD4D66D-271D-4BE8-946B-6928FB843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9" y="414753"/>
          <a:ext cx="1588663" cy="75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105833</xdr:colOff>
      <xdr:row>6</xdr:row>
      <xdr:rowOff>84666</xdr:rowOff>
    </xdr:from>
    <xdr:to>
      <xdr:col>13</xdr:col>
      <xdr:colOff>1217084</xdr:colOff>
      <xdr:row>17</xdr:row>
      <xdr:rowOff>107949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278C5C-70EF-4007-AFD7-A7FF7C3AC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116416</xdr:colOff>
      <xdr:row>20</xdr:row>
      <xdr:rowOff>95250</xdr:rowOff>
    </xdr:from>
    <xdr:to>
      <xdr:col>14</xdr:col>
      <xdr:colOff>0</xdr:colOff>
      <xdr:row>27</xdr:row>
      <xdr:rowOff>433917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21FEB5-6909-46A5-939B-26E2A7E11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9514-741B-4007-94D7-BC586291357D}">
  <dimension ref="A2:O49"/>
  <sheetViews>
    <sheetView showGridLines="0" zoomScale="72" zoomScaleNormal="72" workbookViewId="0">
      <selection activeCell="F26" sqref="F26"/>
    </sheetView>
  </sheetViews>
  <sheetFormatPr defaultRowHeight="14.4"/>
  <cols>
    <col min="1" max="1" width="1.88671875" customWidth="1"/>
    <col min="2" max="2" width="23.77734375" customWidth="1"/>
    <col min="3" max="3" width="11.6640625" bestFit="1" customWidth="1"/>
    <col min="4" max="4" width="9.33203125" bestFit="1" customWidth="1"/>
    <col min="5" max="8" width="19.5546875" bestFit="1" customWidth="1"/>
    <col min="9" max="9" width="1.88671875" customWidth="1"/>
    <col min="14" max="14" width="19.5546875" bestFit="1" customWidth="1"/>
    <col min="15" max="15" width="1.88671875" customWidth="1"/>
    <col min="16" max="16384" width="8.88671875" style="263"/>
  </cols>
  <sheetData>
    <row r="2" spans="2:15">
      <c r="B2" s="238" t="s">
        <v>517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62"/>
    </row>
    <row r="3" spans="2:15" ht="79.95" customHeight="1">
      <c r="B3" s="163"/>
      <c r="C3" s="268" t="s">
        <v>518</v>
      </c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4"/>
    </row>
    <row r="5" spans="2:15">
      <c r="B5" s="2" t="s">
        <v>519</v>
      </c>
      <c r="C5" s="73"/>
      <c r="D5" s="73"/>
      <c r="E5" s="3">
        <f>HistoricalFS!C3</f>
        <v>44196</v>
      </c>
      <c r="F5" s="3">
        <f>HistoricalFS!D3</f>
        <v>44561</v>
      </c>
      <c r="G5" s="3">
        <f>HistoricalFS!E3</f>
        <v>44926</v>
      </c>
      <c r="H5" s="3">
        <f>HistoricalFS!F3</f>
        <v>45291</v>
      </c>
      <c r="I5" s="265"/>
      <c r="J5" s="238" t="s">
        <v>530</v>
      </c>
      <c r="K5" s="238"/>
      <c r="L5" s="238"/>
      <c r="M5" s="238"/>
      <c r="N5" s="238"/>
    </row>
    <row r="7" spans="2:15">
      <c r="B7" t="s">
        <v>520</v>
      </c>
      <c r="E7" s="10">
        <f>HistoricalFS!C5</f>
        <v>52714000000</v>
      </c>
      <c r="F7" s="10">
        <f>HistoricalFS!D5</f>
        <v>53170000000</v>
      </c>
      <c r="G7" s="10">
        <f>HistoricalFS!E5</f>
        <v>56504000000</v>
      </c>
      <c r="H7" s="10">
        <f>HistoricalFS!F5</f>
        <v>59529000000</v>
      </c>
      <c r="I7" s="10"/>
    </row>
    <row r="8" spans="2:15">
      <c r="B8" t="s">
        <v>522</v>
      </c>
      <c r="F8" s="9">
        <f>F7/E7-1</f>
        <v>8.6504533899913749E-3</v>
      </c>
      <c r="G8" s="9">
        <f t="shared" ref="G8:H8" si="0">G7/F7-1</f>
        <v>6.270453263118303E-2</v>
      </c>
      <c r="H8" s="9">
        <f t="shared" si="0"/>
        <v>5.3536032847232073E-2</v>
      </c>
      <c r="I8" s="9"/>
    </row>
    <row r="10" spans="2:15">
      <c r="B10" t="s">
        <v>521</v>
      </c>
      <c r="E10" s="12">
        <f>HistoricalFS!C12</f>
        <v>0.30331600713282997</v>
      </c>
      <c r="F10" s="12">
        <f>HistoricalFS!D12</f>
        <v>0.31472634944517586</v>
      </c>
      <c r="G10" s="12">
        <f>HistoricalFS!E12</f>
        <v>0.31813676907829536</v>
      </c>
      <c r="H10" s="12">
        <f>HistoricalFS!F12</f>
        <v>0.31979371398814022</v>
      </c>
      <c r="I10" s="12"/>
    </row>
    <row r="11" spans="2:15">
      <c r="B11" t="s">
        <v>523</v>
      </c>
      <c r="E11" s="12">
        <f>HistoricalFS!C32</f>
        <v>9.4301324126418035E-2</v>
      </c>
      <c r="F11" s="12">
        <f>HistoricalFS!D32</f>
        <v>0.10902764716945645</v>
      </c>
      <c r="G11" s="12">
        <f>HistoricalFS!E32</f>
        <v>0.10919580914625514</v>
      </c>
      <c r="H11" s="12">
        <f>HistoricalFS!F32</f>
        <v>0.11160946765442054</v>
      </c>
      <c r="I11" s="12"/>
    </row>
    <row r="12" spans="2:15">
      <c r="B12" t="s">
        <v>524</v>
      </c>
      <c r="E12" s="12">
        <f>'Ratio Analysis'!C13</f>
        <v>4.5054444739537881E-2</v>
      </c>
      <c r="F12" s="12">
        <f>'Ratio Analysis'!D13</f>
        <v>5.8924205378973103E-2</v>
      </c>
      <c r="G12" s="12">
        <f>'Ratio Analysis'!E13</f>
        <v>5.9730284581622543E-2</v>
      </c>
      <c r="H12" s="12">
        <f>'Ratio Analysis'!F13</f>
        <v>6.2792924456987351E-2</v>
      </c>
      <c r="I12" s="12"/>
    </row>
    <row r="13" spans="2:15">
      <c r="B13" t="s">
        <v>525</v>
      </c>
      <c r="E13" s="12">
        <f>'Ratio Analysis'!C15</f>
        <v>2.2612588686117541E-2</v>
      </c>
      <c r="F13" s="12">
        <f>'Ratio Analysis'!D15</f>
        <v>3.7163814180929094E-2</v>
      </c>
      <c r="G13" s="12">
        <f>'Ratio Analysis'!E15</f>
        <v>3.5289537023927509E-2</v>
      </c>
      <c r="H13" s="12">
        <f>'Ratio Analysis'!F15</f>
        <v>3.6738396411832887E-2</v>
      </c>
      <c r="I13" s="12"/>
    </row>
    <row r="14" spans="2:15">
      <c r="B14" t="s">
        <v>526</v>
      </c>
      <c r="D14" s="11"/>
      <c r="E14" s="53">
        <f>HistoricalFS!C51</f>
        <v>3.0597431602456728</v>
      </c>
      <c r="F14" s="53">
        <f>HistoricalFS!D51</f>
        <v>5.4505558806319483</v>
      </c>
      <c r="G14" s="53">
        <f>HistoricalFS!E51</f>
        <v>5.7552004823635814</v>
      </c>
      <c r="H14" s="53">
        <f>HistoricalFS!F51</f>
        <v>6.5250000000000004</v>
      </c>
      <c r="I14" s="53"/>
    </row>
    <row r="15" spans="2:15">
      <c r="B15" t="s">
        <v>527</v>
      </c>
      <c r="F15" s="53">
        <f>HistoricalFS!D52</f>
        <v>0.78137693106055095</v>
      </c>
      <c r="G15" s="53">
        <f>HistoricalFS!E52</f>
        <v>5.589239123557288E-2</v>
      </c>
      <c r="H15" s="53">
        <f>HistoricalFS!F52</f>
        <v>0.13375720272393932</v>
      </c>
      <c r="I15" s="53"/>
    </row>
    <row r="16" spans="2:15">
      <c r="B16" t="s">
        <v>528</v>
      </c>
      <c r="E16" s="53">
        <f>HistoricalFS!C54</f>
        <v>1.6192071468453377</v>
      </c>
      <c r="F16" s="53">
        <f>HistoricalFS!D54</f>
        <v>1.3809245172615565</v>
      </c>
      <c r="G16" s="53">
        <f>HistoricalFS!E54</f>
        <v>1.5586373228821224</v>
      </c>
      <c r="H16" s="53">
        <f>HistoricalFS!F54</f>
        <v>1.71875</v>
      </c>
      <c r="I16" s="53"/>
    </row>
    <row r="17" spans="2:14">
      <c r="B17" t="s">
        <v>529</v>
      </c>
      <c r="F17" s="12">
        <f>'Ratio Analysis'!D9</f>
        <v>-0.14716006537398352</v>
      </c>
      <c r="G17" s="12">
        <f>'Ratio Analysis'!E9</f>
        <v>0.12869118000235047</v>
      </c>
      <c r="H17" s="12">
        <f>'Ratio Analysis'!F9</f>
        <v>0.10272606382978733</v>
      </c>
      <c r="I17" s="12"/>
    </row>
    <row r="20" spans="2:14">
      <c r="B20" s="2" t="s">
        <v>531</v>
      </c>
      <c r="C20" s="2"/>
      <c r="D20" s="2"/>
      <c r="E20" s="3">
        <f>E5</f>
        <v>44196</v>
      </c>
      <c r="F20" s="3">
        <f t="shared" ref="F20:H20" si="1">F5</f>
        <v>44561</v>
      </c>
      <c r="G20" s="3">
        <f t="shared" si="1"/>
        <v>44926</v>
      </c>
      <c r="H20" s="3">
        <f t="shared" si="1"/>
        <v>45291</v>
      </c>
      <c r="J20" s="238" t="s">
        <v>536</v>
      </c>
      <c r="K20" s="238"/>
      <c r="L20" s="238"/>
      <c r="M20" s="238"/>
      <c r="N20" s="238"/>
    </row>
    <row r="22" spans="2:14">
      <c r="B22" t="s">
        <v>503</v>
      </c>
      <c r="E22" s="53">
        <f>(balance_sheet!C7+balance_sheet!C16-balance_sheet!C95)/HistoricalFS!C31</f>
        <v>4.3329309997988332</v>
      </c>
      <c r="F22" s="53">
        <f>(balance_sheet!D7+balance_sheet!D16-balance_sheet!D95)/HistoricalFS!D31</f>
        <v>3.6368811454200447</v>
      </c>
      <c r="G22" s="53">
        <f>(balance_sheet!E7+balance_sheet!E16-balance_sheet!E95)/HistoricalFS!E31</f>
        <v>3.7769854132901135</v>
      </c>
      <c r="H22" s="53">
        <f>(balance_sheet!F7+balance_sheet!F16-balance_sheet!F95)/HistoricalFS!F31</f>
        <v>3.521974714027694</v>
      </c>
      <c r="I22" s="10">
        <f>(balance_sheet!G7+balance_sheet!G16-balance_sheet!G95)/HistoricalFS!G31</f>
        <v>0</v>
      </c>
    </row>
    <row r="23" spans="2:14">
      <c r="B23" t="s">
        <v>532</v>
      </c>
      <c r="E23" s="53">
        <f>(balance_sheet!C7+balance_sheet!C16-balance_sheet!C95)/E7</f>
        <v>0.40860113062943432</v>
      </c>
      <c r="F23" s="53">
        <f>(balance_sheet!D7+balance_sheet!D16-balance_sheet!D95)/F7</f>
        <v>0.39652059432010534</v>
      </c>
      <c r="G23" s="53">
        <f>(balance_sheet!E7+balance_sheet!E16-balance_sheet!E95)/G7</f>
        <v>0.41243097833781678</v>
      </c>
      <c r="H23" s="53">
        <f>(balance_sheet!F7+balance_sheet!F16-balance_sheet!F95)/H7</f>
        <v>0.39308572292496097</v>
      </c>
    </row>
    <row r="24" spans="2:14">
      <c r="B24" t="s">
        <v>533</v>
      </c>
      <c r="E24" s="53">
        <f>balance_sheet!C16/(HistoricalFS!C60+HistoricalFS!C64)</f>
        <v>1.568216566237971</v>
      </c>
      <c r="F24" s="53">
        <f>balance_sheet!D16/(HistoricalFS!D60+HistoricalFS!D64)</f>
        <v>1.5152083155831984</v>
      </c>
      <c r="G24" s="53">
        <f>balance_sheet!E16/(HistoricalFS!E60+HistoricalFS!E64)</f>
        <v>1.6022171787709498</v>
      </c>
      <c r="H24" s="53">
        <f>balance_sheet!F16/(HistoricalFS!F60+HistoricalFS!F64)</f>
        <v>1.5599449178070401</v>
      </c>
    </row>
    <row r="25" spans="2:14">
      <c r="B25" t="s">
        <v>535</v>
      </c>
      <c r="E25" s="12">
        <f>'Ratio Analysis'!C23</f>
        <v>0.10720388524147854</v>
      </c>
      <c r="F25" s="12">
        <f>'Ratio Analysis'!D23</f>
        <v>0.16835647950924426</v>
      </c>
      <c r="G25" s="12">
        <f>'Ratio Analysis'!E23</f>
        <v>0.17405726256983239</v>
      </c>
      <c r="H25" s="12">
        <f>'Ratio Analysis'!F23</f>
        <v>0.1882261812548412</v>
      </c>
      <c r="I25" s="12"/>
    </row>
    <row r="26" spans="2:14">
      <c r="B26" t="s">
        <v>534</v>
      </c>
      <c r="E26" s="12">
        <f>'Ratio Analysis'!C21</f>
        <v>0.11945478322100392</v>
      </c>
      <c r="F26" s="12">
        <f>'Ratio Analysis'!D21</f>
        <v>0.14966798834376344</v>
      </c>
      <c r="G26" s="12">
        <f>'Ratio Analysis'!E21</f>
        <v>0.15658346478611859</v>
      </c>
      <c r="H26" s="12">
        <f>'Ratio Analysis'!F21</f>
        <v>0.1663847591916674</v>
      </c>
      <c r="I26" s="12"/>
    </row>
    <row r="28" spans="2:14" ht="46.2" customHeight="1"/>
    <row r="29" spans="2:14">
      <c r="B29" s="267" t="s">
        <v>551</v>
      </c>
      <c r="C29" s="267"/>
      <c r="D29" s="267"/>
      <c r="E29" s="267"/>
      <c r="F29" s="167" t="s">
        <v>549</v>
      </c>
      <c r="G29" s="179" t="s">
        <v>550</v>
      </c>
      <c r="H29" s="266" t="s">
        <v>469</v>
      </c>
      <c r="J29" s="238" t="s">
        <v>330</v>
      </c>
      <c r="K29" s="238"/>
      <c r="L29" s="238"/>
      <c r="M29" s="238"/>
      <c r="N29" s="238"/>
    </row>
    <row r="30" spans="2:14">
      <c r="B30" s="74"/>
      <c r="F30" s="74"/>
      <c r="G30" s="74"/>
      <c r="H30" s="74"/>
    </row>
    <row r="31" spans="2:14">
      <c r="B31" s="227" t="s">
        <v>539</v>
      </c>
      <c r="F31" s="269">
        <v>159586256</v>
      </c>
      <c r="G31" s="270">
        <v>0.52539999999999998</v>
      </c>
      <c r="H31" s="271">
        <v>20194000000</v>
      </c>
      <c r="J31" t="s">
        <v>552</v>
      </c>
      <c r="N31" s="272">
        <v>178.29</v>
      </c>
    </row>
    <row r="32" spans="2:14">
      <c r="B32" s="227" t="s">
        <v>540</v>
      </c>
      <c r="F32" s="269">
        <v>1584600</v>
      </c>
      <c r="G32" s="270">
        <v>5.2160000000000002E-3</v>
      </c>
      <c r="H32" s="271">
        <v>201000000</v>
      </c>
      <c r="J32" t="s">
        <v>553</v>
      </c>
      <c r="N32" s="182">
        <f>'Comp Vals'!E12</f>
        <v>305391638</v>
      </c>
    </row>
    <row r="33" spans="2:14">
      <c r="B33" s="227" t="s">
        <v>541</v>
      </c>
      <c r="F33" s="269">
        <v>1419570</v>
      </c>
      <c r="G33" s="270">
        <v>4.6730000000000001E-3</v>
      </c>
      <c r="H33" s="271">
        <v>180000000</v>
      </c>
      <c r="J33" s="5" t="s">
        <v>333</v>
      </c>
      <c r="K33" s="5"/>
      <c r="L33" s="5"/>
      <c r="M33" s="5"/>
      <c r="N33" s="15">
        <f>N31*N32</f>
        <v>54448275139.019997</v>
      </c>
    </row>
    <row r="34" spans="2:14">
      <c r="B34" s="227" t="s">
        <v>542</v>
      </c>
      <c r="F34" s="269">
        <v>1291683</v>
      </c>
      <c r="G34" s="270">
        <v>4.2519999999999997E-3</v>
      </c>
      <c r="H34" s="271">
        <v>163000000</v>
      </c>
      <c r="J34" s="5" t="s">
        <v>467</v>
      </c>
      <c r="N34" s="18">
        <f>'Comp Vals'!H12</f>
        <v>71668275139.019989</v>
      </c>
    </row>
    <row r="35" spans="2:14">
      <c r="B35" s="227" t="s">
        <v>543</v>
      </c>
      <c r="F35" s="269">
        <v>690629</v>
      </c>
      <c r="G35" s="270">
        <v>2.274E-3</v>
      </c>
      <c r="H35" s="271">
        <v>87000000</v>
      </c>
    </row>
    <row r="36" spans="2:14">
      <c r="B36" s="227" t="s">
        <v>544</v>
      </c>
      <c r="F36" s="269">
        <v>473636</v>
      </c>
      <c r="G36" s="270">
        <v>1.5590000000000001E-3</v>
      </c>
      <c r="H36" s="271">
        <v>60000000</v>
      </c>
    </row>
    <row r="37" spans="2:14">
      <c r="B37" s="227" t="s">
        <v>545</v>
      </c>
      <c r="F37" s="269">
        <v>424535</v>
      </c>
      <c r="G37" s="270">
        <v>1.3979999999999999E-3</v>
      </c>
      <c r="H37" s="271">
        <v>54000000</v>
      </c>
    </row>
    <row r="38" spans="2:14">
      <c r="B38" s="227" t="s">
        <v>546</v>
      </c>
      <c r="F38" s="269">
        <v>304731</v>
      </c>
      <c r="G38" s="270">
        <v>1.003E-3</v>
      </c>
      <c r="H38" s="271">
        <v>39000000</v>
      </c>
    </row>
    <row r="39" spans="2:14">
      <c r="B39" s="227" t="s">
        <v>547</v>
      </c>
      <c r="F39" s="269">
        <v>258101</v>
      </c>
      <c r="G39" s="270">
        <v>8.4999999999999995E-4</v>
      </c>
      <c r="H39" s="271">
        <v>33000000</v>
      </c>
    </row>
    <row r="40" spans="2:14">
      <c r="B40" s="227" t="s">
        <v>548</v>
      </c>
      <c r="F40" s="269">
        <v>226205</v>
      </c>
      <c r="G40" s="270">
        <v>7.45E-4</v>
      </c>
      <c r="H40" s="271">
        <v>29000000</v>
      </c>
    </row>
    <row r="41" spans="2:14">
      <c r="B41" s="74"/>
      <c r="C41" s="74"/>
      <c r="D41" s="74"/>
      <c r="E41" s="74"/>
      <c r="F41" s="74"/>
      <c r="G41" s="74"/>
    </row>
    <row r="43" spans="2:14">
      <c r="B43" s="267" t="s">
        <v>554</v>
      </c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</row>
    <row r="44" spans="2:14">
      <c r="B44" t="s">
        <v>555</v>
      </c>
    </row>
    <row r="45" spans="2:14">
      <c r="B45" s="240" t="s">
        <v>556</v>
      </c>
    </row>
    <row r="46" spans="2:14">
      <c r="B46" t="s">
        <v>557</v>
      </c>
    </row>
    <row r="47" spans="2:14">
      <c r="B47" t="s">
        <v>558</v>
      </c>
    </row>
    <row r="48" spans="2:14">
      <c r="B48" t="s">
        <v>559</v>
      </c>
    </row>
    <row r="49" spans="2:2">
      <c r="B49" s="240"/>
    </row>
  </sheetData>
  <mergeCells count="7">
    <mergeCell ref="J20:N20"/>
    <mergeCell ref="B29:E29"/>
    <mergeCell ref="J29:N29"/>
    <mergeCell ref="B43:N43"/>
    <mergeCell ref="B2:N2"/>
    <mergeCell ref="C3:N3"/>
    <mergeCell ref="J5:N5"/>
  </mergeCells>
  <printOptions horizontalCentered="1" verticalCentered="1"/>
  <pageMargins left="0.7" right="0.7" top="0.75" bottom="0.75" header="0.3" footer="0.3"/>
  <pageSetup paperSize="9" scale="6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ADBC-26EC-40AD-BCCC-014DEF2CC12F}">
  <sheetPr>
    <tabColor theme="8" tint="-0.499984740745262"/>
  </sheetPr>
  <dimension ref="A1"/>
  <sheetViews>
    <sheetView showGridLines="0" workbookViewId="0">
      <selection activeCell="E18" sqref="E18"/>
    </sheetView>
  </sheetViews>
  <sheetFormatPr defaultRowHeight="14.4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4B8A-C71B-4B86-B1FC-59FEC758B4D4}">
  <sheetPr>
    <pageSetUpPr fitToPage="1"/>
  </sheetPr>
  <dimension ref="A2:J127"/>
  <sheetViews>
    <sheetView showGridLines="0" view="pageBreakPreview" zoomScale="90" zoomScaleNormal="100" zoomScaleSheetLayoutView="90" workbookViewId="0">
      <pane ySplit="3" topLeftCell="A4" activePane="bottomLeft" state="frozen"/>
      <selection activeCell="B1" sqref="B1:B1048576"/>
      <selection pane="bottomLeft" activeCell="D21" sqref="D21"/>
    </sheetView>
  </sheetViews>
  <sheetFormatPr defaultRowHeight="14.4" outlineLevelRow="1"/>
  <cols>
    <col min="1" max="1" width="1.88671875" customWidth="1"/>
    <col min="2" max="2" width="41.5546875" bestFit="1" customWidth="1"/>
    <col min="3" max="7" width="20.21875" bestFit="1" customWidth="1"/>
    <col min="8" max="8" width="1.88671875" customWidth="1"/>
    <col min="9" max="9" width="17.21875" bestFit="1" customWidth="1"/>
    <col min="10" max="10" width="15.6640625" bestFit="1" customWidth="1"/>
  </cols>
  <sheetData>
    <row r="2" spans="1:9" ht="18">
      <c r="B2" s="231" t="str">
        <f>"Historical Financial Data -"&amp;" "&amp;incomestatement!B2</f>
        <v xml:space="preserve">Historical Financial Data - Loblaws Limited Company </v>
      </c>
      <c r="C2" s="231"/>
      <c r="D2" s="231"/>
      <c r="E2" s="231"/>
      <c r="F2" s="231"/>
      <c r="G2" s="231"/>
    </row>
    <row r="3" spans="1:9">
      <c r="B3" s="2" t="s">
        <v>0</v>
      </c>
      <c r="C3" s="3">
        <f>incomestatement!C2</f>
        <v>44196</v>
      </c>
      <c r="D3" s="3">
        <f>incomestatement!D2</f>
        <v>44561</v>
      </c>
      <c r="E3" s="3">
        <f>incomestatement!E2</f>
        <v>44926</v>
      </c>
      <c r="F3" s="3">
        <f>incomestatement!F2</f>
        <v>45291</v>
      </c>
      <c r="G3" s="4" t="s">
        <v>42</v>
      </c>
    </row>
    <row r="4" spans="1:9">
      <c r="A4" t="s">
        <v>44</v>
      </c>
      <c r="B4" s="13" t="s">
        <v>43</v>
      </c>
      <c r="C4" s="14"/>
      <c r="D4" s="14"/>
      <c r="E4" s="14"/>
      <c r="F4" s="14"/>
      <c r="G4" s="14"/>
    </row>
    <row r="5" spans="1:9">
      <c r="B5" s="197" t="s">
        <v>39</v>
      </c>
      <c r="C5" s="198">
        <f>incomestatement!C41</f>
        <v>52714000000</v>
      </c>
      <c r="D5" s="198">
        <f>incomestatement!D41</f>
        <v>53170000000</v>
      </c>
      <c r="E5" s="198">
        <f>incomestatement!E41</f>
        <v>56504000000</v>
      </c>
      <c r="F5" s="198">
        <f>incomestatement!F41</f>
        <v>59529000000</v>
      </c>
      <c r="G5" s="198">
        <f>IFERROR(SUM(income_statement_quaterly!C41:F41),0)</f>
        <v>60324000000</v>
      </c>
    </row>
    <row r="6" spans="1:9">
      <c r="B6" s="199" t="s">
        <v>214</v>
      </c>
      <c r="C6" s="199"/>
      <c r="D6" s="200">
        <f>D5/C5-1</f>
        <v>8.6504533899913749E-3</v>
      </c>
      <c r="E6" s="200">
        <f>E5/D5-1</f>
        <v>6.270453263118303E-2</v>
      </c>
      <c r="F6" s="200">
        <f>F5/E5-1</f>
        <v>5.3536032847232073E-2</v>
      </c>
      <c r="G6" s="200">
        <f>G5/F5-1</f>
        <v>1.3354835458347925E-2</v>
      </c>
    </row>
    <row r="7" spans="1:9">
      <c r="B7" s="197"/>
      <c r="C7" s="197"/>
      <c r="D7" s="197"/>
      <c r="E7" s="197"/>
      <c r="F7" s="197"/>
      <c r="G7" s="197"/>
    </row>
    <row r="8" spans="1:9">
      <c r="B8" s="197" t="s">
        <v>216</v>
      </c>
      <c r="C8" s="198">
        <f>incomestatement!C40</f>
        <v>36725000000</v>
      </c>
      <c r="D8" s="198">
        <f>incomestatement!D40</f>
        <v>36436000000</v>
      </c>
      <c r="E8" s="198">
        <f>incomestatement!E40</f>
        <v>38528000000</v>
      </c>
      <c r="F8" s="198">
        <f>incomestatement!F40</f>
        <v>40492000000</v>
      </c>
      <c r="G8" s="198">
        <f>IFERROR(SUM(income_statement_quaterly!C39:F39),0)</f>
        <v>40844000000</v>
      </c>
    </row>
    <row r="9" spans="1:9">
      <c r="B9" s="199" t="s">
        <v>217</v>
      </c>
      <c r="C9" s="200">
        <f>C8/C5</f>
        <v>0.69668399286716998</v>
      </c>
      <c r="D9" s="200">
        <f>D8/D5</f>
        <v>0.68527365055482414</v>
      </c>
      <c r="E9" s="200">
        <f>E8/E5</f>
        <v>0.68186323092170464</v>
      </c>
      <c r="F9" s="200">
        <f>F8/F5</f>
        <v>0.68020628601185973</v>
      </c>
      <c r="G9" s="200">
        <f>G8/G5</f>
        <v>0.67707711690206218</v>
      </c>
    </row>
    <row r="10" spans="1:9" ht="15" thickBot="1">
      <c r="B10" s="5"/>
      <c r="C10" s="5"/>
      <c r="D10" s="5"/>
      <c r="E10" s="5"/>
      <c r="F10" s="5"/>
      <c r="G10" s="5"/>
    </row>
    <row r="11" spans="1:9" ht="15" thickBot="1">
      <c r="B11" s="25" t="s">
        <v>37</v>
      </c>
      <c r="C11" s="26">
        <f>C5-C8</f>
        <v>15989000000</v>
      </c>
      <c r="D11" s="26">
        <f>D5-D8</f>
        <v>16734000000</v>
      </c>
      <c r="E11" s="26">
        <f>E5-E8</f>
        <v>17976000000</v>
      </c>
      <c r="F11" s="26">
        <f>F5-F8</f>
        <v>19037000000</v>
      </c>
      <c r="G11" s="26">
        <f>G5-G8</f>
        <v>19480000000</v>
      </c>
      <c r="I11" s="29"/>
    </row>
    <row r="12" spans="1:9">
      <c r="B12" s="27" t="s">
        <v>276</v>
      </c>
      <c r="C12" s="17">
        <f>C11/C5</f>
        <v>0.30331600713282997</v>
      </c>
      <c r="D12" s="17">
        <f>D11/D5</f>
        <v>0.31472634944517586</v>
      </c>
      <c r="E12" s="17">
        <f>E11/E5</f>
        <v>0.31813676907829536</v>
      </c>
      <c r="F12" s="17">
        <f>F11/F5</f>
        <v>0.31979371398814022</v>
      </c>
      <c r="G12" s="17">
        <f>G11/G5</f>
        <v>0.32292288309793782</v>
      </c>
      <c r="I12" s="29"/>
    </row>
    <row r="13" spans="1:9">
      <c r="B13" s="197"/>
      <c r="C13" s="197"/>
      <c r="D13" s="197"/>
      <c r="E13" s="197"/>
      <c r="F13" s="197"/>
      <c r="G13" s="197"/>
    </row>
    <row r="14" spans="1:9">
      <c r="B14" s="197" t="s">
        <v>219</v>
      </c>
      <c r="C14" s="201">
        <f>incomestatement!C38</f>
        <v>13624000000</v>
      </c>
      <c r="D14" s="201">
        <f>incomestatement!D38</f>
        <v>13797000000</v>
      </c>
      <c r="E14" s="201">
        <f>incomestatement!E38</f>
        <v>14634000000</v>
      </c>
      <c r="F14" s="201">
        <f>incomestatement!F38</f>
        <v>15333000000</v>
      </c>
      <c r="G14" s="201">
        <f>SUM(income_statement_quaterly!C37:F37)</f>
        <v>15743000000</v>
      </c>
    </row>
    <row r="15" spans="1:9">
      <c r="B15" s="199" t="s">
        <v>218</v>
      </c>
      <c r="C15" s="200">
        <f>C14/C5</f>
        <v>0.2584512653185112</v>
      </c>
      <c r="D15" s="200">
        <f>D14/D5</f>
        <v>0.25948843332706412</v>
      </c>
      <c r="E15" s="200">
        <f>E14/E5</f>
        <v>0.25899051394591532</v>
      </c>
      <c r="F15" s="200">
        <f>F14/F5</f>
        <v>0.25757193972685583</v>
      </c>
      <c r="G15" s="200">
        <f>G14/G5</f>
        <v>0.26097407333731187</v>
      </c>
    </row>
    <row r="16" spans="1:9">
      <c r="B16" s="199"/>
      <c r="C16" s="200"/>
      <c r="D16" s="200"/>
      <c r="E16" s="200"/>
      <c r="F16" s="200"/>
      <c r="G16" s="200"/>
    </row>
    <row r="17" spans="2:8">
      <c r="B17" s="197" t="s">
        <v>34</v>
      </c>
      <c r="C17" s="201">
        <f>C11-C14</f>
        <v>2365000000</v>
      </c>
      <c r="D17" s="201">
        <f>D11-D14</f>
        <v>2937000000</v>
      </c>
      <c r="E17" s="201">
        <f>E11-E14</f>
        <v>3342000000</v>
      </c>
      <c r="F17" s="201">
        <f>F11-F14</f>
        <v>3704000000</v>
      </c>
      <c r="G17" s="201">
        <f>G11-G14</f>
        <v>3737000000</v>
      </c>
    </row>
    <row r="18" spans="2:8">
      <c r="B18" s="199" t="s">
        <v>222</v>
      </c>
      <c r="C18" s="200">
        <f>C17/C8</f>
        <v>6.4397549353301567E-2</v>
      </c>
      <c r="D18" s="200">
        <f>D17/D8</f>
        <v>8.0607091887144586E-2</v>
      </c>
      <c r="E18" s="200">
        <f>E17/E8</f>
        <v>8.6742109634551492E-2</v>
      </c>
      <c r="F18" s="200">
        <f>F17/F8</f>
        <v>9.1474859231453126E-2</v>
      </c>
      <c r="G18" s="200">
        <f>G17/G8</f>
        <v>9.149446675154245E-2</v>
      </c>
    </row>
    <row r="19" spans="2:8">
      <c r="B19" s="199"/>
      <c r="C19" s="200"/>
      <c r="D19" s="200"/>
      <c r="E19" s="200"/>
      <c r="F19" s="200"/>
      <c r="G19" s="200"/>
    </row>
    <row r="20" spans="2:8">
      <c r="B20" s="197" t="s">
        <v>11</v>
      </c>
      <c r="C20" s="201">
        <f>incomestatement!C35</f>
        <v>10000000</v>
      </c>
      <c r="D20" s="201">
        <f>incomestatement!D35</f>
        <v>196000000</v>
      </c>
      <c r="E20" s="201">
        <f>incomestatement!E35</f>
        <v>33000000</v>
      </c>
      <c r="F20" s="201">
        <f>incomestatement!F35</f>
        <v>34000000</v>
      </c>
      <c r="G20" s="201">
        <f>IFERROR(SUM(income_statement_quaterly!C34:F34),0)</f>
        <v>36000000</v>
      </c>
    </row>
    <row r="21" spans="2:8">
      <c r="B21" s="197"/>
      <c r="C21" s="197"/>
      <c r="D21" s="197"/>
      <c r="E21" s="197"/>
      <c r="F21" s="197"/>
      <c r="G21" s="197"/>
    </row>
    <row r="22" spans="2:8">
      <c r="B22" s="197" t="s">
        <v>8</v>
      </c>
      <c r="C22" s="201">
        <f>IFERROR(C17+C20,0)</f>
        <v>2375000000</v>
      </c>
      <c r="D22" s="201">
        <f>IFERROR(D17+D20,0)</f>
        <v>3133000000</v>
      </c>
      <c r="E22" s="201">
        <f>IFERROR(E17+E20,0)</f>
        <v>3375000000</v>
      </c>
      <c r="F22" s="201">
        <f>IFERROR(F17+F20,0)</f>
        <v>3738000000</v>
      </c>
      <c r="G22" s="201">
        <f>IFERROR(G17+G20,0)</f>
        <v>3773000000</v>
      </c>
    </row>
    <row r="23" spans="2:8">
      <c r="B23" s="199" t="s">
        <v>224</v>
      </c>
      <c r="C23" s="200">
        <f>C22/C5</f>
        <v>4.5054444739537881E-2</v>
      </c>
      <c r="D23" s="200">
        <f>D22/D5</f>
        <v>5.8924205378973103E-2</v>
      </c>
      <c r="E23" s="200">
        <f>E22/E5</f>
        <v>5.9730284581622543E-2</v>
      </c>
      <c r="F23" s="200">
        <f>F22/F5</f>
        <v>6.2792924456987351E-2</v>
      </c>
      <c r="G23" s="200">
        <f>G22/G5</f>
        <v>6.2545587162655E-2</v>
      </c>
      <c r="H23" s="9"/>
    </row>
    <row r="24" spans="2:8">
      <c r="B24" s="197"/>
      <c r="C24" s="197"/>
      <c r="D24" s="197"/>
      <c r="E24" s="197"/>
      <c r="F24" s="197"/>
      <c r="G24" s="197"/>
    </row>
    <row r="25" spans="2:8">
      <c r="B25" s="197" t="s">
        <v>10</v>
      </c>
      <c r="C25" s="201">
        <f>incomestatement!C34</f>
        <v>752000000</v>
      </c>
      <c r="D25" s="201">
        <f>incomestatement!D34</f>
        <v>691000000</v>
      </c>
      <c r="E25" s="201">
        <f>incomestatement!E34</f>
        <v>716000000</v>
      </c>
      <c r="F25" s="201">
        <f>incomestatement!F34</f>
        <v>837000000</v>
      </c>
      <c r="G25" s="201">
        <f>SUM(income_statement_quaterly!C33:F33)</f>
        <v>854000000</v>
      </c>
    </row>
    <row r="26" spans="2:8">
      <c r="B26" s="199" t="s">
        <v>220</v>
      </c>
      <c r="C26" s="200">
        <f>C25/C5</f>
        <v>1.4265659976476837E-2</v>
      </c>
      <c r="D26" s="200">
        <f>D25/D5</f>
        <v>1.2996050404363363E-2</v>
      </c>
      <c r="E26" s="200">
        <f>E25/E5</f>
        <v>1.2671669262353108E-2</v>
      </c>
      <c r="F26" s="200">
        <f>F25/F5</f>
        <v>1.4060373935392834E-2</v>
      </c>
      <c r="G26" s="200">
        <f>G25/G5</f>
        <v>1.4156886148133412E-2</v>
      </c>
    </row>
    <row r="27" spans="2:8">
      <c r="B27" s="197"/>
      <c r="C27" s="197"/>
      <c r="D27" s="197"/>
      <c r="E27" s="197"/>
      <c r="F27" s="197"/>
      <c r="G27" s="197"/>
    </row>
    <row r="28" spans="2:8">
      <c r="B28" s="197" t="s">
        <v>207</v>
      </c>
      <c r="C28" s="202">
        <f>incomestatement!C7</f>
        <v>2596000000</v>
      </c>
      <c r="D28" s="202">
        <f>incomestatement!D7</f>
        <v>2664000000</v>
      </c>
      <c r="E28" s="202">
        <f>incomestatement!E7</f>
        <v>2795000000</v>
      </c>
      <c r="F28" s="202">
        <f>incomestatement!F7</f>
        <v>2906000000</v>
      </c>
      <c r="G28" s="202">
        <f>IFERROR(SUM(income_statement_quaterly!C7:F7),0)</f>
        <v>2929000000</v>
      </c>
    </row>
    <row r="29" spans="2:8">
      <c r="B29" s="199" t="s">
        <v>221</v>
      </c>
      <c r="C29" s="200">
        <f>C28/C5</f>
        <v>4.9246879386880146E-2</v>
      </c>
      <c r="D29" s="200">
        <f>D28/D5</f>
        <v>5.0103441790483358E-2</v>
      </c>
      <c r="E29" s="200">
        <f>E28/E5</f>
        <v>4.9465524564632594E-2</v>
      </c>
      <c r="F29" s="200">
        <f>F28/F5</f>
        <v>4.8816543197433185E-2</v>
      </c>
      <c r="G29" s="200">
        <f>G28/G5</f>
        <v>4.8554472515085205E-2</v>
      </c>
    </row>
    <row r="30" spans="2:8" ht="15" thickBot="1">
      <c r="B30" s="19"/>
      <c r="C30" s="19"/>
      <c r="D30" s="19"/>
      <c r="E30" s="19"/>
      <c r="F30" s="19"/>
      <c r="G30" s="19"/>
    </row>
    <row r="31" spans="2:8" ht="15" thickBot="1">
      <c r="B31" s="25" t="s">
        <v>7</v>
      </c>
      <c r="C31" s="26">
        <f>IFERROR(C22+C28,0)</f>
        <v>4971000000</v>
      </c>
      <c r="D31" s="26">
        <f>IFERROR(D22+D28,0)</f>
        <v>5797000000</v>
      </c>
      <c r="E31" s="26">
        <f>IFERROR(E22+E28,0)</f>
        <v>6170000000</v>
      </c>
      <c r="F31" s="26">
        <f>IFERROR(F22+F28,0)</f>
        <v>6644000000</v>
      </c>
      <c r="G31" s="26">
        <f>IFERROR(G22+G28,0)</f>
        <v>6702000000</v>
      </c>
    </row>
    <row r="32" spans="2:8">
      <c r="B32" s="16" t="s">
        <v>223</v>
      </c>
      <c r="C32" s="17">
        <f>C31/C5</f>
        <v>9.4301324126418035E-2</v>
      </c>
      <c r="D32" s="17">
        <f>D31/D5</f>
        <v>0.10902764716945645</v>
      </c>
      <c r="E32" s="17">
        <f>E31/E5</f>
        <v>0.10919580914625514</v>
      </c>
      <c r="F32" s="17">
        <f>F31/F5</f>
        <v>0.11160946765442054</v>
      </c>
      <c r="G32" s="17">
        <f>G31/G5</f>
        <v>0.1111000596777402</v>
      </c>
    </row>
    <row r="33" spans="2:9" ht="15" thickBot="1">
      <c r="B33" s="5"/>
      <c r="C33" s="5"/>
      <c r="D33" s="5"/>
      <c r="E33" s="5"/>
      <c r="F33" s="5"/>
      <c r="G33" s="5"/>
    </row>
    <row r="34" spans="2:9" ht="15" thickBot="1">
      <c r="B34" s="25" t="s">
        <v>225</v>
      </c>
      <c r="C34" s="26">
        <f>IFERROR(C31-C28-C25,0)</f>
        <v>1623000000</v>
      </c>
      <c r="D34" s="26">
        <f>IFERROR(D31-D28-D25,0)</f>
        <v>2442000000</v>
      </c>
      <c r="E34" s="26">
        <f>IFERROR(E31-E28-E25,0)</f>
        <v>2659000000</v>
      </c>
      <c r="F34" s="26">
        <f>IFERROR(F31-F28-F25,0)</f>
        <v>2901000000</v>
      </c>
      <c r="G34" s="26">
        <f>IFERROR(G31-G28-G25,0)</f>
        <v>2919000000</v>
      </c>
      <c r="H34" s="10"/>
      <c r="I34" s="11"/>
    </row>
    <row r="35" spans="2:9">
      <c r="B35" s="16" t="s">
        <v>226</v>
      </c>
      <c r="C35" s="17">
        <f>C34/C5</f>
        <v>3.0788784763061048E-2</v>
      </c>
      <c r="D35" s="17">
        <f>D34/D5</f>
        <v>4.5928154974609739E-2</v>
      </c>
      <c r="E35" s="17">
        <f>E34/E5</f>
        <v>4.7058615319269435E-2</v>
      </c>
      <c r="F35" s="17">
        <f>F34/F5</f>
        <v>4.8732550521594517E-2</v>
      </c>
      <c r="G35" s="17">
        <f>G34/G5</f>
        <v>4.8388701014521585E-2</v>
      </c>
    </row>
    <row r="36" spans="2:9">
      <c r="B36" s="197"/>
      <c r="C36" s="197"/>
      <c r="D36" s="197"/>
      <c r="E36" s="197"/>
      <c r="F36" s="197"/>
      <c r="G36" s="197"/>
      <c r="I36" s="10"/>
    </row>
    <row r="37" spans="2:9">
      <c r="B37" s="197" t="s">
        <v>227</v>
      </c>
      <c r="C37" s="201">
        <f>IFERROR(incomestatement!C30,0)</f>
        <v>431000000</v>
      </c>
      <c r="D37" s="201">
        <f>IFERROR(incomestatement!D30,0)</f>
        <v>466000000</v>
      </c>
      <c r="E37" s="201">
        <f>IFERROR(incomestatement!E30,0)</f>
        <v>665000000</v>
      </c>
      <c r="F37" s="201">
        <f>IFERROR(incomestatement!F30,0)</f>
        <v>714000000</v>
      </c>
      <c r="G37" s="201">
        <f>IFERROR(SUM(income_statement_quaterly!C29:F29),0)</f>
        <v>728000000</v>
      </c>
      <c r="I37" s="12"/>
    </row>
    <row r="38" spans="2:9">
      <c r="B38" s="199" t="s">
        <v>228</v>
      </c>
      <c r="C38" s="200">
        <f>C37/C34</f>
        <v>0.26555760936537276</v>
      </c>
      <c r="D38" s="200">
        <f>D37/D34</f>
        <v>0.19082719082719082</v>
      </c>
      <c r="E38" s="200">
        <f>E37/E34</f>
        <v>0.25009402030838662</v>
      </c>
      <c r="F38" s="200">
        <f>F37/F34</f>
        <v>0.24612202688728024</v>
      </c>
      <c r="G38" s="200">
        <f>G37/G34</f>
        <v>0.24940047961630696</v>
      </c>
    </row>
    <row r="39" spans="2:9" ht="15" thickBot="1">
      <c r="B39" s="5"/>
      <c r="C39" s="5"/>
      <c r="D39" s="5"/>
      <c r="E39" s="5"/>
      <c r="F39" s="5"/>
      <c r="G39" s="5"/>
    </row>
    <row r="40" spans="2:9" ht="15" thickBot="1">
      <c r="B40" s="25" t="s">
        <v>229</v>
      </c>
      <c r="C40" s="26">
        <f>IFERROR(C34-C37,0)</f>
        <v>1192000000</v>
      </c>
      <c r="D40" s="26">
        <f>IFERROR(D34-D37,0)</f>
        <v>1976000000</v>
      </c>
      <c r="E40" s="26">
        <f>IFERROR(E34-E37,0)</f>
        <v>1994000000</v>
      </c>
      <c r="F40" s="26">
        <f>IFERROR(F34-F37,0)</f>
        <v>2187000000</v>
      </c>
      <c r="G40" s="26">
        <f>IFERROR(G34-G37,0)</f>
        <v>2191000000</v>
      </c>
    </row>
    <row r="41" spans="2:9">
      <c r="B41" s="16" t="s">
        <v>230</v>
      </c>
      <c r="C41" s="17">
        <f>C40/C5</f>
        <v>2.2612588686117541E-2</v>
      </c>
      <c r="D41" s="17">
        <f>D40/D5</f>
        <v>3.7163814180929094E-2</v>
      </c>
      <c r="E41" s="17">
        <f>E40/E5</f>
        <v>3.5289537023927509E-2</v>
      </c>
      <c r="F41" s="17">
        <f>F40/F5</f>
        <v>3.6738396411832887E-2</v>
      </c>
      <c r="G41" s="17">
        <f>G40/G5</f>
        <v>3.6320535773489822E-2</v>
      </c>
    </row>
    <row r="42" spans="2:9">
      <c r="B42" s="199"/>
      <c r="C42" s="200"/>
      <c r="D42" s="200"/>
      <c r="E42" s="200"/>
      <c r="F42" s="200"/>
      <c r="G42" s="200"/>
      <c r="I42" s="10"/>
    </row>
    <row r="43" spans="2:9">
      <c r="B43" s="199" t="s">
        <v>60</v>
      </c>
      <c r="C43" s="201">
        <f>ABS(incomestatement!C26)</f>
        <v>84000000</v>
      </c>
      <c r="D43" s="201">
        <f>ABS(incomestatement!D26)</f>
        <v>101000000</v>
      </c>
      <c r="E43" s="201">
        <f>ABS(incomestatement!E26)</f>
        <v>73000000</v>
      </c>
      <c r="F43" s="201">
        <f>ABS(incomestatement!F26)</f>
        <v>87000000</v>
      </c>
      <c r="G43" s="201">
        <f>IFERROR(-1*SUM(income_statement_quaterly!C26:F26),0)</f>
        <v>106000000</v>
      </c>
    </row>
    <row r="44" spans="2:9">
      <c r="B44" s="197"/>
      <c r="C44" s="201"/>
      <c r="D44" s="201"/>
      <c r="E44" s="201"/>
      <c r="F44" s="201"/>
      <c r="G44" s="201"/>
    </row>
    <row r="45" spans="2:9">
      <c r="B45" s="199" t="s">
        <v>240</v>
      </c>
      <c r="C45" s="201">
        <f>incomestatement!C24</f>
        <v>12000000</v>
      </c>
      <c r="D45" s="201">
        <f>incomestatement!D24</f>
        <v>12000000</v>
      </c>
      <c r="E45" s="201">
        <f>incomestatement!E24</f>
        <v>12000000</v>
      </c>
      <c r="F45" s="201">
        <f>incomestatement!F24</f>
        <v>12000000</v>
      </c>
      <c r="G45" s="201">
        <f>IFERROR(SUM(income_statement_quaterly!C24:F24),0)</f>
        <v>12000000</v>
      </c>
    </row>
    <row r="46" spans="2:9">
      <c r="B46" s="197"/>
      <c r="C46" s="201"/>
      <c r="D46" s="201"/>
      <c r="E46" s="201"/>
      <c r="F46" s="201"/>
      <c r="G46" s="201"/>
    </row>
    <row r="47" spans="2:9">
      <c r="B47" s="197" t="s">
        <v>241</v>
      </c>
      <c r="C47" s="201">
        <f>IFERROR(C40-C43-C45,0)</f>
        <v>1096000000</v>
      </c>
      <c r="D47" s="201">
        <f>IFERROR(D40-D43-D45,0)</f>
        <v>1863000000</v>
      </c>
      <c r="E47" s="201">
        <f>IFERROR(E40-E43-E45,0)</f>
        <v>1909000000</v>
      </c>
      <c r="F47" s="201">
        <f>IFERROR(F40-F43-F45,0)</f>
        <v>2088000000</v>
      </c>
      <c r="G47" s="201">
        <f>IFERROR(G40-G43-G45,0)</f>
        <v>2073000000</v>
      </c>
    </row>
    <row r="48" spans="2:9">
      <c r="B48" s="197"/>
      <c r="C48" s="197"/>
      <c r="D48" s="197"/>
      <c r="E48" s="197"/>
      <c r="F48" s="197"/>
      <c r="G48" s="197"/>
    </row>
    <row r="49" spans="1:10">
      <c r="B49" s="197" t="s">
        <v>231</v>
      </c>
      <c r="C49" s="203">
        <f>incomestatement!C18</f>
        <v>358200000</v>
      </c>
      <c r="D49" s="203">
        <f>incomestatement!D18</f>
        <v>341800000</v>
      </c>
      <c r="E49" s="203">
        <f>incomestatement!E18</f>
        <v>331700000</v>
      </c>
      <c r="F49" s="203">
        <f>incomestatement!F18</f>
        <v>320000000</v>
      </c>
      <c r="G49" s="203">
        <f>income_statement_quaterly!F18</f>
        <v>318400000</v>
      </c>
      <c r="J49" s="10"/>
    </row>
    <row r="50" spans="1:10">
      <c r="B50" s="197"/>
      <c r="C50" s="197"/>
      <c r="D50" s="197"/>
      <c r="E50" s="197"/>
      <c r="F50" s="197"/>
      <c r="G50" s="197"/>
      <c r="I50" s="10"/>
    </row>
    <row r="51" spans="1:10">
      <c r="B51" s="197" t="s">
        <v>232</v>
      </c>
      <c r="C51" s="201">
        <f>C47/C49</f>
        <v>3.0597431602456728</v>
      </c>
      <c r="D51" s="201">
        <f>D47/D49</f>
        <v>5.4505558806319483</v>
      </c>
      <c r="E51" s="201">
        <f>E47/E49</f>
        <v>5.7552004823635814</v>
      </c>
      <c r="F51" s="201">
        <f>F47/F49</f>
        <v>6.5250000000000004</v>
      </c>
      <c r="G51" s="201">
        <f>G47/G49</f>
        <v>6.5106783919597992</v>
      </c>
    </row>
    <row r="52" spans="1:10">
      <c r="B52" s="199" t="s">
        <v>233</v>
      </c>
      <c r="C52" s="200" t="s">
        <v>215</v>
      </c>
      <c r="D52" s="200">
        <f>D51/C51-1</f>
        <v>0.78137693106055095</v>
      </c>
      <c r="E52" s="200">
        <f>E51/D51-1</f>
        <v>5.589239123557288E-2</v>
      </c>
      <c r="F52" s="200">
        <f>F51/E51-1</f>
        <v>0.13375720272393932</v>
      </c>
      <c r="G52" s="200">
        <f>G51/F51-1</f>
        <v>-2.1948824582683768E-3</v>
      </c>
    </row>
    <row r="53" spans="1:10">
      <c r="B53" s="197"/>
      <c r="C53" s="197"/>
      <c r="D53" s="197"/>
      <c r="E53" s="197"/>
      <c r="F53" s="197"/>
      <c r="G53" s="197"/>
      <c r="I53" s="10"/>
    </row>
    <row r="54" spans="1:10">
      <c r="B54" s="197" t="s">
        <v>234</v>
      </c>
      <c r="C54" s="201">
        <f>ABS(cashflow!C19)/C49</f>
        <v>1.6192071468453377</v>
      </c>
      <c r="D54" s="201">
        <f>ABS(cashflow!D19)/D49</f>
        <v>1.3809245172615565</v>
      </c>
      <c r="E54" s="201">
        <f>ABS(cashflow!E19)/E49</f>
        <v>1.5586373228821224</v>
      </c>
      <c r="F54" s="201">
        <f>ABS(cashflow!F19)/F49</f>
        <v>1.71875</v>
      </c>
      <c r="G54" s="201">
        <f>ABS(SUM(cashflow_quarterly!C17:F17)/G49)</f>
        <v>1.7870603015075377</v>
      </c>
    </row>
    <row r="55" spans="1:10">
      <c r="B55" s="199" t="s">
        <v>235</v>
      </c>
      <c r="C55" s="200">
        <f>IFERROR(C54/C51,0)</f>
        <v>0.52919708029197077</v>
      </c>
      <c r="D55" s="200">
        <f>IFERROR(D54/D51,0)</f>
        <v>0.25335480407944178</v>
      </c>
      <c r="E55" s="200">
        <f>IFERROR(E54/E51,0)</f>
        <v>0.2708224201152436</v>
      </c>
      <c r="F55" s="200">
        <f>IFERROR(F54/F51,0)</f>
        <v>0.26340996168582376</v>
      </c>
      <c r="G55" s="200">
        <f>IFERROR(G54/G51,0)</f>
        <v>0.27448142788229618</v>
      </c>
    </row>
    <row r="56" spans="1:10">
      <c r="B56" s="197"/>
      <c r="C56" s="197"/>
      <c r="D56" s="197"/>
      <c r="E56" s="197"/>
      <c r="F56" s="197"/>
      <c r="G56" s="197"/>
    </row>
    <row r="57" spans="1:10">
      <c r="B57" s="197" t="s">
        <v>236</v>
      </c>
      <c r="C57" s="204">
        <f>IFERROR(IF(C51&gt;C54,1-C55,0),0)</f>
        <v>0.47080291970802923</v>
      </c>
      <c r="D57" s="204">
        <f>IFERROR(IF(D51&gt;D54,1-D55,0),0)</f>
        <v>0.74664519592055822</v>
      </c>
      <c r="E57" s="204">
        <f>IFERROR(IF(E51&gt;E54,1-E55,0),0)</f>
        <v>0.7291775798847564</v>
      </c>
      <c r="F57" s="204">
        <f>IFERROR(IF(F51&gt;F54,1-F55,0),0)</f>
        <v>0.73659003831417624</v>
      </c>
      <c r="G57" s="204">
        <f>IFERROR(IF(G51&gt;G54,1-G55,0),0)</f>
        <v>0.72551857211770376</v>
      </c>
    </row>
    <row r="59" spans="1:10">
      <c r="A59" t="s">
        <v>44</v>
      </c>
      <c r="B59" s="13" t="s">
        <v>237</v>
      </c>
      <c r="C59" s="14"/>
      <c r="D59" s="14"/>
      <c r="E59" s="14"/>
      <c r="F59" s="14"/>
      <c r="G59" s="14"/>
    </row>
    <row r="60" spans="1:10">
      <c r="B60" t="s">
        <v>238</v>
      </c>
      <c r="C60" s="7">
        <f>IFERROR(SUM(C61:C63),0)</f>
        <v>7176000000</v>
      </c>
      <c r="D60" s="7">
        <f>IFERROR(SUM(D61:D63),0)</f>
        <v>7016000000</v>
      </c>
      <c r="E60" s="7">
        <f>IFERROR(SUM(E61:E63),0)</f>
        <v>6843000000</v>
      </c>
      <c r="F60" s="7">
        <f>IFERROR(SUM(F61:F63),0)</f>
        <v>6632000000</v>
      </c>
      <c r="G60" s="7">
        <f>IFERROR(SUM(G61:G63),0)</f>
        <v>6657000000</v>
      </c>
    </row>
    <row r="61" spans="1:10" hidden="1" outlineLevel="1">
      <c r="B61" t="s">
        <v>56</v>
      </c>
      <c r="C61" s="7">
        <f>balance_sheet!C25</f>
        <v>6824000000</v>
      </c>
      <c r="D61" s="7">
        <f>balance_sheet!D25</f>
        <v>6631000000</v>
      </c>
      <c r="E61" s="7">
        <f>balance_sheet!E25</f>
        <v>6465000000</v>
      </c>
      <c r="F61" s="7">
        <f>balance_sheet!F25</f>
        <v>6256000000</v>
      </c>
      <c r="G61" s="7">
        <f>balance_sheet_quarterly!C25</f>
        <v>6276000000</v>
      </c>
    </row>
    <row r="62" spans="1:10" hidden="1" outlineLevel="1">
      <c r="B62" t="s">
        <v>57</v>
      </c>
      <c r="C62" s="7">
        <f>balance_sheet!C26</f>
        <v>221000000</v>
      </c>
      <c r="D62" s="7">
        <f>balance_sheet!D26</f>
        <v>221000000</v>
      </c>
      <c r="E62" s="7">
        <f>balance_sheet!E26</f>
        <v>221000000</v>
      </c>
      <c r="F62" s="7">
        <f>balance_sheet!F26</f>
        <v>221000000</v>
      </c>
      <c r="G62" s="7">
        <f>balance_sheet_quarterly!C26</f>
        <v>221000000</v>
      </c>
    </row>
    <row r="63" spans="1:10" hidden="1" outlineLevel="1">
      <c r="B63" t="s">
        <v>60</v>
      </c>
      <c r="C63" s="7">
        <f>balance_sheet!C18</f>
        <v>131000000</v>
      </c>
      <c r="D63" s="7">
        <f>balance_sheet!D18</f>
        <v>164000000</v>
      </c>
      <c r="E63" s="7">
        <f>balance_sheet!E18</f>
        <v>157000000</v>
      </c>
      <c r="F63" s="7">
        <f>balance_sheet!F18</f>
        <v>155000000</v>
      </c>
      <c r="G63" s="7">
        <f>balance_sheet_quarterly!C18</f>
        <v>160000000</v>
      </c>
    </row>
    <row r="64" spans="1:10" collapsed="1">
      <c r="B64" s="205" t="s">
        <v>239</v>
      </c>
      <c r="C64" s="206">
        <f>IFERROR(SUM(C65:C67),0)</f>
        <v>3943000000</v>
      </c>
      <c r="D64" s="206">
        <f>IFERROR(SUM(D65:D67),0)</f>
        <v>4721000000</v>
      </c>
      <c r="E64" s="206">
        <f>IFERROR(SUM(E65:E67),0)</f>
        <v>4613000000</v>
      </c>
      <c r="F64" s="206">
        <f>IFERROR(SUM(F65:F67),0)</f>
        <v>4987000000</v>
      </c>
      <c r="G64" s="206">
        <f>IFERROR(SUM(G65:G67),0)</f>
        <v>4741000000</v>
      </c>
    </row>
    <row r="65" spans="2:7" hidden="1" outlineLevel="1">
      <c r="B65" s="205" t="s">
        <v>64</v>
      </c>
      <c r="C65" s="206">
        <f>balance_sheet!C22</f>
        <v>3813000000</v>
      </c>
      <c r="D65" s="206">
        <f>balance_sheet!D22</f>
        <v>4591000000</v>
      </c>
      <c r="E65" s="206">
        <f>balance_sheet!E22</f>
        <v>4461000000</v>
      </c>
      <c r="F65" s="206">
        <f>balance_sheet!F22</f>
        <v>4816000000</v>
      </c>
      <c r="G65" s="206">
        <f>balance_sheet_quarterly!C22</f>
        <v>4607000000</v>
      </c>
    </row>
    <row r="66" spans="2:7" hidden="1" outlineLevel="1">
      <c r="B66" s="205" t="s">
        <v>65</v>
      </c>
      <c r="C66" s="206">
        <f>balance_sheet!C23</f>
        <v>109000000</v>
      </c>
      <c r="D66" s="206">
        <f>balance_sheet!D23</f>
        <v>116000000</v>
      </c>
      <c r="E66" s="206">
        <f>balance_sheet!E23</f>
        <v>122000000</v>
      </c>
      <c r="F66" s="206">
        <f>balance_sheet!F23</f>
        <v>136000000</v>
      </c>
      <c r="G66" s="206">
        <f>balance_sheet_quarterly!C23</f>
        <v>105000000</v>
      </c>
    </row>
    <row r="67" spans="2:7" hidden="1" outlineLevel="1">
      <c r="B67" s="205" t="s">
        <v>62</v>
      </c>
      <c r="C67" s="206">
        <f>balance_sheet!C20</f>
        <v>21000000</v>
      </c>
      <c r="D67" s="206">
        <f>balance_sheet!D20</f>
        <v>14000000</v>
      </c>
      <c r="E67" s="206">
        <f>balance_sheet!E20</f>
        <v>30000000</v>
      </c>
      <c r="F67" s="206">
        <f>balance_sheet!F20</f>
        <v>35000000</v>
      </c>
      <c r="G67" s="206">
        <f>balance_sheet_quarterly!C20</f>
        <v>29000000</v>
      </c>
    </row>
    <row r="68" spans="2:7" collapsed="1">
      <c r="B68" s="205" t="s">
        <v>80</v>
      </c>
      <c r="C68" s="206">
        <f>IFERROR(SUM(C69:C70),0)</f>
        <v>8763000000</v>
      </c>
      <c r="D68" s="206">
        <f>IFERROR(SUM(D69:D70),0)</f>
        <v>9196000000</v>
      </c>
      <c r="E68" s="206">
        <f>IFERROR(SUM(E69:E70),0)</f>
        <v>10098000000</v>
      </c>
      <c r="F68" s="206">
        <f>IFERROR(SUM(F69:F70),0)</f>
        <v>10847000000</v>
      </c>
      <c r="G68" s="206">
        <f>IFERROR(SUM(G69:G70),0)</f>
        <v>9785000000</v>
      </c>
    </row>
    <row r="69" spans="2:7" hidden="1" outlineLevel="1">
      <c r="B69" t="s">
        <v>91</v>
      </c>
      <c r="C69" s="7">
        <f>balance_sheet!C48</f>
        <v>5827000000</v>
      </c>
      <c r="D69" s="7">
        <f>balance_sheet!D48</f>
        <v>6019000000</v>
      </c>
      <c r="E69" s="7">
        <f>balance_sheet!E48</f>
        <v>6847000000</v>
      </c>
      <c r="F69" s="7">
        <f>balance_sheet!F48</f>
        <v>6934000000</v>
      </c>
      <c r="G69" s="7">
        <f>balance_sheet_quarterly!C48</f>
        <v>6291000000</v>
      </c>
    </row>
    <row r="70" spans="2:7" hidden="1" outlineLevel="1">
      <c r="B70" t="s">
        <v>81</v>
      </c>
      <c r="C70" s="7">
        <f>IFERROR(SUM(balance_sheet!C47,balance_sheet!C42,balance_sheet!C40),0)</f>
        <v>2936000000</v>
      </c>
      <c r="D70" s="7">
        <f>IFERROR(SUM(balance_sheet!D47,balance_sheet!D42,balance_sheet!D40),0)</f>
        <v>3177000000</v>
      </c>
      <c r="E70" s="7">
        <f>IFERROR(SUM(balance_sheet!E47,balance_sheet!E42,balance_sheet!E40),0)</f>
        <v>3251000000</v>
      </c>
      <c r="F70" s="7">
        <f>IFERROR(SUM(balance_sheet!F47,balance_sheet!F42,balance_sheet!F40),0)</f>
        <v>3913000000</v>
      </c>
      <c r="G70" s="7">
        <f>IFERROR(SUM(balance_sheet_quarterly!C47,balance_sheet_quarterly!C40,balance_sheet_quarterly!C42),0)</f>
        <v>3494000000</v>
      </c>
    </row>
    <row r="71" spans="2:7" ht="15" collapsed="1" thickBot="1">
      <c r="B71" t="s">
        <v>242</v>
      </c>
      <c r="C71" s="7">
        <f>balance_sheet!C28</f>
        <v>15991000000</v>
      </c>
      <c r="D71" s="7">
        <f>balance_sheet!D28</f>
        <v>15681000000</v>
      </c>
      <c r="E71" s="7">
        <f>balance_sheet!E28</f>
        <v>16593000000</v>
      </c>
      <c r="F71" s="7">
        <f>balance_sheet!F28</f>
        <v>16513000000</v>
      </c>
      <c r="G71" s="7">
        <f>balance_sheet_quarterly!C28</f>
        <v>17429000000</v>
      </c>
    </row>
    <row r="72" spans="2:7" ht="15" thickBot="1">
      <c r="B72" s="25" t="s">
        <v>243</v>
      </c>
      <c r="C72" s="26">
        <f>IFERROR(C60+C64+C71+C68,0)</f>
        <v>35873000000</v>
      </c>
      <c r="D72" s="26">
        <f>IFERROR(D60+D64+D71+D68,0)</f>
        <v>36614000000</v>
      </c>
      <c r="E72" s="26">
        <f>IFERROR(E60+E64+E71+E68,0)</f>
        <v>38147000000</v>
      </c>
      <c r="F72" s="26">
        <f>IFERROR(F60+F64+F71+F68,0)</f>
        <v>38979000000</v>
      </c>
      <c r="G72" s="26">
        <f>IFERROR(G60+G64+G71+G68,0)</f>
        <v>38612000000</v>
      </c>
    </row>
    <row r="73" spans="2:7">
      <c r="C73" s="7"/>
      <c r="D73" s="7"/>
      <c r="E73" s="7"/>
      <c r="F73" s="7"/>
      <c r="G73" s="7"/>
    </row>
    <row r="74" spans="2:7">
      <c r="B74" s="205" t="s">
        <v>244</v>
      </c>
      <c r="C74" s="206">
        <f>balance_sheet!C72</f>
        <v>12747000000</v>
      </c>
      <c r="D74" s="206">
        <f>balance_sheet!D72</f>
        <v>12626000000</v>
      </c>
      <c r="E74" s="206">
        <f>balance_sheet!E72</f>
        <v>13175000000</v>
      </c>
      <c r="F74" s="206">
        <f>balance_sheet!F72</f>
        <v>14041000000</v>
      </c>
      <c r="G74" s="206">
        <f>balance_sheet_quarterly!C70</f>
        <v>14297000000</v>
      </c>
    </row>
    <row r="75" spans="2:7">
      <c r="B75" s="205" t="s">
        <v>250</v>
      </c>
      <c r="C75" s="206">
        <f>balance_sheet!C69</f>
        <v>10818000000</v>
      </c>
      <c r="D75" s="206">
        <f>balance_sheet!D69</f>
        <v>10351000000</v>
      </c>
      <c r="E75" s="206">
        <f>balance_sheet!E69</f>
        <v>10828000000</v>
      </c>
      <c r="F75" s="206">
        <f>balance_sheet!F69</f>
        <v>10343000000</v>
      </c>
      <c r="G75" s="206">
        <f>balance_sheet_quarterly!C67</f>
        <v>10080000000</v>
      </c>
    </row>
    <row r="76" spans="2:7">
      <c r="B76" s="205" t="s">
        <v>251</v>
      </c>
      <c r="C76" s="206">
        <f>balance_sheet!C61</f>
        <v>93000000</v>
      </c>
      <c r="D76" s="206">
        <f>balance_sheet!D61</f>
        <v>78000000</v>
      </c>
      <c r="E76" s="206">
        <f>balance_sheet!E61</f>
        <v>77000000</v>
      </c>
      <c r="F76" s="206">
        <f>balance_sheet!F61</f>
        <v>68000000</v>
      </c>
      <c r="G76" s="206">
        <f>balance_sheet_quarterly!C60</f>
        <v>0</v>
      </c>
    </row>
    <row r="77" spans="2:7">
      <c r="B77" s="205" t="s">
        <v>245</v>
      </c>
      <c r="C77" s="206">
        <f>IFERROR(balance_sheet!C62+balance_sheet!C68,0)</f>
        <v>264000000</v>
      </c>
      <c r="D77" s="206">
        <f>IFERROR(balance_sheet!D62+balance_sheet!D68,0)</f>
        <v>333000000</v>
      </c>
      <c r="E77" s="206">
        <f>IFERROR(balance_sheet!E62+balance_sheet!E68,0)</f>
        <v>459000000</v>
      </c>
      <c r="F77" s="206">
        <f>IFERROR(balance_sheet!F62+balance_sheet!F68,0)</f>
        <v>449000000</v>
      </c>
      <c r="G77" s="206">
        <f>IFERROR(SUM(balance_sheet_quarterly!C61:C66),0)</f>
        <v>85000000</v>
      </c>
    </row>
    <row r="78" spans="2:7" ht="15" thickBot="1">
      <c r="B78" t="s">
        <v>246</v>
      </c>
      <c r="C78" s="7">
        <f>IFERROR(SUM(balance_sheet!C56:C58),0)</f>
        <v>409000000</v>
      </c>
      <c r="D78" s="7">
        <f>IFERROR(SUM(balance_sheet!D56:D58),0)</f>
        <v>589000000</v>
      </c>
      <c r="E78" s="7">
        <f>IFERROR(SUM(balance_sheet!E56:E58),0)</f>
        <v>232000000</v>
      </c>
      <c r="F78" s="7">
        <f>IFERROR(SUM(balance_sheet!F56:F58),0)</f>
        <v>500000000</v>
      </c>
      <c r="G78" s="7">
        <f>IFERROR(SUM(balance_sheet_quarterly!C56:C58),0)</f>
        <v>886000000</v>
      </c>
    </row>
    <row r="79" spans="2:7" s="5" customFormat="1" ht="15" thickBot="1">
      <c r="B79" s="25" t="s">
        <v>247</v>
      </c>
      <c r="C79" s="26">
        <f>IFERROR(SUM(C74:C78),0)</f>
        <v>24331000000</v>
      </c>
      <c r="D79" s="26">
        <f>IFERROR(SUM(D74:D78),0)</f>
        <v>23977000000</v>
      </c>
      <c r="E79" s="26">
        <f>IFERROR(SUM(E74:E78),0)</f>
        <v>24771000000</v>
      </c>
      <c r="F79" s="26">
        <f>IFERROR(SUM(F74:F78),0)</f>
        <v>25401000000</v>
      </c>
      <c r="G79" s="26">
        <f>IFERROR(SUM(G74:G78),0)</f>
        <v>25348000000</v>
      </c>
    </row>
    <row r="80" spans="2:7">
      <c r="C80" s="7"/>
      <c r="D80" s="7"/>
      <c r="E80" s="7"/>
      <c r="F80" s="7"/>
      <c r="G80" s="7"/>
    </row>
    <row r="81" spans="1:8">
      <c r="B81" s="205" t="s">
        <v>132</v>
      </c>
      <c r="C81" s="206">
        <f>balance_sheet!C90</f>
        <v>4086000000</v>
      </c>
      <c r="D81" s="206">
        <f>balance_sheet!D90</f>
        <v>4691000000</v>
      </c>
      <c r="E81" s="206">
        <f>balance_sheet!E90</f>
        <v>5153000000</v>
      </c>
      <c r="F81" s="206">
        <f>balance_sheet!F90</f>
        <v>5430000000</v>
      </c>
      <c r="G81" s="206">
        <f>balance_sheet_quarterly!C87</f>
        <v>5144000000</v>
      </c>
    </row>
    <row r="82" spans="1:8">
      <c r="B82" s="205" t="s">
        <v>128</v>
      </c>
      <c r="C82" s="206">
        <f>balance_sheet!C86</f>
        <v>5195000000</v>
      </c>
      <c r="D82" s="206">
        <f>balance_sheet!D86</f>
        <v>5166000000</v>
      </c>
      <c r="E82" s="206">
        <f>balance_sheet!E86</f>
        <v>5855000000</v>
      </c>
      <c r="F82" s="206">
        <f>balance_sheet!F86</f>
        <v>5820000000</v>
      </c>
      <c r="G82" s="206">
        <f>balance_sheet_quarterly!C84</f>
        <v>5772000000</v>
      </c>
    </row>
    <row r="83" spans="1:8">
      <c r="B83" s="205" t="s">
        <v>252</v>
      </c>
      <c r="C83" s="206">
        <f>balance_sheet!C84</f>
        <v>108000000</v>
      </c>
      <c r="D83" s="206">
        <f>balance_sheet!D84</f>
        <v>91000000</v>
      </c>
      <c r="E83" s="206">
        <f>balance_sheet!E84</f>
        <v>81000000</v>
      </c>
      <c r="F83" s="206">
        <f>balance_sheet!F84</f>
        <v>52000000</v>
      </c>
      <c r="G83" s="206">
        <f>balance_sheet_quarterly!C82</f>
        <v>33000000</v>
      </c>
    </row>
    <row r="84" spans="1:8">
      <c r="B84" s="205" t="s">
        <v>253</v>
      </c>
      <c r="C84" s="206">
        <f>balance_sheet!C83</f>
        <v>216000000</v>
      </c>
      <c r="D84" s="206">
        <f>balance_sheet!D83</f>
        <v>249000000</v>
      </c>
      <c r="E84" s="206">
        <f>balance_sheet!E83</f>
        <v>353000000</v>
      </c>
      <c r="F84" s="206">
        <f>balance_sheet!F83</f>
        <v>324000000</v>
      </c>
      <c r="G84" s="206">
        <f>balance_sheet_quarterly!C81</f>
        <v>371000000</v>
      </c>
    </row>
    <row r="85" spans="1:8">
      <c r="B85" s="205" t="s">
        <v>254</v>
      </c>
      <c r="C85" s="206">
        <v>0</v>
      </c>
      <c r="D85" s="206">
        <v>0</v>
      </c>
      <c r="E85" s="206">
        <v>0</v>
      </c>
      <c r="F85" s="206">
        <v>0</v>
      </c>
      <c r="G85" s="206">
        <f>balance_sheet_quarterly!C83</f>
        <v>250000000</v>
      </c>
    </row>
    <row r="86" spans="1:8" ht="15" thickBot="1">
      <c r="B86" t="s">
        <v>249</v>
      </c>
      <c r="C86" s="7">
        <f>balance_sheet!C95</f>
        <v>1937000000</v>
      </c>
      <c r="D86" s="7">
        <f>balance_sheet!D95</f>
        <v>2440000000</v>
      </c>
      <c r="E86" s="7">
        <f>balance_sheet!E95</f>
        <v>1934000000</v>
      </c>
      <c r="F86" s="7">
        <f>balance_sheet!F95</f>
        <v>1952000000</v>
      </c>
      <c r="G86" s="7">
        <f>balance_sheet_quarterly!C92</f>
        <v>1694000000</v>
      </c>
    </row>
    <row r="87" spans="1:8" s="5" customFormat="1" ht="15" thickBot="1">
      <c r="B87" s="25" t="s">
        <v>248</v>
      </c>
      <c r="C87" s="26">
        <f>IFERROR(SUM(C81:C86),0)</f>
        <v>11542000000</v>
      </c>
      <c r="D87" s="26">
        <f>IFERROR(SUM(D81:D86),0)</f>
        <v>12637000000</v>
      </c>
      <c r="E87" s="26">
        <f>IFERROR(SUM(E81:E86),0)</f>
        <v>13376000000</v>
      </c>
      <c r="F87" s="26">
        <f>IFERROR(SUM(F81:F86),0)</f>
        <v>13578000000</v>
      </c>
      <c r="G87" s="26">
        <f>IFERROR(SUM(G81:G86),0)</f>
        <v>13264000000</v>
      </c>
    </row>
    <row r="88" spans="1:8" ht="15" thickBot="1"/>
    <row r="89" spans="1:8" ht="15" thickBot="1">
      <c r="B89" s="25" t="s">
        <v>96</v>
      </c>
      <c r="C89" s="26">
        <f>C79+C87</f>
        <v>35873000000</v>
      </c>
      <c r="D89" s="26">
        <f>D79+D87</f>
        <v>36614000000</v>
      </c>
      <c r="E89" s="26">
        <f>E79+E87</f>
        <v>38147000000</v>
      </c>
      <c r="F89" s="26">
        <f>F79+F87</f>
        <v>38979000000</v>
      </c>
      <c r="G89" s="26">
        <f>G79+G87</f>
        <v>38612000000</v>
      </c>
      <c r="H89" s="10"/>
    </row>
    <row r="91" spans="1:8">
      <c r="B91" s="5" t="s">
        <v>255</v>
      </c>
      <c r="C91" s="5" t="b">
        <f>C89=C72</f>
        <v>1</v>
      </c>
      <c r="D91" s="5" t="b">
        <f>D89=D72</f>
        <v>1</v>
      </c>
      <c r="E91" s="5" t="b">
        <f>E89=E72</f>
        <v>1</v>
      </c>
      <c r="F91" s="5" t="b">
        <f>F89=F72</f>
        <v>1</v>
      </c>
      <c r="G91" s="5" t="b">
        <f>G89=G72</f>
        <v>1</v>
      </c>
    </row>
    <row r="93" spans="1:8">
      <c r="A93" t="s">
        <v>44</v>
      </c>
      <c r="B93" s="13" t="s">
        <v>256</v>
      </c>
      <c r="C93" s="14"/>
      <c r="D93" s="14"/>
      <c r="E93" s="14"/>
      <c r="F93" s="14"/>
      <c r="G93" s="14"/>
    </row>
    <row r="94" spans="1:8">
      <c r="B94" s="5" t="s">
        <v>263</v>
      </c>
    </row>
    <row r="95" spans="1:8">
      <c r="B95" s="205" t="s">
        <v>257</v>
      </c>
      <c r="C95" s="206">
        <f>cashflow!C72</f>
        <v>1192000000</v>
      </c>
      <c r="D95" s="206">
        <f>cashflow!D72</f>
        <v>1976000000</v>
      </c>
      <c r="E95" s="206">
        <f>cashflow!E72</f>
        <v>1994000000</v>
      </c>
      <c r="F95" s="206">
        <f>cashflow!F72</f>
        <v>2187000000</v>
      </c>
      <c r="G95" s="206">
        <f>IFERROR(SUM(cashflow_quarterly!C63:F63),0)</f>
        <v>2196000000</v>
      </c>
    </row>
    <row r="96" spans="1:8">
      <c r="B96" s="205" t="s">
        <v>258</v>
      </c>
      <c r="C96" s="206">
        <f>cashflow!C64</f>
        <v>2596000000</v>
      </c>
      <c r="D96" s="206">
        <f>cashflow!D64</f>
        <v>2664000000</v>
      </c>
      <c r="E96" s="206">
        <f>cashflow!E64</f>
        <v>2795000000</v>
      </c>
      <c r="F96" s="206">
        <f>cashflow!F64</f>
        <v>2906000000</v>
      </c>
      <c r="G96" s="206">
        <f>IFERROR(SUM(cashflow_quarterly!C59:F59),0)</f>
        <v>2929000000</v>
      </c>
    </row>
    <row r="97" spans="2:7">
      <c r="B97" s="205" t="s">
        <v>259</v>
      </c>
      <c r="C97" s="206">
        <f>cashflow!C47</f>
        <v>-452000000</v>
      </c>
      <c r="D97" s="206">
        <f>cashflow!D47</f>
        <v>-643000000</v>
      </c>
      <c r="E97" s="206">
        <f>cashflow!E47</f>
        <v>-439000000</v>
      </c>
      <c r="F97" s="206">
        <f>cashflow!F47</f>
        <v>-917000000</v>
      </c>
      <c r="G97" s="206">
        <f>IFERROR(SUM(cashflow_quarterly!C44:F44),0)</f>
        <v>-1016000000</v>
      </c>
    </row>
    <row r="98" spans="2:7">
      <c r="B98" s="205" t="s">
        <v>260</v>
      </c>
      <c r="C98" s="206">
        <f>cashflow!C48</f>
        <v>11000000</v>
      </c>
      <c r="D98" s="206">
        <f>cashflow!D48</f>
        <v>8000000</v>
      </c>
      <c r="E98" s="206">
        <f>cashflow!E48</f>
        <v>38000000</v>
      </c>
      <c r="F98" s="206">
        <f>cashflow!F48</f>
        <v>24000000</v>
      </c>
      <c r="G98" s="206">
        <f>IFERROR(SUM(cashflow_quarterly!C45:F45),0)</f>
        <v>28000000</v>
      </c>
    </row>
    <row r="99" spans="2:7">
      <c r="B99" s="205" t="s">
        <v>261</v>
      </c>
      <c r="C99" s="206">
        <f>cashflow!C49</f>
        <v>550000000</v>
      </c>
      <c r="D99" s="206">
        <f>cashflow!D49</f>
        <v>-232000000</v>
      </c>
      <c r="E99" s="206">
        <f>cashflow!E49</f>
        <v>-1007000000</v>
      </c>
      <c r="F99" s="206">
        <f>cashflow!F49</f>
        <v>-168000000</v>
      </c>
      <c r="G99" s="206">
        <f>IFERROR(SUM(cashflow_quarterly!C46:F46),0)</f>
        <v>-79000000</v>
      </c>
    </row>
    <row r="100" spans="2:7">
      <c r="B100" s="205" t="s">
        <v>262</v>
      </c>
      <c r="C100" s="206">
        <f>cashflow!C58</f>
        <v>776000000</v>
      </c>
      <c r="D100" s="206">
        <f>cashflow!D58</f>
        <v>536000000</v>
      </c>
      <c r="E100" s="206">
        <f>cashflow!E58</f>
        <v>681000000</v>
      </c>
      <c r="F100" s="206">
        <f>cashflow!F58</f>
        <v>882000000</v>
      </c>
      <c r="G100" s="206">
        <f>IFERROR(SUM(cashflow_quarterly!C55:F55),0)</f>
        <v>894000000</v>
      </c>
    </row>
    <row r="101" spans="2:7">
      <c r="B101" s="205" t="s">
        <v>198</v>
      </c>
      <c r="C101" s="206">
        <f>cashflow!C59</f>
        <v>0</v>
      </c>
      <c r="D101" s="206">
        <f>cashflow!D59</f>
        <v>0</v>
      </c>
      <c r="E101" s="206">
        <f>cashflow!E59</f>
        <v>-4000000</v>
      </c>
      <c r="F101" s="206">
        <f>cashflow!F59</f>
        <v>-3000000</v>
      </c>
      <c r="G101" s="206">
        <v>0</v>
      </c>
    </row>
    <row r="102" spans="2:7">
      <c r="B102" s="205" t="s">
        <v>199</v>
      </c>
      <c r="C102" s="206">
        <f>cashflow!C60</f>
        <v>45000000</v>
      </c>
      <c r="D102" s="206">
        <f>cashflow!D60</f>
        <v>-20000000</v>
      </c>
      <c r="E102" s="206">
        <f>cashflow!E60</f>
        <v>0</v>
      </c>
      <c r="F102" s="206">
        <f>cashflow!F60</f>
        <v>0</v>
      </c>
      <c r="G102" s="206">
        <v>0</v>
      </c>
    </row>
    <row r="103" spans="2:7">
      <c r="B103" s="205" t="s">
        <v>200</v>
      </c>
      <c r="C103" s="206">
        <f>cashflow!C61</f>
        <v>33000000</v>
      </c>
      <c r="D103" s="206">
        <f>cashflow!D61</f>
        <v>54000000</v>
      </c>
      <c r="E103" s="206">
        <f>cashflow!E61</f>
        <v>34000000</v>
      </c>
      <c r="F103" s="206">
        <f>cashflow!F61</f>
        <v>17000000</v>
      </c>
      <c r="G103" s="206">
        <f>IFERROR(SUM(cashflow_quarterly!C56:F56),0)</f>
        <v>17000000</v>
      </c>
    </row>
    <row r="104" spans="2:7">
      <c r="B104" s="205" t="s">
        <v>201</v>
      </c>
      <c r="C104" s="206">
        <f>cashflow!C62</f>
        <v>431000000</v>
      </c>
      <c r="D104" s="206">
        <f>cashflow!D62</f>
        <v>466000000</v>
      </c>
      <c r="E104" s="206">
        <f>cashflow!E62</f>
        <v>665000000</v>
      </c>
      <c r="F104" s="206">
        <f>cashflow!F62</f>
        <v>714000000</v>
      </c>
      <c r="G104" s="206">
        <f>IFERROR(SUM(cashflow_quarterly!C57:F57),0)</f>
        <v>728000000</v>
      </c>
    </row>
    <row r="105" spans="2:7">
      <c r="B105" s="205" t="s">
        <v>208</v>
      </c>
      <c r="C105" s="206">
        <f>cashflow!C69</f>
        <v>9000000</v>
      </c>
      <c r="D105" s="206">
        <f>cashflow!D69</f>
        <v>-2000000</v>
      </c>
      <c r="E105" s="206">
        <f>cashflow!E69</f>
        <v>-6000000</v>
      </c>
      <c r="F105" s="206">
        <f>cashflow!F69</f>
        <v>9000000</v>
      </c>
      <c r="G105" s="206">
        <f>IFERROR(SUM(cashflow_quarterly!C61:F61),0)</f>
        <v>3000000</v>
      </c>
    </row>
    <row r="106" spans="2:7" ht="15" thickBot="1">
      <c r="B106" s="21" t="s">
        <v>270</v>
      </c>
      <c r="C106" s="7">
        <f>IFERROR(cashflow!C45-SUM(HistoricalFS!C95:C105),0)</f>
        <v>0</v>
      </c>
      <c r="D106" s="7">
        <f>IFERROR(cashflow!D45-SUM(HistoricalFS!D95:D105),0)</f>
        <v>20000000</v>
      </c>
      <c r="E106" s="7">
        <f>IFERROR(cashflow!E45-SUM(HistoricalFS!E95:E105),0)</f>
        <v>4000000</v>
      </c>
      <c r="F106" s="7">
        <f>IFERROR(cashflow!F45-SUM(HistoricalFS!F95:F105),0)</f>
        <v>3000000</v>
      </c>
      <c r="G106" s="7">
        <f>IFERROR(SUM(cashflow_quarterly!C42:F42)-SUM(HistoricalFS!G95:G105),0)</f>
        <v>7000000</v>
      </c>
    </row>
    <row r="107" spans="2:7" ht="15" thickBot="1">
      <c r="B107" s="25" t="s">
        <v>184</v>
      </c>
      <c r="C107" s="26">
        <f>IFERROR(SUM(C95:C106),0)</f>
        <v>5191000000</v>
      </c>
      <c r="D107" s="26">
        <f>IFERROR(SUM(D95:D106),0)</f>
        <v>4827000000</v>
      </c>
      <c r="E107" s="26">
        <f>IFERROR(SUM(E95:E106),0)</f>
        <v>4755000000</v>
      </c>
      <c r="F107" s="26">
        <f>IFERROR(SUM(F95:F106),0)</f>
        <v>5654000000</v>
      </c>
      <c r="G107" s="26">
        <f>IFERROR(SUM(G95:G106),0)</f>
        <v>5707000000</v>
      </c>
    </row>
    <row r="108" spans="2:7">
      <c r="C108" s="7"/>
      <c r="D108" s="7"/>
      <c r="E108" s="7"/>
      <c r="F108" s="7"/>
    </row>
    <row r="109" spans="2:7">
      <c r="B109" s="5" t="s">
        <v>264</v>
      </c>
    </row>
    <row r="110" spans="2:7">
      <c r="B110" s="205" t="s">
        <v>265</v>
      </c>
      <c r="C110" s="206">
        <f>cashflow!C42</f>
        <v>-820000000</v>
      </c>
      <c r="D110" s="206">
        <f>cashflow!D42</f>
        <v>-803000000</v>
      </c>
      <c r="E110" s="206">
        <f>cashflow!E42</f>
        <v>-1152000000</v>
      </c>
      <c r="F110" s="206">
        <f>cashflow!F42</f>
        <v>-1665000000</v>
      </c>
      <c r="G110" s="206">
        <f>IFERROR(SUM(cashflow_quarterly!C40:F40),0)</f>
        <v>-1831000000</v>
      </c>
    </row>
    <row r="111" spans="2:7">
      <c r="B111" s="205" t="s">
        <v>179</v>
      </c>
      <c r="C111" s="206">
        <f>cashflow!C40</f>
        <v>-338000000</v>
      </c>
      <c r="D111" s="206">
        <f>cashflow!D40</f>
        <v>-379000000</v>
      </c>
      <c r="E111" s="206">
        <f>cashflow!E40</f>
        <v>-419000000</v>
      </c>
      <c r="F111" s="206">
        <f>cashflow!F40</f>
        <v>-407000000</v>
      </c>
      <c r="G111" s="206">
        <f>IFERROR(SUM(cashflow_quarterly!C38:F38),0)</f>
        <v>-385000000</v>
      </c>
    </row>
    <row r="112" spans="2:7">
      <c r="B112" s="205" t="s">
        <v>176</v>
      </c>
      <c r="C112" s="206">
        <f>cashflow!C37</f>
        <v>14000000</v>
      </c>
      <c r="D112" s="206">
        <f>cashflow!D37</f>
        <v>0</v>
      </c>
      <c r="E112" s="206">
        <f>cashflow!E37</f>
        <v>-813000000</v>
      </c>
      <c r="F112" s="206">
        <f>cashflow!F37</f>
        <v>0</v>
      </c>
      <c r="G112" s="206">
        <f>IFERROR(SUM(cashflow_quarterly!C36:F36),0)</f>
        <v>0</v>
      </c>
    </row>
    <row r="113" spans="2:7">
      <c r="B113" s="205" t="s">
        <v>212</v>
      </c>
      <c r="C113" s="206"/>
      <c r="D113" s="206"/>
      <c r="E113" s="206"/>
      <c r="F113" s="206"/>
      <c r="G113" s="206">
        <f>IFERROR(SUM(cashflow_quarterly!C34:F34),0)</f>
        <v>78000000</v>
      </c>
    </row>
    <row r="114" spans="2:7">
      <c r="B114" s="205" t="s">
        <v>173</v>
      </c>
      <c r="C114" s="206">
        <f>cashflow!C34</f>
        <v>-212000000</v>
      </c>
      <c r="D114" s="206">
        <f>cashflow!D34</f>
        <v>-164000000</v>
      </c>
      <c r="E114" s="206">
        <f>cashflow!E34</f>
        <v>-42000000</v>
      </c>
      <c r="F114" s="206">
        <f>cashflow!F34</f>
        <v>-93000000</v>
      </c>
      <c r="G114" s="206">
        <f>IFERROR(SUM(cashflow_quarterly!C31:F31),0)</f>
        <v>227000000</v>
      </c>
    </row>
    <row r="115" spans="2:7">
      <c r="B115" s="205" t="s">
        <v>172</v>
      </c>
      <c r="C115" s="206">
        <f>cashflow!C33</f>
        <v>-20000000</v>
      </c>
      <c r="D115" s="206">
        <f>cashflow!D33</f>
        <v>75000000</v>
      </c>
      <c r="E115" s="206">
        <f>cashflow!E33</f>
        <v>58000000</v>
      </c>
      <c r="F115" s="206">
        <f>cashflow!F33</f>
        <v>320000000</v>
      </c>
      <c r="G115" s="206">
        <f>IFERROR(SUM(cashflow_quarterly!C30:F30),0)</f>
        <v>324000000</v>
      </c>
    </row>
    <row r="116" spans="2:7" ht="15" thickBot="1">
      <c r="B116" s="21" t="s">
        <v>266</v>
      </c>
      <c r="C116" s="7"/>
      <c r="D116" s="7"/>
      <c r="E116" s="7"/>
      <c r="F116" s="7"/>
      <c r="G116" s="7">
        <f>IFERROR(SUM(cashflow_quarterly!C29:F29)-SUM(HistoricalFS!G110:G115),0)</f>
        <v>-139000000</v>
      </c>
    </row>
    <row r="117" spans="2:7" ht="15" thickBot="1">
      <c r="B117" s="25" t="s">
        <v>169</v>
      </c>
      <c r="C117" s="26">
        <f>IFERROR(SUM(C110:C116),0)</f>
        <v>-1376000000</v>
      </c>
      <c r="D117" s="26">
        <f>IFERROR(SUM(D110:D116),0)</f>
        <v>-1271000000</v>
      </c>
      <c r="E117" s="26">
        <f>IFERROR(SUM(E110:E116),0)</f>
        <v>-2368000000</v>
      </c>
      <c r="F117" s="26">
        <f>IFERROR(SUM(F110:F116),0)</f>
        <v>-1845000000</v>
      </c>
      <c r="G117" s="26">
        <f>IFERROR(SUM(G110:G116),0)</f>
        <v>-1726000000</v>
      </c>
    </row>
    <row r="118" spans="2:7">
      <c r="B118" s="21"/>
    </row>
    <row r="119" spans="2:7">
      <c r="B119" s="23" t="s">
        <v>267</v>
      </c>
    </row>
    <row r="120" spans="2:7">
      <c r="B120" s="205" t="s">
        <v>154</v>
      </c>
      <c r="C120" s="206">
        <f>cashflow!C15</f>
        <v>46000000</v>
      </c>
      <c r="D120" s="206">
        <f>cashflow!D15</f>
        <v>72000000</v>
      </c>
      <c r="E120" s="206">
        <f>cashflow!E15</f>
        <v>-24000000</v>
      </c>
      <c r="F120" s="206">
        <f>cashflow!F15</f>
        <v>6000000</v>
      </c>
      <c r="G120" s="206">
        <f>IFERROR(SUM(cashflow_quarterly!C15:F15),0)</f>
        <v>-84000000</v>
      </c>
    </row>
    <row r="121" spans="2:7">
      <c r="B121" s="205" t="s">
        <v>268</v>
      </c>
      <c r="C121" s="206">
        <f>cashflow!C16</f>
        <v>-705000000</v>
      </c>
      <c r="D121" s="206">
        <f>cashflow!D16</f>
        <v>-679000000</v>
      </c>
      <c r="E121" s="206">
        <f>cashflow!E16</f>
        <v>-677000000</v>
      </c>
      <c r="F121" s="206">
        <f>cashflow!F16</f>
        <v>-791000000</v>
      </c>
      <c r="G121" s="206">
        <f>IFERROR(SUM(cashflow_quarterly!C16:F16),0)</f>
        <v>-808000000</v>
      </c>
    </row>
    <row r="122" spans="2:7">
      <c r="B122" s="205" t="s">
        <v>156</v>
      </c>
      <c r="C122" s="206">
        <f>cashflow!C17</f>
        <v>-580000000</v>
      </c>
      <c r="D122" s="206">
        <f>cashflow!D17</f>
        <v>-484000000</v>
      </c>
      <c r="E122" s="206">
        <f>cashflow!E17</f>
        <v>-529000000</v>
      </c>
      <c r="F122" s="206">
        <f>cashflow!F17</f>
        <v>-562000000</v>
      </c>
      <c r="G122" s="206">
        <f>IFERROR(SUM(cashflow_quarterly!C17:F17),0)</f>
        <v>-569000000</v>
      </c>
    </row>
    <row r="123" spans="2:7">
      <c r="B123" s="205" t="s">
        <v>159</v>
      </c>
      <c r="C123" s="206">
        <f>cashflow!C20</f>
        <v>-868000000</v>
      </c>
      <c r="D123" s="206">
        <f>cashflow!D20</f>
        <v>-1148000000</v>
      </c>
      <c r="E123" s="206">
        <f>cashflow!E20</f>
        <v>-1308000000</v>
      </c>
      <c r="F123" s="206">
        <f>cashflow!F20</f>
        <v>-1740000000</v>
      </c>
      <c r="G123" s="206">
        <f>IFERROR(SUM(cashflow_quarterly!C18:F18),0)</f>
        <v>-1702000000</v>
      </c>
    </row>
    <row r="124" spans="2:7" ht="15" thickBot="1">
      <c r="B124" t="s">
        <v>162</v>
      </c>
      <c r="C124" s="7">
        <f>cashflow!C23</f>
        <v>-1175000000</v>
      </c>
      <c r="D124" s="7">
        <f>cashflow!D23</f>
        <v>-1010000000</v>
      </c>
      <c r="E124" s="7">
        <f>cashflow!E23</f>
        <v>-213000000</v>
      </c>
      <c r="F124" s="7">
        <f>cashflow!F23</f>
        <v>-845000000</v>
      </c>
      <c r="G124" s="7">
        <f>IFERROR(SUM(cashflow_quarterly!C21:F21),0)</f>
        <v>-750000000</v>
      </c>
    </row>
    <row r="125" spans="2:7" ht="15" thickBot="1">
      <c r="B125" s="25" t="s">
        <v>152</v>
      </c>
      <c r="C125" s="26">
        <f>IFERROR(SUM(C120:C124),0)</f>
        <v>-3282000000</v>
      </c>
      <c r="D125" s="26">
        <f>IFERROR(SUM(D120:D124),0)</f>
        <v>-3249000000</v>
      </c>
      <c r="E125" s="26">
        <f>IFERROR(SUM(E120:E124),0)</f>
        <v>-2751000000</v>
      </c>
      <c r="F125" s="26">
        <f>IFERROR(SUM(F120:F124),0)</f>
        <v>-3932000000</v>
      </c>
      <c r="G125" s="26">
        <f>IFERROR(SUM(G120:G124),0)</f>
        <v>-3913000000</v>
      </c>
    </row>
    <row r="126" spans="2:7" ht="15" thickBot="1"/>
    <row r="127" spans="2:7" ht="15" thickBot="1">
      <c r="B127" s="25" t="s">
        <v>269</v>
      </c>
      <c r="C127" s="26">
        <f>IFERROR(SUM(C107,C117,C125),0)</f>
        <v>533000000</v>
      </c>
      <c r="D127" s="26">
        <f>IFERROR(SUM(D107,D117,D125),0)</f>
        <v>307000000</v>
      </c>
      <c r="E127" s="26">
        <f>IFERROR(SUM(E107,E117,E125),0)</f>
        <v>-364000000</v>
      </c>
      <c r="F127" s="26">
        <f>IFERROR(SUM(F107,F117,F125),0)</f>
        <v>-123000000</v>
      </c>
      <c r="G127" s="26">
        <f>IFERROR(G107+G117+G125,0)</f>
        <v>68000000</v>
      </c>
    </row>
  </sheetData>
  <mergeCells count="1">
    <mergeCell ref="B2:G2"/>
  </mergeCells>
  <pageMargins left="0.7" right="0.7" top="0.75" bottom="0.75" header="0.3" footer="0.3"/>
  <pageSetup paperSize="9" scale="89" fitToHeight="0" orientation="landscape" r:id="rId1"/>
  <rowBreaks count="1" manualBreakCount="1">
    <brk id="5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D66A-1CC3-4C1A-ACE4-947AA7E7FA8A}">
  <sheetPr>
    <pageSetUpPr fitToPage="1"/>
  </sheetPr>
  <dimension ref="A2:F42"/>
  <sheetViews>
    <sheetView showGridLines="0" tabSelected="1" view="pageBreakPreview" topLeftCell="A18" zoomScale="76" zoomScaleNormal="100" workbookViewId="0">
      <selection activeCell="A5" sqref="A5:B5 B7:F7 A21:B21 B23:F23"/>
    </sheetView>
  </sheetViews>
  <sheetFormatPr defaultRowHeight="14.4"/>
  <cols>
    <col min="1" max="1" width="1.88671875" customWidth="1"/>
    <col min="2" max="2" width="22.88671875" bestFit="1" customWidth="1"/>
    <col min="3" max="6" width="15.6640625" customWidth="1"/>
    <col min="7" max="7" width="1.88671875" customWidth="1"/>
  </cols>
  <sheetData>
    <row r="2" spans="1:6" ht="18" customHeight="1">
      <c r="B2" s="232" t="str">
        <f>"Common Size Statements -"&amp;" "&amp;incomestatement!B2</f>
        <v xml:space="preserve">Common Size Statements - Loblaws Limited Company </v>
      </c>
      <c r="C2" s="232"/>
      <c r="D2" s="232"/>
      <c r="E2" s="232"/>
      <c r="F2" s="232"/>
    </row>
    <row r="3" spans="1:6">
      <c r="B3" s="232"/>
      <c r="C3" s="232"/>
      <c r="D3" s="232"/>
      <c r="E3" s="232"/>
      <c r="F3" s="232"/>
    </row>
    <row r="5" spans="1:6" ht="14.4" customHeight="1">
      <c r="A5" s="5" t="s">
        <v>44</v>
      </c>
      <c r="B5" s="118" t="s">
        <v>43</v>
      </c>
      <c r="C5" s="118"/>
      <c r="D5" s="118"/>
      <c r="E5" s="118"/>
      <c r="F5" s="118"/>
    </row>
    <row r="6" spans="1:6" ht="14.4" customHeight="1">
      <c r="B6" s="116"/>
      <c r="C6" s="116"/>
      <c r="D6" s="116"/>
      <c r="E6" s="116"/>
      <c r="F6" s="116"/>
    </row>
    <row r="7" spans="1:6">
      <c r="B7" s="114" t="s">
        <v>421</v>
      </c>
      <c r="C7" s="115">
        <v>44196</v>
      </c>
      <c r="D7" s="115">
        <v>44561</v>
      </c>
      <c r="E7" s="115">
        <v>44926</v>
      </c>
      <c r="F7" s="115">
        <v>45291</v>
      </c>
    </row>
    <row r="8" spans="1:6">
      <c r="B8" s="5"/>
      <c r="C8" s="113"/>
      <c r="D8" s="113"/>
      <c r="E8" s="113"/>
      <c r="F8" s="113"/>
    </row>
    <row r="9" spans="1:6">
      <c r="B9" s="205" t="str">
        <f>HistoricalFS!B5</f>
        <v>Total Revenue</v>
      </c>
      <c r="C9" s="207">
        <f>HistoricalFS!C5/HistoricalFS!C$5</f>
        <v>1</v>
      </c>
      <c r="D9" s="207">
        <f>HistoricalFS!D5/HistoricalFS!D$5</f>
        <v>1</v>
      </c>
      <c r="E9" s="207">
        <f>HistoricalFS!E5/HistoricalFS!E$5</f>
        <v>1</v>
      </c>
      <c r="F9" s="207">
        <f>HistoricalFS!F5/HistoricalFS!F$5</f>
        <v>1</v>
      </c>
    </row>
    <row r="10" spans="1:6">
      <c r="B10" s="205" t="str">
        <f>HistoricalFS!B8</f>
        <v>COGS</v>
      </c>
      <c r="C10" s="208">
        <f>HistoricalFS!C8/HistoricalFS!C$5</f>
        <v>0.69668399286716998</v>
      </c>
      <c r="D10" s="208">
        <f>HistoricalFS!D8/HistoricalFS!D$5</f>
        <v>0.68527365055482414</v>
      </c>
      <c r="E10" s="208">
        <f>HistoricalFS!E8/HistoricalFS!E$5</f>
        <v>0.68186323092170464</v>
      </c>
      <c r="F10" s="208">
        <f>HistoricalFS!F8/HistoricalFS!F$5</f>
        <v>0.68020628601185973</v>
      </c>
    </row>
    <row r="11" spans="1:6">
      <c r="B11" s="205" t="str">
        <f>HistoricalFS!B14</f>
        <v>Selling &amp; General Expenses</v>
      </c>
      <c r="C11" s="208">
        <f>HistoricalFS!C14/HistoricalFS!C$5</f>
        <v>0.2584512653185112</v>
      </c>
      <c r="D11" s="208">
        <f>HistoricalFS!D14/HistoricalFS!D$5</f>
        <v>0.25948843332706412</v>
      </c>
      <c r="E11" s="208">
        <f>HistoricalFS!E14/HistoricalFS!E$5</f>
        <v>0.25899051394591532</v>
      </c>
      <c r="F11" s="208">
        <f>HistoricalFS!F14/HistoricalFS!F$5</f>
        <v>0.25757193972685583</v>
      </c>
    </row>
    <row r="12" spans="1:6">
      <c r="B12" s="205" t="str">
        <f>HistoricalFS!B20</f>
        <v>Interest Income</v>
      </c>
      <c r="C12" s="208">
        <f>HistoricalFS!C20/HistoricalFS!C$5</f>
        <v>1.8970292521910688E-4</v>
      </c>
      <c r="D12" s="208">
        <f>HistoricalFS!D20/HistoricalFS!D$5</f>
        <v>3.6862892608613882E-3</v>
      </c>
      <c r="E12" s="208">
        <f>HistoricalFS!E20/HistoricalFS!E$5</f>
        <v>5.8402944924253154E-4</v>
      </c>
      <c r="F12" s="208">
        <f>HistoricalFS!F20/HistoricalFS!F$5</f>
        <v>5.7115019570293474E-4</v>
      </c>
    </row>
    <row r="13" spans="1:6">
      <c r="B13" s="205" t="str">
        <f>HistoricalFS!B25</f>
        <v>Interest Expense</v>
      </c>
      <c r="C13" s="208">
        <f>HistoricalFS!C25/HistoricalFS!C$5</f>
        <v>1.4265659976476837E-2</v>
      </c>
      <c r="D13" s="208">
        <f>HistoricalFS!D25/HistoricalFS!D$5</f>
        <v>1.2996050404363363E-2</v>
      </c>
      <c r="E13" s="208">
        <f>HistoricalFS!E25/HistoricalFS!E$5</f>
        <v>1.2671669262353108E-2</v>
      </c>
      <c r="F13" s="208">
        <f>HistoricalFS!F25/HistoricalFS!F$5</f>
        <v>1.4060373935392834E-2</v>
      </c>
    </row>
    <row r="14" spans="1:6">
      <c r="B14" s="205" t="str">
        <f>HistoricalFS!B28</f>
        <v>Depreciation</v>
      </c>
      <c r="C14" s="208">
        <f>HistoricalFS!C28/HistoricalFS!C$5</f>
        <v>4.9246879386880146E-2</v>
      </c>
      <c r="D14" s="208">
        <f>HistoricalFS!D28/HistoricalFS!D$5</f>
        <v>5.0103441790483358E-2</v>
      </c>
      <c r="E14" s="208">
        <f>HistoricalFS!E28/HistoricalFS!E$5</f>
        <v>4.9465524564632594E-2</v>
      </c>
      <c r="F14" s="208">
        <f>HistoricalFS!F28/HistoricalFS!F$5</f>
        <v>4.8816543197433185E-2</v>
      </c>
    </row>
    <row r="15" spans="1:6">
      <c r="B15" s="205" t="str">
        <f>HistoricalFS!B31</f>
        <v>EBITDA</v>
      </c>
      <c r="C15" s="208">
        <f>HistoricalFS!C31/HistoricalFS!C$5</f>
        <v>9.4301324126418035E-2</v>
      </c>
      <c r="D15" s="208">
        <f>HistoricalFS!D31/HistoricalFS!D$5</f>
        <v>0.10902764716945645</v>
      </c>
      <c r="E15" s="208">
        <f>HistoricalFS!E31/HistoricalFS!E$5</f>
        <v>0.10919580914625514</v>
      </c>
      <c r="F15" s="208">
        <f>HistoricalFS!F31/HistoricalFS!F$5</f>
        <v>0.11160946765442054</v>
      </c>
    </row>
    <row r="16" spans="1:6">
      <c r="B16" s="205" t="str">
        <f>HistoricalFS!B34</f>
        <v>Earnings Before Tax(EBT)</v>
      </c>
      <c r="C16" s="208">
        <f>HistoricalFS!C34/HistoricalFS!C$5</f>
        <v>3.0788784763061048E-2</v>
      </c>
      <c r="D16" s="208">
        <f>HistoricalFS!D34/HistoricalFS!D$5</f>
        <v>4.5928154974609739E-2</v>
      </c>
      <c r="E16" s="208">
        <f>HistoricalFS!E34/HistoricalFS!E$5</f>
        <v>4.7058615319269435E-2</v>
      </c>
      <c r="F16" s="208">
        <f>HistoricalFS!F34/HistoricalFS!F$5</f>
        <v>4.8732550521594517E-2</v>
      </c>
    </row>
    <row r="17" spans="1:6">
      <c r="B17" s="205" t="str">
        <f>HistoricalFS!B37</f>
        <v>Tax</v>
      </c>
      <c r="C17" s="208">
        <f>HistoricalFS!C37/HistoricalFS!C$5</f>
        <v>8.1761960769435073E-3</v>
      </c>
      <c r="D17" s="208">
        <f>HistoricalFS!D37/HistoricalFS!D$5</f>
        <v>8.7643407936806462E-3</v>
      </c>
      <c r="E17" s="208">
        <f>HistoricalFS!E37/HistoricalFS!E$5</f>
        <v>1.1769078295341923E-2</v>
      </c>
      <c r="F17" s="208">
        <f>HistoricalFS!F37/HistoricalFS!F$5</f>
        <v>1.1994154109761629E-2</v>
      </c>
    </row>
    <row r="18" spans="1:6">
      <c r="B18" s="205" t="str">
        <f>HistoricalFS!B38</f>
        <v>Effective Tax Rate</v>
      </c>
      <c r="C18" s="208">
        <f>HistoricalFS!C38/HistoricalFS!C$5</f>
        <v>5.0377055310804106E-12</v>
      </c>
      <c r="D18" s="208">
        <f>HistoricalFS!D38/HistoricalFS!D$5</f>
        <v>3.5890011440133688E-12</v>
      </c>
      <c r="E18" s="208">
        <f>HistoricalFS!E38/HistoricalFS!E$5</f>
        <v>4.4261294830168951E-12</v>
      </c>
      <c r="F18" s="208">
        <f>HistoricalFS!F38/HistoricalFS!F$5</f>
        <v>4.1344895242197964E-12</v>
      </c>
    </row>
    <row r="19" spans="1:6">
      <c r="B19" s="205" t="str">
        <f>HistoricalFS!B40</f>
        <v>Net Profit</v>
      </c>
      <c r="C19" s="208">
        <f>HistoricalFS!C40/HistoricalFS!C$5</f>
        <v>2.2612588686117541E-2</v>
      </c>
      <c r="D19" s="208">
        <f>HistoricalFS!D40/HistoricalFS!D$5</f>
        <v>3.7163814180929094E-2</v>
      </c>
      <c r="E19" s="208">
        <f>HistoricalFS!E40/HistoricalFS!E$5</f>
        <v>3.5289537023927509E-2</v>
      </c>
      <c r="F19" s="208">
        <f>HistoricalFS!F40/HistoricalFS!F$5</f>
        <v>3.6738396411832887E-2</v>
      </c>
    </row>
    <row r="21" spans="1:6">
      <c r="A21" s="5" t="s">
        <v>44</v>
      </c>
      <c r="B21" s="118" t="s">
        <v>237</v>
      </c>
      <c r="C21" s="118"/>
      <c r="D21" s="118"/>
      <c r="E21" s="118"/>
      <c r="F21" s="118"/>
    </row>
    <row r="23" spans="1:6">
      <c r="B23" s="114" t="s">
        <v>421</v>
      </c>
      <c r="C23" s="115">
        <v>44196</v>
      </c>
      <c r="D23" s="115">
        <v>44561</v>
      </c>
      <c r="E23" s="115">
        <v>44926</v>
      </c>
      <c r="F23" s="115">
        <v>45291</v>
      </c>
    </row>
    <row r="25" spans="1:6">
      <c r="B25" s="197" t="str">
        <f>HistoricalFS!B72</f>
        <v>Total Liabilities</v>
      </c>
      <c r="C25" s="209">
        <f>HistoricalFS!C72/HistoricalFS!C$72</f>
        <v>1</v>
      </c>
      <c r="D25" s="209">
        <f>HistoricalFS!D72/HistoricalFS!D$72</f>
        <v>1</v>
      </c>
      <c r="E25" s="209">
        <f>HistoricalFS!E72/HistoricalFS!E$72</f>
        <v>1</v>
      </c>
      <c r="F25" s="209">
        <f>HistoricalFS!F72/HistoricalFS!F$72</f>
        <v>1</v>
      </c>
    </row>
    <row r="26" spans="1:6">
      <c r="B26" s="205" t="str">
        <f>HistoricalFS!B60</f>
        <v>Equity Share Capital</v>
      </c>
      <c r="C26" s="208">
        <f>HistoricalFS!C60/HistoricalFS!C$72</f>
        <v>0.20003902656594097</v>
      </c>
      <c r="D26" s="208">
        <f>HistoricalFS!D60/HistoricalFS!D$72</f>
        <v>0.19162069153875566</v>
      </c>
      <c r="E26" s="208">
        <f>HistoricalFS!E60/HistoricalFS!E$72</f>
        <v>0.17938501061682438</v>
      </c>
      <c r="F26" s="208">
        <f>HistoricalFS!F60/HistoricalFS!F$72</f>
        <v>0.17014289745760539</v>
      </c>
    </row>
    <row r="27" spans="1:6">
      <c r="B27" s="205" t="str">
        <f>HistoricalFS!B64</f>
        <v>Reserves</v>
      </c>
      <c r="C27" s="208">
        <f>HistoricalFS!C64/HistoricalFS!C$72</f>
        <v>0.10991553536085635</v>
      </c>
      <c r="D27" s="208">
        <f>HistoricalFS!D64/HistoricalFS!D$72</f>
        <v>0.12893974982247228</v>
      </c>
      <c r="E27" s="208">
        <f>HistoricalFS!E64/HistoricalFS!E$72</f>
        <v>0.12092694051956904</v>
      </c>
      <c r="F27" s="208">
        <f>HistoricalFS!F64/HistoricalFS!F$72</f>
        <v>0.12794068601041586</v>
      </c>
    </row>
    <row r="28" spans="1:6">
      <c r="B28" s="205" t="str">
        <f>HistoricalFS!B68</f>
        <v>Current Liabilities</v>
      </c>
      <c r="C28" s="208">
        <f>HistoricalFS!C68/HistoricalFS!C$72</f>
        <v>0.24427842667187022</v>
      </c>
      <c r="D28" s="208">
        <f>HistoricalFS!D68/HistoricalFS!D$72</f>
        <v>0.25116075817993117</v>
      </c>
      <c r="E28" s="208">
        <f>HistoricalFS!E68/HistoricalFS!E$72</f>
        <v>0.26471282145384956</v>
      </c>
      <c r="F28" s="208">
        <f>HistoricalFS!F68/HistoricalFS!F$72</f>
        <v>0.27827804715359555</v>
      </c>
    </row>
    <row r="29" spans="1:6">
      <c r="B29" s="205" t="str">
        <f>HistoricalFS!B71</f>
        <v>Non-Current Liabilities</v>
      </c>
      <c r="C29" s="208">
        <f>HistoricalFS!C71/HistoricalFS!C$72</f>
        <v>0.44576701140133246</v>
      </c>
      <c r="D29" s="208">
        <f>HistoricalFS!D71/HistoricalFS!D$72</f>
        <v>0.42827880045884087</v>
      </c>
      <c r="E29" s="208">
        <f>HistoricalFS!E71/HistoricalFS!E$72</f>
        <v>0.43497522740975697</v>
      </c>
      <c r="F29" s="208">
        <f>HistoricalFS!F71/HistoricalFS!F$72</f>
        <v>0.42363836937838323</v>
      </c>
    </row>
    <row r="31" spans="1:6">
      <c r="A31" s="5"/>
      <c r="B31" s="197" t="str">
        <f>HistoricalFS!B89</f>
        <v>Total Assets</v>
      </c>
      <c r="C31" s="209">
        <f>HistoricalFS!C89/HistoricalFS!C$89</f>
        <v>1</v>
      </c>
      <c r="D31" s="209">
        <f>HistoricalFS!D89/HistoricalFS!D$89</f>
        <v>1</v>
      </c>
      <c r="E31" s="209">
        <f>HistoricalFS!E89/HistoricalFS!E$89</f>
        <v>1</v>
      </c>
      <c r="F31" s="209">
        <f>HistoricalFS!F89/HistoricalFS!F$89</f>
        <v>1</v>
      </c>
    </row>
    <row r="32" spans="1:6">
      <c r="B32" s="205" t="str">
        <f>HistoricalFS!B74</f>
        <v>Fixed Assets</v>
      </c>
      <c r="C32" s="208">
        <f>HistoricalFS!C74/HistoricalFS!C$89</f>
        <v>0.35533688289242604</v>
      </c>
      <c r="D32" s="208">
        <f>HistoricalFS!D74/HistoricalFS!D$89</f>
        <v>0.34484077128967061</v>
      </c>
      <c r="E32" s="208">
        <f>HistoricalFS!E74/HistoricalFS!E$89</f>
        <v>0.34537447243557817</v>
      </c>
      <c r="F32" s="208">
        <f>HistoricalFS!F74/HistoricalFS!F$89</f>
        <v>0.36021960542856407</v>
      </c>
    </row>
    <row r="33" spans="2:6">
      <c r="B33" s="205" t="str">
        <f>HistoricalFS!B75</f>
        <v>Goodwill and Intangible Assets</v>
      </c>
      <c r="C33" s="208">
        <f>HistoricalFS!C75/HistoricalFS!C$89</f>
        <v>0.30156385024949128</v>
      </c>
      <c r="D33" s="208">
        <f>HistoricalFS!D75/HistoricalFS!D$89</f>
        <v>0.28270606871688425</v>
      </c>
      <c r="E33" s="208">
        <f>HistoricalFS!E75/HistoricalFS!E$89</f>
        <v>0.2838493197368076</v>
      </c>
      <c r="F33" s="208">
        <f>HistoricalFS!F75/HistoricalFS!F$89</f>
        <v>0.26534800790169066</v>
      </c>
    </row>
    <row r="34" spans="2:6">
      <c r="B34" s="205" t="str">
        <f>HistoricalFS!B76</f>
        <v>Non-Current Receivables</v>
      </c>
      <c r="C34" s="208">
        <f>HistoricalFS!C76/HistoricalFS!C$89</f>
        <v>2.5924790232208068E-3</v>
      </c>
      <c r="D34" s="208">
        <f>HistoricalFS!D76/HistoricalFS!D$89</f>
        <v>2.1303326596383899E-3</v>
      </c>
      <c r="E34" s="208">
        <f>HistoricalFS!E76/HistoricalFS!E$89</f>
        <v>2.0185073531339293E-3</v>
      </c>
      <c r="F34" s="208">
        <f>HistoricalFS!F76/HistoricalFS!F$89</f>
        <v>1.7445291054157368E-3</v>
      </c>
    </row>
    <row r="35" spans="2:6">
      <c r="B35" s="205" t="str">
        <f>HistoricalFS!B77</f>
        <v>Investments</v>
      </c>
      <c r="C35" s="208">
        <f>HistoricalFS!C77/HistoricalFS!C$89</f>
        <v>7.3592952917235803E-3</v>
      </c>
      <c r="D35" s="208">
        <f>HistoricalFS!D77/HistoricalFS!D$89</f>
        <v>9.0948817392254334E-3</v>
      </c>
      <c r="E35" s="208">
        <f>HistoricalFS!E77/HistoricalFS!E$89</f>
        <v>1.2032400975174981E-2</v>
      </c>
      <c r="F35" s="208">
        <f>HistoricalFS!F77/HistoricalFS!F$89</f>
        <v>1.1519023063700968E-2</v>
      </c>
    </row>
    <row r="36" spans="2:6">
      <c r="B36" s="205" t="str">
        <f>HistoricalFS!B78</f>
        <v>Other Assets</v>
      </c>
      <c r="C36" s="208">
        <f>HistoricalFS!C78/HistoricalFS!C$89</f>
        <v>1.1401332478465698E-2</v>
      </c>
      <c r="D36" s="208">
        <f>HistoricalFS!D78/HistoricalFS!D$89</f>
        <v>1.6086742775987328E-2</v>
      </c>
      <c r="E36" s="208">
        <f>HistoricalFS!E78/HistoricalFS!E$89</f>
        <v>6.081736440611319E-3</v>
      </c>
      <c r="F36" s="208">
        <f>HistoricalFS!F78/HistoricalFS!F$89</f>
        <v>1.282741989276277E-2</v>
      </c>
    </row>
    <row r="37" spans="2:6">
      <c r="B37" s="205" t="str">
        <f>HistoricalFS!B81</f>
        <v>Receivables</v>
      </c>
      <c r="C37" s="208">
        <f>HistoricalFS!C81/HistoricalFS!C$89</f>
        <v>0.11390182031053996</v>
      </c>
      <c r="D37" s="208">
        <f>HistoricalFS!D81/HistoricalFS!D$89</f>
        <v>0.12812039110722676</v>
      </c>
      <c r="E37" s="208">
        <f>HistoricalFS!E81/HistoricalFS!E$89</f>
        <v>0.13508270637271608</v>
      </c>
      <c r="F37" s="208">
        <f>HistoricalFS!F81/HistoricalFS!F$89</f>
        <v>0.13930578003540367</v>
      </c>
    </row>
    <row r="38" spans="2:6">
      <c r="B38" s="205" t="str">
        <f>HistoricalFS!B82</f>
        <v>Inventory</v>
      </c>
      <c r="C38" s="208">
        <f>HistoricalFS!C82/HistoricalFS!C$89</f>
        <v>0.14481643575948486</v>
      </c>
      <c r="D38" s="208">
        <f>HistoricalFS!D82/HistoricalFS!D$89</f>
        <v>0.14109357076528103</v>
      </c>
      <c r="E38" s="208">
        <f>HistoricalFS!E82/HistoricalFS!E$89</f>
        <v>0.15348520198180721</v>
      </c>
      <c r="F38" s="208">
        <f>HistoricalFS!F82/HistoricalFS!F$89</f>
        <v>0.14931116755175863</v>
      </c>
    </row>
    <row r="39" spans="2:6">
      <c r="B39" s="205" t="str">
        <f>HistoricalFS!B83</f>
        <v>Asset for Sale</v>
      </c>
      <c r="C39" s="208">
        <f>HistoricalFS!C83/HistoricalFS!C$89</f>
        <v>3.0106208011596467E-3</v>
      </c>
      <c r="D39" s="208">
        <f>HistoricalFS!D83/HistoricalFS!D$89</f>
        <v>2.4853881029114548E-3</v>
      </c>
      <c r="E39" s="208">
        <f>HistoricalFS!E83/HistoricalFS!E$89</f>
        <v>2.1233648779720553E-3</v>
      </c>
      <c r="F39" s="208">
        <f>HistoricalFS!F83/HistoricalFS!F$89</f>
        <v>1.3340516688473279E-3</v>
      </c>
    </row>
    <row r="40" spans="2:6">
      <c r="B40" s="205" t="str">
        <f>HistoricalFS!B84</f>
        <v>Other Current Asset</v>
      </c>
      <c r="C40" s="208">
        <f>HistoricalFS!C84/HistoricalFS!C$89</f>
        <v>6.0212416023192935E-3</v>
      </c>
      <c r="D40" s="208">
        <f>HistoricalFS!D84/HistoricalFS!D$89</f>
        <v>6.8006773365379362E-3</v>
      </c>
      <c r="E40" s="208">
        <f>HistoricalFS!E84/HistoricalFS!E$89</f>
        <v>9.2536765669646373E-3</v>
      </c>
      <c r="F40" s="208">
        <f>HistoricalFS!F84/HistoricalFS!F$89</f>
        <v>8.3121680905102746E-3</v>
      </c>
    </row>
    <row r="41" spans="2:6">
      <c r="B41" s="205" t="str">
        <f>HistoricalFS!B85</f>
        <v>Prepaid Asset</v>
      </c>
      <c r="C41" s="208">
        <f>HistoricalFS!C85/HistoricalFS!C$89</f>
        <v>0</v>
      </c>
      <c r="D41" s="208">
        <f>HistoricalFS!D85/HistoricalFS!D$89</f>
        <v>0</v>
      </c>
      <c r="E41" s="208">
        <f>HistoricalFS!E85/HistoricalFS!E$89</f>
        <v>0</v>
      </c>
      <c r="F41" s="208">
        <f>HistoricalFS!F85/HistoricalFS!F$89</f>
        <v>0</v>
      </c>
    </row>
    <row r="42" spans="2:6">
      <c r="B42" s="205" t="str">
        <f>HistoricalFS!B86</f>
        <v xml:space="preserve">Cash </v>
      </c>
      <c r="C42" s="208">
        <f>HistoricalFS!C86/HistoricalFS!C$89</f>
        <v>5.3996041591168845E-2</v>
      </c>
      <c r="D42" s="208">
        <f>HistoricalFS!D86/HistoricalFS!D$89</f>
        <v>6.6641175506636799E-2</v>
      </c>
      <c r="E42" s="208">
        <f>HistoricalFS!E86/HistoricalFS!E$89</f>
        <v>5.0698613259234013E-2</v>
      </c>
      <c r="F42" s="208">
        <f>HistoricalFS!F86/HistoricalFS!F$89</f>
        <v>5.0078247261345854E-2</v>
      </c>
    </row>
  </sheetData>
  <mergeCells count="1">
    <mergeCell ref="B2:F3"/>
  </mergeCells>
  <printOptions horizontalCentered="1" verticalCentered="1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B432-4592-41E9-AAB8-B00DE0EB5E9C}">
  <sheetPr>
    <pageSetUpPr fitToPage="1"/>
  </sheetPr>
  <dimension ref="B2:J42"/>
  <sheetViews>
    <sheetView showGridLines="0" topLeftCell="C30" zoomScaleNormal="100" zoomScaleSheetLayoutView="51" workbookViewId="0">
      <selection activeCell="B3" sqref="B3 G3:I3 B5:B9 B11:B15 B17:B19 B21:B25 B27:B31 B34:B37 B39:B41"/>
    </sheetView>
  </sheetViews>
  <sheetFormatPr defaultRowHeight="14.4"/>
  <cols>
    <col min="1" max="1" width="1.88671875" style="29" customWidth="1"/>
    <col min="2" max="2" width="39.21875" style="29" customWidth="1"/>
    <col min="3" max="6" width="18.77734375" style="29" customWidth="1"/>
    <col min="7" max="7" width="25.33203125" style="29" customWidth="1"/>
    <col min="8" max="9" width="18.77734375" style="29" customWidth="1"/>
    <col min="10" max="10" width="1.88671875" style="29" customWidth="1"/>
    <col min="11" max="16384" width="8.88671875" style="29"/>
  </cols>
  <sheetData>
    <row r="2" spans="2:9" ht="18">
      <c r="B2" s="233" t="str">
        <f>"Historical Financial Data -"&amp;" "&amp;incomestatement!B2</f>
        <v xml:space="preserve">Historical Financial Data - Loblaws Limited Company </v>
      </c>
      <c r="C2" s="233"/>
      <c r="D2" s="233"/>
      <c r="E2" s="233"/>
      <c r="F2" s="233"/>
      <c r="G2" s="233"/>
      <c r="H2" s="233"/>
      <c r="I2" s="233"/>
    </row>
    <row r="3" spans="2:9">
      <c r="B3" s="30" t="s">
        <v>0</v>
      </c>
      <c r="C3" s="51">
        <f>incomestatement!C2</f>
        <v>44196</v>
      </c>
      <c r="D3" s="51">
        <f>incomestatement!D2</f>
        <v>44561</v>
      </c>
      <c r="E3" s="51">
        <f>incomestatement!E2</f>
        <v>44926</v>
      </c>
      <c r="F3" s="51">
        <f>incomestatement!F2</f>
        <v>45291</v>
      </c>
      <c r="G3" s="52" t="s">
        <v>301</v>
      </c>
      <c r="H3" s="51" t="s">
        <v>299</v>
      </c>
      <c r="I3" s="51" t="s">
        <v>300</v>
      </c>
    </row>
    <row r="4" spans="2:9">
      <c r="B4" s="35"/>
      <c r="C4" s="35"/>
      <c r="D4" s="35"/>
      <c r="E4" s="37"/>
      <c r="F4" s="37"/>
    </row>
    <row r="5" spans="2:9" ht="18">
      <c r="B5" s="29" t="s">
        <v>271</v>
      </c>
      <c r="D5" s="31">
        <f>IFERROR(HistoricalFS!D6,0)</f>
        <v>8.6504533899913749E-3</v>
      </c>
      <c r="E5" s="39">
        <f>IFERROR(HistoricalFS!E6,0)</f>
        <v>6.270453263118303E-2</v>
      </c>
      <c r="F5" s="39">
        <f>IFERROR(HistoricalFS!F6,0)</f>
        <v>5.3536032847232073E-2</v>
      </c>
      <c r="G5" s="48"/>
      <c r="H5" s="39">
        <f>IFERROR(AVERAGE(D5:F5),0)</f>
        <v>4.1630339622802159E-2</v>
      </c>
      <c r="I5" s="40">
        <f>IFERROR(MEDIAN(D5:F5),0)</f>
        <v>5.3536032847232073E-2</v>
      </c>
    </row>
    <row r="6" spans="2:9" ht="18">
      <c r="B6" s="205" t="s">
        <v>272</v>
      </c>
      <c r="C6" s="205"/>
      <c r="D6" s="208">
        <f>IFERROR((HistoricalFS!D31/HistoricalFS!C31-1),0)</f>
        <v>0.16616374974854153</v>
      </c>
      <c r="E6" s="208">
        <f>IFERROR((HistoricalFS!E31/HistoricalFS!D31-1),0)</f>
        <v>6.4343626013455335E-2</v>
      </c>
      <c r="F6" s="208">
        <f>IFERROR((HistoricalFS!F31/HistoricalFS!E31-1),0)</f>
        <v>7.6823338735818369E-2</v>
      </c>
      <c r="G6" s="210"/>
      <c r="H6" s="208">
        <f t="shared" ref="H6:H31" si="0">IFERROR(AVERAGE(D6:F6),0)</f>
        <v>0.10244357149927175</v>
      </c>
      <c r="I6" s="211">
        <f t="shared" ref="I6:I31" si="1">IFERROR(MEDIAN(D6:F6),0)</f>
        <v>7.6823338735818369E-2</v>
      </c>
    </row>
    <row r="7" spans="2:9" ht="18">
      <c r="B7" s="205" t="s">
        <v>273</v>
      </c>
      <c r="C7" s="205"/>
      <c r="D7" s="208">
        <f>IFERROR(HistoricalFS!D34/HistoricalFS!C34-1,0)</f>
        <v>0.50462107208872453</v>
      </c>
      <c r="E7" s="208">
        <f>IFERROR(HistoricalFS!E34/HistoricalFS!D34-1,0)</f>
        <v>8.8861588861588903E-2</v>
      </c>
      <c r="F7" s="208">
        <f>IFERROR(HistoricalFS!F34/HistoricalFS!E34-1,0)</f>
        <v>9.1011658518239891E-2</v>
      </c>
      <c r="G7" s="210"/>
      <c r="H7" s="208">
        <f t="shared" si="0"/>
        <v>0.22816477315618444</v>
      </c>
      <c r="I7" s="211">
        <f t="shared" si="1"/>
        <v>9.1011658518239891E-2</v>
      </c>
    </row>
    <row r="8" spans="2:9" ht="18">
      <c r="B8" s="205" t="s">
        <v>274</v>
      </c>
      <c r="C8" s="205"/>
      <c r="D8" s="208">
        <f>IFERROR(HistoricalFS!D40/HistoricalFS!C40-1,0)</f>
        <v>0.65771812080536907</v>
      </c>
      <c r="E8" s="208">
        <f>IFERROR(HistoricalFS!E40/HistoricalFS!D40-1,0)</f>
        <v>9.109311740890691E-3</v>
      </c>
      <c r="F8" s="208">
        <f>IFERROR(HistoricalFS!F40/HistoricalFS!E40-1,0)</f>
        <v>9.679037111333999E-2</v>
      </c>
      <c r="G8" s="210"/>
      <c r="H8" s="208">
        <f t="shared" si="0"/>
        <v>0.25453926788653325</v>
      </c>
      <c r="I8" s="211">
        <f t="shared" si="1"/>
        <v>9.679037111333999E-2</v>
      </c>
    </row>
    <row r="9" spans="2:9" ht="18">
      <c r="B9" s="29" t="s">
        <v>275</v>
      </c>
      <c r="D9" s="31">
        <f>IFERROR(HistoricalFS!D54/HistoricalFS!C54-1,0)</f>
        <v>-0.14716006537398352</v>
      </c>
      <c r="E9" s="41">
        <f>IFERROR(HistoricalFS!E54/HistoricalFS!D54-1,0)</f>
        <v>0.12869118000235047</v>
      </c>
      <c r="F9" s="41">
        <f>IFERROR(HistoricalFS!F54/HistoricalFS!E54-1,0)</f>
        <v>0.10272606382978733</v>
      </c>
      <c r="G9" s="49"/>
      <c r="H9" s="41">
        <f t="shared" si="0"/>
        <v>2.8085726152718093E-2</v>
      </c>
      <c r="I9" s="42">
        <f t="shared" si="1"/>
        <v>0.10272606382978733</v>
      </c>
    </row>
    <row r="10" spans="2:9">
      <c r="B10" s="35"/>
      <c r="C10" s="35"/>
      <c r="D10" s="35"/>
    </row>
    <row r="11" spans="2:9" ht="21">
      <c r="B11" s="29" t="s">
        <v>276</v>
      </c>
      <c r="C11" s="31">
        <f>IFERROR(HistoricalFS!C12,0)</f>
        <v>0.30331600713282997</v>
      </c>
      <c r="D11" s="31">
        <f>IFERROR(HistoricalFS!D12,0)</f>
        <v>0.31472634944517586</v>
      </c>
      <c r="E11" s="39">
        <f>IFERROR(HistoricalFS!E12,0)</f>
        <v>0.31813676907829536</v>
      </c>
      <c r="F11" s="39">
        <f>IFERROR(HistoricalFS!F12,0)</f>
        <v>0.31979371398814022</v>
      </c>
      <c r="G11" s="50"/>
      <c r="H11" s="39">
        <f t="shared" si="0"/>
        <v>0.31755227750387044</v>
      </c>
      <c r="I11" s="40">
        <f t="shared" si="1"/>
        <v>0.31813676907829536</v>
      </c>
    </row>
    <row r="12" spans="2:9">
      <c r="B12" s="205" t="s">
        <v>223</v>
      </c>
      <c r="C12" s="208">
        <f>IFERROR(HistoricalFS!C32,0)</f>
        <v>9.4301324126418035E-2</v>
      </c>
      <c r="D12" s="208">
        <f>IFERROR(HistoricalFS!D32,0)</f>
        <v>0.10902764716945645</v>
      </c>
      <c r="E12" s="208">
        <f>IFERROR(HistoricalFS!E32,0)</f>
        <v>0.10919580914625514</v>
      </c>
      <c r="F12" s="208">
        <f>IFERROR(HistoricalFS!F32,0)</f>
        <v>0.11160946765442054</v>
      </c>
      <c r="G12" s="205"/>
      <c r="H12" s="208">
        <f t="shared" si="0"/>
        <v>0.10994430799004405</v>
      </c>
      <c r="I12" s="211">
        <f t="shared" si="1"/>
        <v>0.10919580914625514</v>
      </c>
    </row>
    <row r="13" spans="2:9">
      <c r="B13" s="205" t="s">
        <v>277</v>
      </c>
      <c r="C13" s="208">
        <f>IFERROR(HistoricalFS!C23,0)</f>
        <v>4.5054444739537881E-2</v>
      </c>
      <c r="D13" s="208">
        <f>IFERROR(HistoricalFS!D23,0)</f>
        <v>5.8924205378973103E-2</v>
      </c>
      <c r="E13" s="208">
        <f>IFERROR(HistoricalFS!E23,0)</f>
        <v>5.9730284581622543E-2</v>
      </c>
      <c r="F13" s="208">
        <f>IFERROR(HistoricalFS!F23,0)</f>
        <v>6.2792924456987351E-2</v>
      </c>
      <c r="G13" s="205"/>
      <c r="H13" s="208">
        <f t="shared" si="0"/>
        <v>6.0482471472527666E-2</v>
      </c>
      <c r="I13" s="211">
        <f t="shared" si="1"/>
        <v>5.9730284581622543E-2</v>
      </c>
    </row>
    <row r="14" spans="2:9">
      <c r="B14" s="205" t="s">
        <v>278</v>
      </c>
      <c r="C14" s="208">
        <f>IFERROR(HistoricalFS!C35,0)</f>
        <v>3.0788784763061048E-2</v>
      </c>
      <c r="D14" s="208">
        <f>IFERROR(HistoricalFS!D35,0)</f>
        <v>4.5928154974609739E-2</v>
      </c>
      <c r="E14" s="208">
        <f>IFERROR(HistoricalFS!E35,0)</f>
        <v>4.7058615319269435E-2</v>
      </c>
      <c r="F14" s="208">
        <f>IFERROR(HistoricalFS!F35,0)</f>
        <v>4.8732550521594517E-2</v>
      </c>
      <c r="G14" s="205"/>
      <c r="H14" s="208">
        <f t="shared" si="0"/>
        <v>4.7239773605157888E-2</v>
      </c>
      <c r="I14" s="211">
        <f t="shared" si="1"/>
        <v>4.7058615319269435E-2</v>
      </c>
    </row>
    <row r="15" spans="2:9">
      <c r="B15" s="29" t="s">
        <v>279</v>
      </c>
      <c r="C15" s="31">
        <f>IFERROR(HistoricalFS!C41,0)</f>
        <v>2.2612588686117541E-2</v>
      </c>
      <c r="D15" s="31">
        <f>IFERROR(HistoricalFS!D41,0)</f>
        <v>3.7163814180929094E-2</v>
      </c>
      <c r="E15" s="41">
        <f>IFERROR(HistoricalFS!E41,0)</f>
        <v>3.5289537023927509E-2</v>
      </c>
      <c r="F15" s="41">
        <f>IFERROR(HistoricalFS!F41,0)</f>
        <v>3.6738396411832887E-2</v>
      </c>
      <c r="G15" s="38"/>
      <c r="H15" s="41">
        <f t="shared" si="0"/>
        <v>3.6397249205563163E-2</v>
      </c>
      <c r="I15" s="42">
        <f t="shared" si="1"/>
        <v>3.6738396411832887E-2</v>
      </c>
    </row>
    <row r="16" spans="2:9">
      <c r="B16" s="35"/>
      <c r="C16" s="35"/>
      <c r="D16" s="35"/>
      <c r="E16" s="38"/>
      <c r="F16" s="38"/>
    </row>
    <row r="17" spans="2:10">
      <c r="B17" s="29" t="s">
        <v>280</v>
      </c>
      <c r="C17" s="31">
        <f>IFERROR(HistoricalFS!C15,0)</f>
        <v>0.2584512653185112</v>
      </c>
      <c r="D17" s="31">
        <f>IFERROR(HistoricalFS!D15,0)</f>
        <v>0.25948843332706412</v>
      </c>
      <c r="E17" s="39">
        <f>IFERROR(HistoricalFS!E15,0)</f>
        <v>0.25899051394591532</v>
      </c>
      <c r="F17" s="39">
        <f>IFERROR(HistoricalFS!F15,0)</f>
        <v>0.25757193972685583</v>
      </c>
      <c r="G17" s="37"/>
      <c r="H17" s="39">
        <f t="shared" si="0"/>
        <v>0.25868362899994507</v>
      </c>
      <c r="I17" s="40">
        <f t="shared" si="1"/>
        <v>0.25899051394591532</v>
      </c>
      <c r="J17" s="39"/>
    </row>
    <row r="18" spans="2:10">
      <c r="B18" s="205" t="s">
        <v>221</v>
      </c>
      <c r="C18" s="208">
        <f>IFERROR(HistoricalFS!C29,0)</f>
        <v>4.9246879386880146E-2</v>
      </c>
      <c r="D18" s="208">
        <f>IFERROR(HistoricalFS!D29,0)</f>
        <v>5.0103441790483358E-2</v>
      </c>
      <c r="E18" s="208">
        <f>IFERROR(HistoricalFS!E29,0)</f>
        <v>4.9465524564632594E-2</v>
      </c>
      <c r="F18" s="208">
        <f>IFERROR(HistoricalFS!F29,0)</f>
        <v>4.8816543197433185E-2</v>
      </c>
      <c r="G18" s="205"/>
      <c r="H18" s="208">
        <f t="shared" si="0"/>
        <v>4.9461836517516379E-2</v>
      </c>
      <c r="I18" s="211">
        <f t="shared" si="1"/>
        <v>4.9465524564632594E-2</v>
      </c>
      <c r="J18" s="31"/>
    </row>
    <row r="19" spans="2:10">
      <c r="B19" s="29" t="s">
        <v>281</v>
      </c>
      <c r="C19" s="31">
        <f>IFERROR(HistoricalFS!C18,0)</f>
        <v>6.4397549353301567E-2</v>
      </c>
      <c r="D19" s="31">
        <f>IFERROR(HistoricalFS!D18,0)</f>
        <v>8.0607091887144586E-2</v>
      </c>
      <c r="E19" s="31">
        <f>IFERROR(HistoricalFS!E18,0)</f>
        <v>8.6742109634551492E-2</v>
      </c>
      <c r="F19" s="31">
        <f>IFERROR(HistoricalFS!F18,0)</f>
        <v>9.1474859231453126E-2</v>
      </c>
      <c r="H19" s="31">
        <f t="shared" si="0"/>
        <v>8.6274686917716406E-2</v>
      </c>
      <c r="I19" s="36">
        <f t="shared" si="1"/>
        <v>8.6742109634551492E-2</v>
      </c>
      <c r="J19" s="31"/>
    </row>
    <row r="20" spans="2:10">
      <c r="B20" s="35"/>
      <c r="C20" s="35"/>
      <c r="D20" s="35"/>
      <c r="E20" s="37"/>
      <c r="F20" s="35"/>
      <c r="G20" s="35"/>
      <c r="H20" s="35"/>
      <c r="I20" s="35"/>
    </row>
    <row r="21" spans="2:10">
      <c r="B21" s="29" t="s">
        <v>282</v>
      </c>
      <c r="C21" s="31">
        <f>IFERROR(HistoricalFS!C22/(HistoricalFS!C60+HistoricalFS!C64+HistoricalFS!C68),0)</f>
        <v>0.11945478322100392</v>
      </c>
      <c r="D21" s="31">
        <f>IFERROR(HistoricalFS!D22/(HistoricalFS!D60+HistoricalFS!D64+HistoricalFS!D68),0)</f>
        <v>0.14966798834376344</v>
      </c>
      <c r="E21" s="39">
        <f>IFERROR(HistoricalFS!E22/(HistoricalFS!E60+HistoricalFS!E64+HistoricalFS!E68),0)</f>
        <v>0.15658346478611859</v>
      </c>
      <c r="F21" s="39">
        <f>IFERROR(HistoricalFS!F22/(HistoricalFS!F60+HistoricalFS!F64+HistoricalFS!F68),0)</f>
        <v>0.1663847591916674</v>
      </c>
      <c r="G21" s="37"/>
      <c r="H21" s="39">
        <f t="shared" si="0"/>
        <v>0.15754540410718312</v>
      </c>
      <c r="I21" s="40">
        <f t="shared" si="1"/>
        <v>0.15658346478611859</v>
      </c>
    </row>
    <row r="22" spans="2:10">
      <c r="B22" s="205" t="s">
        <v>283</v>
      </c>
      <c r="C22" s="208">
        <f>IFERROR(HistoricalFS!C57,0)</f>
        <v>0.47080291970802923</v>
      </c>
      <c r="D22" s="208">
        <f>IFERROR(HistoricalFS!D57,0)</f>
        <v>0.74664519592055822</v>
      </c>
      <c r="E22" s="208">
        <f>IFERROR(HistoricalFS!E57,0)</f>
        <v>0.7291775798847564</v>
      </c>
      <c r="F22" s="208">
        <f>IFERROR(HistoricalFS!F57,0)</f>
        <v>0.73659003831417624</v>
      </c>
      <c r="G22" s="205"/>
      <c r="H22" s="208">
        <f t="shared" si="0"/>
        <v>0.73747093803983033</v>
      </c>
      <c r="I22" s="211">
        <f t="shared" si="1"/>
        <v>0.73659003831417624</v>
      </c>
    </row>
    <row r="23" spans="2:10">
      <c r="B23" s="205" t="s">
        <v>284</v>
      </c>
      <c r="C23" s="208">
        <f>IFERROR(HistoricalFS!C40/(HistoricalFS!C64+HistoricalFS!C60),0)</f>
        <v>0.10720388524147854</v>
      </c>
      <c r="D23" s="208">
        <f>IFERROR(HistoricalFS!D40/(HistoricalFS!D64+HistoricalFS!D60),0)</f>
        <v>0.16835647950924426</v>
      </c>
      <c r="E23" s="208">
        <f>IFERROR(HistoricalFS!E40/(HistoricalFS!E64+HistoricalFS!E60),0)</f>
        <v>0.17405726256983239</v>
      </c>
      <c r="F23" s="208">
        <f>IFERROR(HistoricalFS!F40/(HistoricalFS!F64+HistoricalFS!F60),0)</f>
        <v>0.1882261812548412</v>
      </c>
      <c r="G23" s="205"/>
      <c r="H23" s="208">
        <f t="shared" si="0"/>
        <v>0.17687997444463929</v>
      </c>
      <c r="I23" s="211">
        <f t="shared" si="1"/>
        <v>0.17405726256983239</v>
      </c>
    </row>
    <row r="24" spans="2:10">
      <c r="B24" s="205" t="s">
        <v>285</v>
      </c>
      <c r="C24" s="208">
        <f>IFERROR(C22*C23,0)</f>
        <v>5.0471902175732601E-2</v>
      </c>
      <c r="D24" s="208">
        <f>IFERROR(D22*D23,0)</f>
        <v>0.12570255662767513</v>
      </c>
      <c r="E24" s="208">
        <f>IFERROR(E22*E23,0)</f>
        <v>0.12691865348203599</v>
      </c>
      <c r="F24" s="208">
        <f>IFERROR(F22*F23,0)</f>
        <v>0.13864553006223457</v>
      </c>
      <c r="G24" s="205"/>
      <c r="H24" s="208">
        <f t="shared" si="0"/>
        <v>0.13042224672398189</v>
      </c>
      <c r="I24" s="211">
        <f t="shared" si="1"/>
        <v>0.12691865348203599</v>
      </c>
    </row>
    <row r="25" spans="2:10">
      <c r="B25" s="29" t="s">
        <v>286</v>
      </c>
      <c r="C25" s="32">
        <f>IFERROR(HistoricalFS!C22/HistoricalFS!C25,0)</f>
        <v>3.1582446808510638</v>
      </c>
      <c r="D25" s="32">
        <f>IFERROR(HistoricalFS!D22/HistoricalFS!D25,0)</f>
        <v>4.5340086830680173</v>
      </c>
      <c r="E25" s="43">
        <f>IFERROR(HistoricalFS!E22/HistoricalFS!E25,0)</f>
        <v>4.7136871508379885</v>
      </c>
      <c r="F25" s="43">
        <f>IFERROR(HistoricalFS!F22/HistoricalFS!F25,0)</f>
        <v>4.4659498207885306</v>
      </c>
      <c r="G25" s="38"/>
      <c r="H25" s="43">
        <f t="shared" si="0"/>
        <v>4.5712152182315124</v>
      </c>
      <c r="I25" s="43">
        <f t="shared" si="1"/>
        <v>4.5340086830680173</v>
      </c>
    </row>
    <row r="26" spans="2:10">
      <c r="B26" s="35"/>
      <c r="C26" s="35"/>
      <c r="D26" s="35"/>
      <c r="H26" s="32"/>
      <c r="I26" s="32"/>
    </row>
    <row r="27" spans="2:10">
      <c r="B27" s="29" t="s">
        <v>287</v>
      </c>
      <c r="C27" s="32">
        <f>IFERROR(HistoricalFS!C5/HistoricalFS!C81,0)</f>
        <v>12.901125795398924</v>
      </c>
      <c r="D27" s="32">
        <f>IFERROR(HistoricalFS!D5/HistoricalFS!D81,0)</f>
        <v>11.334470262204221</v>
      </c>
      <c r="E27" s="44">
        <f>IFERROR(HistoricalFS!E5/HistoricalFS!E81,0)</f>
        <v>10.96526295361925</v>
      </c>
      <c r="F27" s="44">
        <f>IFERROR(HistoricalFS!F5/HistoricalFS!F81,0)</f>
        <v>10.962983425414365</v>
      </c>
      <c r="G27" s="37"/>
      <c r="H27" s="44">
        <f t="shared" si="0"/>
        <v>11.087572213745945</v>
      </c>
      <c r="I27" s="44">
        <f t="shared" si="1"/>
        <v>10.96526295361925</v>
      </c>
    </row>
    <row r="28" spans="2:10">
      <c r="B28" s="205" t="s">
        <v>288</v>
      </c>
      <c r="C28" s="212">
        <f>IFERROR(HistoricalFS!C5/HistoricalFS!C69,0)</f>
        <v>9.046507636862879</v>
      </c>
      <c r="D28" s="212">
        <f>IFERROR(HistoricalFS!D5/HistoricalFS!D69,0)</f>
        <v>8.8336933045356378</v>
      </c>
      <c r="E28" s="212">
        <f>IFERROR(HistoricalFS!E5/HistoricalFS!E69,0)</f>
        <v>8.2523733021761352</v>
      </c>
      <c r="F28" s="212">
        <f>IFERROR(HistoricalFS!F5/HistoricalFS!F69,0)</f>
        <v>8.5850879723103546</v>
      </c>
      <c r="G28" s="205"/>
      <c r="H28" s="212">
        <f t="shared" si="0"/>
        <v>8.5570515263407092</v>
      </c>
      <c r="I28" s="212">
        <f t="shared" si="1"/>
        <v>8.5850879723103546</v>
      </c>
    </row>
    <row r="29" spans="2:10">
      <c r="B29" s="205" t="s">
        <v>296</v>
      </c>
      <c r="C29" s="212">
        <f>IFERROR(HistoricalFS!C5/HistoricalFS!C82,0)</f>
        <v>10.14706448508181</v>
      </c>
      <c r="D29" s="212">
        <f>IFERROR(HistoricalFS!D5/HistoricalFS!D82,0)</f>
        <v>10.292295780100659</v>
      </c>
      <c r="E29" s="212">
        <f>IFERROR(HistoricalFS!E5/HistoricalFS!E82,0)</f>
        <v>9.6505550811272425</v>
      </c>
      <c r="F29" s="212">
        <f>IFERROR(HistoricalFS!F5/HistoricalFS!F82,0)</f>
        <v>10.228350515463918</v>
      </c>
      <c r="G29" s="205"/>
      <c r="H29" s="212">
        <f t="shared" si="0"/>
        <v>10.05706712556394</v>
      </c>
      <c r="I29" s="212">
        <f t="shared" si="1"/>
        <v>10.228350515463918</v>
      </c>
    </row>
    <row r="30" spans="2:10">
      <c r="B30" s="205" t="s">
        <v>289</v>
      </c>
      <c r="C30" s="212">
        <f>IFERROR(HistoricalFS!C5/HistoricalFS!C74,0)</f>
        <v>4.1354044088805209</v>
      </c>
      <c r="D30" s="212">
        <f>IFERROR(HistoricalFS!D5/HistoricalFS!D74,0)</f>
        <v>4.2111515919531124</v>
      </c>
      <c r="E30" s="212">
        <f>IFERROR(HistoricalFS!E5/HistoricalFS!E74,0)</f>
        <v>4.2887286527514235</v>
      </c>
      <c r="F30" s="212">
        <f>IFERROR(HistoricalFS!F5/HistoricalFS!F74,0)</f>
        <v>4.2396552952068944</v>
      </c>
      <c r="G30" s="205"/>
      <c r="H30" s="212">
        <f t="shared" si="0"/>
        <v>4.2465118466371434</v>
      </c>
      <c r="I30" s="212">
        <f t="shared" si="1"/>
        <v>4.2396552952068944</v>
      </c>
    </row>
    <row r="31" spans="2:10">
      <c r="B31" s="29" t="s">
        <v>290</v>
      </c>
      <c r="C31" s="32">
        <f>IFERROR(HistoricalFS!C5/(HistoricalFS!C60+HistoricalFS!C64),0)</f>
        <v>4.7408939652846476</v>
      </c>
      <c r="D31" s="32">
        <f>IFERROR(HistoricalFS!D5/(HistoricalFS!D60+HistoricalFS!D64),0)</f>
        <v>4.5301184289000593</v>
      </c>
      <c r="E31" s="32">
        <f>IFERROR(HistoricalFS!E5/(HistoricalFS!E60+HistoricalFS!E64),0)</f>
        <v>4.9322625698324023</v>
      </c>
      <c r="F31" s="32">
        <f>IFERROR(HistoricalFS!F5/(HistoricalFS!F60+HistoricalFS!F64),0)</f>
        <v>5.1234185386005677</v>
      </c>
      <c r="H31" s="32">
        <f t="shared" si="0"/>
        <v>4.8619331791110101</v>
      </c>
      <c r="I31" s="32">
        <f t="shared" si="1"/>
        <v>4.9322625698324023</v>
      </c>
    </row>
    <row r="32" spans="2:10">
      <c r="B32" s="35"/>
      <c r="C32" s="35"/>
      <c r="D32" s="35"/>
      <c r="E32" s="35"/>
      <c r="F32" s="35"/>
      <c r="G32" s="35"/>
      <c r="H32" s="47"/>
      <c r="I32" s="35"/>
    </row>
    <row r="33" spans="2:9">
      <c r="B33" s="35"/>
      <c r="C33" s="35"/>
      <c r="D33" s="35"/>
      <c r="E33" s="37"/>
      <c r="F33" s="37"/>
      <c r="H33" s="33"/>
    </row>
    <row r="34" spans="2:9">
      <c r="B34" s="29" t="s">
        <v>291</v>
      </c>
      <c r="C34" s="34">
        <f t="shared" ref="C34:F36" si="2">IFERROR(365/C27,0)</f>
        <v>28.29210456425238</v>
      </c>
      <c r="D34" s="34">
        <f t="shared" si="2"/>
        <v>32.202651871356025</v>
      </c>
      <c r="E34" s="45">
        <f t="shared" si="2"/>
        <v>33.286935438199066</v>
      </c>
      <c r="F34" s="45">
        <f t="shared" si="2"/>
        <v>33.293856775689157</v>
      </c>
      <c r="G34" s="37"/>
      <c r="H34" s="45">
        <f>IFERROR(AVERAGE(D34:F34),0)</f>
        <v>32.927814695081416</v>
      </c>
      <c r="I34" s="45">
        <f>IFERROR(MEDIAN(D34:F34),0)</f>
        <v>33.286935438199066</v>
      </c>
    </row>
    <row r="35" spans="2:9">
      <c r="B35" s="205" t="s">
        <v>292</v>
      </c>
      <c r="C35" s="213">
        <f t="shared" si="2"/>
        <v>40.347061501688358</v>
      </c>
      <c r="D35" s="213">
        <f t="shared" si="2"/>
        <v>41.319070904645471</v>
      </c>
      <c r="E35" s="213">
        <f t="shared" si="2"/>
        <v>44.229700552173298</v>
      </c>
      <c r="F35" s="213">
        <f t="shared" si="2"/>
        <v>42.515580641368075</v>
      </c>
      <c r="G35" s="205"/>
      <c r="H35" s="213">
        <f>IFERROR(AVERAGE(D35:F35),0)</f>
        <v>42.688117366062279</v>
      </c>
      <c r="I35" s="213">
        <f>IFERROR(MEDIAN(D35:F35),0)</f>
        <v>42.515580641368075</v>
      </c>
    </row>
    <row r="36" spans="2:9">
      <c r="B36" s="205" t="s">
        <v>293</v>
      </c>
      <c r="C36" s="213">
        <f t="shared" si="2"/>
        <v>35.970994422733995</v>
      </c>
      <c r="D36" s="213">
        <f t="shared" si="2"/>
        <v>35.463419221365427</v>
      </c>
      <c r="E36" s="213">
        <f t="shared" si="2"/>
        <v>37.821658643635843</v>
      </c>
      <c r="F36" s="213">
        <f t="shared" si="2"/>
        <v>35.685128256816007</v>
      </c>
      <c r="G36" s="205"/>
      <c r="H36" s="213">
        <f>IFERROR(AVERAGE(D36:F36),0)</f>
        <v>36.323402040605764</v>
      </c>
      <c r="I36" s="213">
        <f>IFERROR(MEDIAN(D36:F36),0)</f>
        <v>35.685128256816007</v>
      </c>
    </row>
    <row r="37" spans="2:9">
      <c r="B37" s="29" t="s">
        <v>294</v>
      </c>
      <c r="C37" s="34">
        <f>SUM(C34,C36)-C35</f>
        <v>23.91603748529802</v>
      </c>
      <c r="D37" s="34">
        <f>SUM(D34,D36)-D35</f>
        <v>26.347000188075981</v>
      </c>
      <c r="E37" s="46">
        <f>SUM(E34,E36)-E35</f>
        <v>26.87889352966161</v>
      </c>
      <c r="F37" s="46">
        <f>SUM(F34,F36)-F35</f>
        <v>26.46340439113709</v>
      </c>
      <c r="G37" s="38"/>
      <c r="H37" s="46">
        <f>IFERROR(AVERAGE(D37:F37),0)</f>
        <v>26.563099369624894</v>
      </c>
      <c r="I37" s="46">
        <f>IFERROR(MEDIAN(D37:F37),0)</f>
        <v>26.46340439113709</v>
      </c>
    </row>
    <row r="38" spans="2:9">
      <c r="B38" s="35"/>
      <c r="C38" s="35"/>
      <c r="D38" s="35"/>
    </row>
    <row r="39" spans="2:9">
      <c r="B39" s="29" t="s">
        <v>295</v>
      </c>
      <c r="C39" s="31">
        <f>IFERROR(HistoricalFS!C107/HistoricalFS!C5,0)</f>
        <v>9.8474788481238376E-2</v>
      </c>
      <c r="D39" s="31">
        <f>IFERROR(HistoricalFS!D107/HistoricalFS!D5,0)</f>
        <v>9.0784276847846526E-2</v>
      </c>
      <c r="E39" s="39">
        <f>IFERROR(HistoricalFS!E107/HistoricalFS!E5,0)</f>
        <v>8.4153334277219313E-2</v>
      </c>
      <c r="F39" s="39">
        <f>IFERROR(HistoricalFS!F107/HistoricalFS!F5,0)</f>
        <v>9.4978917838364499E-2</v>
      </c>
      <c r="G39" s="37"/>
      <c r="H39" s="39">
        <f>IFERROR(AVERAGE(D39:F39),0)</f>
        <v>8.9972176321143446E-2</v>
      </c>
      <c r="I39" s="40">
        <f>IFERROR(MEDIAN(D39:F39),0)</f>
        <v>9.0784276847846526E-2</v>
      </c>
    </row>
    <row r="40" spans="2:9">
      <c r="B40" s="205" t="s">
        <v>297</v>
      </c>
      <c r="C40" s="208">
        <f>IFERROR(HistoricalFS!C107/HistoricalFS!C89,0)</f>
        <v>0.14470493128536782</v>
      </c>
      <c r="D40" s="208">
        <f>IFERROR(HistoricalFS!D107/HistoricalFS!D89,0)</f>
        <v>0.1318348172830065</v>
      </c>
      <c r="E40" s="208">
        <f>IFERROR(HistoricalFS!E107/HistoricalFS!E89,0)</f>
        <v>0.12464938265132251</v>
      </c>
      <c r="F40" s="208">
        <f>IFERROR(HistoricalFS!F107/HistoricalFS!F89,0)</f>
        <v>0.14505246414736139</v>
      </c>
      <c r="G40" s="205"/>
      <c r="H40" s="208">
        <f>IFERROR(AVERAGE(D40:F40),0)</f>
        <v>0.13384555469389681</v>
      </c>
      <c r="I40" s="211">
        <f>IFERROR(MEDIAN(D40:F40),0)</f>
        <v>0.1318348172830065</v>
      </c>
    </row>
    <row r="41" spans="2:9">
      <c r="B41" s="29" t="s">
        <v>298</v>
      </c>
      <c r="C41" s="31">
        <f>IFERROR(HistoricalFS!C107/HistoricalFS!C68,0)</f>
        <v>0.59237703982654344</v>
      </c>
      <c r="D41" s="31">
        <f>IFERROR(HistoricalFS!D107/HistoricalFS!D68,0)</f>
        <v>0.52490213136146147</v>
      </c>
      <c r="E41" s="31">
        <f>IFERROR(HistoricalFS!E107/HistoricalFS!E68,0)</f>
        <v>0.47088532382650028</v>
      </c>
      <c r="F41" s="31">
        <f>IFERROR(HistoricalFS!F107/HistoricalFS!F68,0)</f>
        <v>0.5212501152392367</v>
      </c>
      <c r="H41" s="31">
        <f>IFERROR(AVERAGE(D41:F41),0)</f>
        <v>0.50567919014239948</v>
      </c>
      <c r="I41" s="36">
        <f>IFERROR(MEDIAN(D41:F41),0)</f>
        <v>0.5212501152392367</v>
      </c>
    </row>
    <row r="42" spans="2:9">
      <c r="B42" s="35"/>
      <c r="C42" s="35"/>
      <c r="D42" s="35"/>
      <c r="E42" s="35"/>
      <c r="F42" s="35"/>
      <c r="G42" s="35"/>
      <c r="H42" s="35"/>
      <c r="I42" s="35"/>
    </row>
  </sheetData>
  <mergeCells count="1">
    <mergeCell ref="B2:I2"/>
  </mergeCells>
  <pageMargins left="0.7" right="0.7" top="0.75" bottom="0.75" header="0.3" footer="0.3"/>
  <pageSetup paperSize="9" scale="72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lineWeight="1" displayEmptyCellsAs="gap" markers="1" xr2:uid="{E62E1DAB-9A94-4AC0-9954-2510BFA1E003}">
          <x14:colorSeries theme="9" tint="-0.249977111117893"/>
          <x14:colorNegative theme="4"/>
          <x14:colorAxis rgb="FF000000"/>
          <x14:colorMarkers theme="1" tint="0.34998626667073579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'Ratio Analysis'!D5:G5</xm:f>
              <xm:sqref>G5</xm:sqref>
            </x14:sparkline>
            <x14:sparkline>
              <xm:f>'Ratio Analysis'!D6:G6</xm:f>
              <xm:sqref>G6</xm:sqref>
            </x14:sparkline>
            <x14:sparkline>
              <xm:f>'Ratio Analysis'!D7:G7</xm:f>
              <xm:sqref>G7</xm:sqref>
            </x14:sparkline>
            <x14:sparkline>
              <xm:f>'Ratio Analysis'!D8:G8</xm:f>
              <xm:sqref>G8</xm:sqref>
            </x14:sparkline>
            <x14:sparkline>
              <xm:f>'Ratio Analysis'!D9:G9</xm:f>
              <xm:sqref>G9</xm:sqref>
            </x14:sparkline>
          </x14:sparklines>
        </x14:sparklineGroup>
        <x14:sparklineGroup manualMax="0" manualMin="0" lineWeight="1" displayEmptyCellsAs="gap" markers="1" xr2:uid="{D6AD7B73-7745-427C-9888-9F5E8C7C2DEB}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'Ratio Analysis'!C11:G11</xm:f>
              <xm:sqref>G11</xm:sqref>
            </x14:sparkline>
            <x14:sparkline>
              <xm:f>'Ratio Analysis'!C12:G12</xm:f>
              <xm:sqref>G12</xm:sqref>
            </x14:sparkline>
            <x14:sparkline>
              <xm:f>'Ratio Analysis'!C13:G13</xm:f>
              <xm:sqref>G13</xm:sqref>
            </x14:sparkline>
            <x14:sparkline>
              <xm:f>'Ratio Analysis'!C14:G14</xm:f>
              <xm:sqref>G14</xm:sqref>
            </x14:sparkline>
            <x14:sparkline>
              <xm:f>'Ratio Analysis'!C15:G15</xm:f>
              <xm:sqref>G15</xm:sqref>
            </x14:sparkline>
            <x14:sparkline>
              <xm:f>'Ratio Analysis'!C16:G16</xm:f>
              <xm:sqref>G16</xm:sqref>
            </x14:sparkline>
            <x14:sparkline>
              <xm:f>'Ratio Analysis'!C17:G17</xm:f>
              <xm:sqref>G17</xm:sqref>
            </x14:sparkline>
            <x14:sparkline>
              <xm:f>'Ratio Analysis'!C18:G18</xm:f>
              <xm:sqref>G18</xm:sqref>
            </x14:sparkline>
            <x14:sparkline>
              <xm:f>'Ratio Analysis'!C19:G19</xm:f>
              <xm:sqref>G19</xm:sqref>
            </x14:sparkline>
            <x14:sparkline>
              <xm:f>'Ratio Analysis'!C20:G20</xm:f>
              <xm:sqref>G20</xm:sqref>
            </x14:sparkline>
            <x14:sparkline>
              <xm:f>'Ratio Analysis'!C21:G21</xm:f>
              <xm:sqref>G21</xm:sqref>
            </x14:sparkline>
            <x14:sparkline>
              <xm:f>'Ratio Analysis'!C22:G22</xm:f>
              <xm:sqref>G22</xm:sqref>
            </x14:sparkline>
            <x14:sparkline>
              <xm:f>'Ratio Analysis'!C23:G23</xm:f>
              <xm:sqref>G23</xm:sqref>
            </x14:sparkline>
            <x14:sparkline>
              <xm:f>'Ratio Analysis'!C24:G24</xm:f>
              <xm:sqref>G24</xm:sqref>
            </x14:sparkline>
            <x14:sparkline>
              <xm:f>'Ratio Analysis'!C25:G25</xm:f>
              <xm:sqref>G25</xm:sqref>
            </x14:sparkline>
            <x14:sparkline>
              <xm:f>'Ratio Analysis'!C26:G26</xm:f>
              <xm:sqref>G26</xm:sqref>
            </x14:sparkline>
            <x14:sparkline>
              <xm:f>'Ratio Analysis'!C27:G27</xm:f>
              <xm:sqref>G27</xm:sqref>
            </x14:sparkline>
            <x14:sparkline>
              <xm:f>'Ratio Analysis'!C28:G28</xm:f>
              <xm:sqref>G28</xm:sqref>
            </x14:sparkline>
            <x14:sparkline>
              <xm:f>'Ratio Analysis'!C29:G29</xm:f>
              <xm:sqref>G29</xm:sqref>
            </x14:sparkline>
            <x14:sparkline>
              <xm:f>'Ratio Analysis'!C30:G30</xm:f>
              <xm:sqref>G30</xm:sqref>
            </x14:sparkline>
            <x14:sparkline>
              <xm:f>'Ratio Analysis'!C31:G31</xm:f>
              <xm:sqref>G31</xm:sqref>
            </x14:sparkline>
            <x14:sparkline>
              <xm:f>'Ratio Analysis'!C32:G32</xm:f>
              <xm:sqref>G32</xm:sqref>
            </x14:sparkline>
            <x14:sparkline>
              <xm:f>'Ratio Analysis'!C33:G33</xm:f>
              <xm:sqref>G33</xm:sqref>
            </x14:sparkline>
            <x14:sparkline>
              <xm:f>'Ratio Analysis'!C34:G34</xm:f>
              <xm:sqref>G34</xm:sqref>
            </x14:sparkline>
            <x14:sparkline>
              <xm:f>'Ratio Analysis'!C35:G35</xm:f>
              <xm:sqref>G35</xm:sqref>
            </x14:sparkline>
            <x14:sparkline>
              <xm:f>'Ratio Analysis'!C36:G36</xm:f>
              <xm:sqref>G36</xm:sqref>
            </x14:sparkline>
            <x14:sparkline>
              <xm:f>'Ratio Analysis'!C37:G37</xm:f>
              <xm:sqref>G37</xm:sqref>
            </x14:sparkline>
            <x14:sparkline>
              <xm:f>'Ratio Analysis'!C38:G38</xm:f>
              <xm:sqref>G38</xm:sqref>
            </x14:sparkline>
            <x14:sparkline>
              <xm:f>'Ratio Analysis'!C39:G39</xm:f>
              <xm:sqref>G39</xm:sqref>
            </x14:sparkline>
            <x14:sparkline>
              <xm:f>'Ratio Analysis'!C40:G40</xm:f>
              <xm:sqref>G40</xm:sqref>
            </x14:sparkline>
            <x14:sparkline>
              <xm:f>'Ratio Analysis'!C41:G41</xm:f>
              <xm:sqref>G41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4E7F-E6E0-493B-85D3-DE202EBC39D0}">
  <sheetPr>
    <pageSetUpPr fitToPage="1"/>
  </sheetPr>
  <dimension ref="B2:J26"/>
  <sheetViews>
    <sheetView showGridLines="0" view="pageBreakPreview" topLeftCell="B1" zoomScale="130" zoomScaleNormal="100" zoomScaleSheetLayoutView="130" workbookViewId="0">
      <selection activeCell="I21" sqref="I21"/>
    </sheetView>
  </sheetViews>
  <sheetFormatPr defaultRowHeight="14.4"/>
  <cols>
    <col min="1" max="1" width="1.88671875" customWidth="1"/>
    <col min="2" max="2" width="11.88671875" customWidth="1"/>
    <col min="3" max="3" width="7.5546875" bestFit="1" customWidth="1"/>
    <col min="4" max="4" width="18.5546875" bestFit="1" customWidth="1"/>
    <col min="5" max="5" width="12.109375" bestFit="1" customWidth="1"/>
    <col min="6" max="6" width="9.88671875" customWidth="1"/>
    <col min="7" max="7" width="16.88671875" bestFit="1" customWidth="1"/>
    <col min="8" max="8" width="10.77734375" bestFit="1" customWidth="1"/>
    <col min="9" max="9" width="17.5546875" bestFit="1" customWidth="1"/>
    <col min="10" max="10" width="13.88671875" bestFit="1" customWidth="1"/>
    <col min="11" max="11" width="9.6640625" customWidth="1"/>
  </cols>
  <sheetData>
    <row r="2" spans="2:10">
      <c r="B2" s="261" t="s">
        <v>515</v>
      </c>
      <c r="C2" s="261"/>
      <c r="D2" s="261"/>
      <c r="E2" s="261"/>
      <c r="G2" s="261" t="s">
        <v>516</v>
      </c>
      <c r="H2" s="261"/>
      <c r="I2" s="261"/>
      <c r="J2" s="261"/>
    </row>
    <row r="3" spans="2:10">
      <c r="B3" s="2" t="s">
        <v>305</v>
      </c>
      <c r="C3" s="241" t="s">
        <v>302</v>
      </c>
      <c r="D3" s="241" t="s">
        <v>303</v>
      </c>
      <c r="E3" s="241" t="s">
        <v>304</v>
      </c>
      <c r="G3" s="2" t="s">
        <v>305</v>
      </c>
      <c r="H3" s="179" t="s">
        <v>302</v>
      </c>
      <c r="I3" s="179" t="s">
        <v>7</v>
      </c>
      <c r="J3" s="179" t="s">
        <v>272</v>
      </c>
    </row>
    <row r="4" spans="2:10">
      <c r="B4" s="227">
        <v>1</v>
      </c>
      <c r="C4" s="242">
        <v>2020</v>
      </c>
      <c r="D4" s="243">
        <v>52714000000</v>
      </c>
      <c r="E4" s="244"/>
      <c r="G4" s="227">
        <v>1</v>
      </c>
      <c r="H4" s="250">
        <v>2020</v>
      </c>
      <c r="I4" s="251">
        <v>4971000000</v>
      </c>
      <c r="J4" s="252"/>
    </row>
    <row r="5" spans="2:10">
      <c r="B5" s="228">
        <f>B4+1</f>
        <v>2</v>
      </c>
      <c r="C5" s="245">
        <f>C4+1</f>
        <v>2021</v>
      </c>
      <c r="D5" s="246">
        <v>53170000000</v>
      </c>
      <c r="E5" s="247">
        <f t="shared" ref="E5:E12" si="0">D5/D4-1</f>
        <v>8.6504533899913749E-3</v>
      </c>
      <c r="G5" s="228">
        <f>G4+1</f>
        <v>2</v>
      </c>
      <c r="H5" s="253">
        <f>H4+1</f>
        <v>2021</v>
      </c>
      <c r="I5" s="254">
        <v>5797000000</v>
      </c>
      <c r="J5" s="255">
        <f>I5/I4-1</f>
        <v>0.16616374974854153</v>
      </c>
    </row>
    <row r="6" spans="2:10">
      <c r="B6" s="228">
        <f t="shared" ref="B6:B12" si="1">B5+1</f>
        <v>3</v>
      </c>
      <c r="C6" s="245">
        <f t="shared" ref="C6:C12" si="2">C5+1</f>
        <v>2022</v>
      </c>
      <c r="D6" s="246">
        <v>56504000000</v>
      </c>
      <c r="E6" s="247">
        <f t="shared" si="0"/>
        <v>6.270453263118303E-2</v>
      </c>
      <c r="G6" s="228">
        <f t="shared" ref="G6:G12" si="3">G5+1</f>
        <v>3</v>
      </c>
      <c r="H6" s="253">
        <f t="shared" ref="H6:H12" si="4">H5+1</f>
        <v>2022</v>
      </c>
      <c r="I6" s="254">
        <v>6170000000</v>
      </c>
      <c r="J6" s="255">
        <f t="shared" ref="J6:J12" si="5">I6/I5-1</f>
        <v>6.4343626013455335E-2</v>
      </c>
    </row>
    <row r="7" spans="2:10">
      <c r="B7" s="228">
        <f t="shared" si="1"/>
        <v>4</v>
      </c>
      <c r="C7" s="245">
        <f t="shared" si="2"/>
        <v>2023</v>
      </c>
      <c r="D7" s="246">
        <v>59529000000</v>
      </c>
      <c r="E7" s="247">
        <f t="shared" si="0"/>
        <v>5.3536032847232073E-2</v>
      </c>
      <c r="G7" s="228">
        <f t="shared" si="3"/>
        <v>4</v>
      </c>
      <c r="H7" s="253">
        <f t="shared" si="4"/>
        <v>2023</v>
      </c>
      <c r="I7" s="254">
        <v>6644000000</v>
      </c>
      <c r="J7" s="255">
        <f t="shared" si="5"/>
        <v>7.6823338735818369E-2</v>
      </c>
    </row>
    <row r="8" spans="2:10">
      <c r="B8" s="228">
        <f t="shared" si="1"/>
        <v>5</v>
      </c>
      <c r="C8" s="248">
        <f t="shared" si="2"/>
        <v>2024</v>
      </c>
      <c r="D8" s="249">
        <f>FORECAST(B8,$D$4:$D$7,$B$4:$B$7)</f>
        <v>61424000000</v>
      </c>
      <c r="E8" s="247">
        <f t="shared" si="0"/>
        <v>3.1833224142854721E-2</v>
      </c>
      <c r="G8" s="228">
        <f t="shared" si="3"/>
        <v>5</v>
      </c>
      <c r="H8" s="256">
        <f t="shared" si="4"/>
        <v>2024</v>
      </c>
      <c r="I8" s="257">
        <f>FORECAST(G8,$I$4:$I$7,$G$4:$G$7)</f>
        <v>7243500000</v>
      </c>
      <c r="J8" s="255">
        <f t="shared" si="5"/>
        <v>9.0231788079470299E-2</v>
      </c>
    </row>
    <row r="9" spans="2:10">
      <c r="B9" s="228">
        <f t="shared" si="1"/>
        <v>6</v>
      </c>
      <c r="C9" s="248">
        <f t="shared" si="2"/>
        <v>2025</v>
      </c>
      <c r="D9" s="249">
        <f>FORECAST(B9,$D$4:$D$7,$B$4:$B$7)</f>
        <v>63801900000</v>
      </c>
      <c r="E9" s="247">
        <f t="shared" si="0"/>
        <v>3.8712880958583051E-2</v>
      </c>
      <c r="G9" s="228">
        <f t="shared" si="3"/>
        <v>6</v>
      </c>
      <c r="H9" s="256">
        <f t="shared" si="4"/>
        <v>2025</v>
      </c>
      <c r="I9" s="257">
        <f>FORECAST(G9,$I$4:$I$7,$G$4:$G$7)</f>
        <v>7782700000</v>
      </c>
      <c r="J9" s="255">
        <f t="shared" si="5"/>
        <v>7.4439152343480419E-2</v>
      </c>
    </row>
    <row r="10" spans="2:10">
      <c r="B10" s="228">
        <f t="shared" si="1"/>
        <v>7</v>
      </c>
      <c r="C10" s="248">
        <f t="shared" si="2"/>
        <v>2026</v>
      </c>
      <c r="D10" s="249">
        <f>FORECAST(B10,$D$4:$D$7,$B$4:$B$7)</f>
        <v>66179800000</v>
      </c>
      <c r="E10" s="247">
        <f t="shared" si="0"/>
        <v>3.7270049951490414E-2</v>
      </c>
      <c r="G10" s="228">
        <f t="shared" si="3"/>
        <v>7</v>
      </c>
      <c r="H10" s="256">
        <f t="shared" si="4"/>
        <v>2026</v>
      </c>
      <c r="I10" s="257">
        <f>FORECAST(G10,$I$4:$I$7,$G$4:$G$7)</f>
        <v>8321900000</v>
      </c>
      <c r="J10" s="255">
        <f t="shared" si="5"/>
        <v>6.9281868760198817E-2</v>
      </c>
    </row>
    <row r="11" spans="2:10">
      <c r="B11" s="228">
        <f t="shared" si="1"/>
        <v>8</v>
      </c>
      <c r="C11" s="248">
        <f t="shared" si="2"/>
        <v>2027</v>
      </c>
      <c r="D11" s="249">
        <f>FORECAST(B11,$D$4:$D$7,$B$4:$B$7)</f>
        <v>68557700000</v>
      </c>
      <c r="E11" s="247">
        <f t="shared" si="0"/>
        <v>3.5930903387438429E-2</v>
      </c>
      <c r="G11" s="228">
        <f t="shared" si="3"/>
        <v>8</v>
      </c>
      <c r="H11" s="256">
        <f t="shared" si="4"/>
        <v>2027</v>
      </c>
      <c r="I11" s="257">
        <f>FORECAST(G11,$I$4:$I$7,$G$4:$G$7)</f>
        <v>8861100000</v>
      </c>
      <c r="J11" s="255">
        <f t="shared" si="5"/>
        <v>6.4792895853110544E-2</v>
      </c>
    </row>
    <row r="12" spans="2:10">
      <c r="B12" s="228">
        <f t="shared" si="1"/>
        <v>9</v>
      </c>
      <c r="C12" s="248">
        <f t="shared" si="2"/>
        <v>2028</v>
      </c>
      <c r="D12" s="249">
        <f>FORECAST(B12,$D$4:$D$7,$B$4:$B$7)</f>
        <v>70935600000</v>
      </c>
      <c r="E12" s="247">
        <f t="shared" si="0"/>
        <v>3.4684652489800571E-2</v>
      </c>
      <c r="G12" s="228">
        <f t="shared" si="3"/>
        <v>9</v>
      </c>
      <c r="H12" s="256">
        <f t="shared" si="4"/>
        <v>2028</v>
      </c>
      <c r="I12" s="257">
        <f>FORECAST(G12,$I$4:$I$7,$G$4:$G$7)</f>
        <v>9400300000</v>
      </c>
      <c r="J12" s="255">
        <f t="shared" si="5"/>
        <v>6.0850233041044532E-2</v>
      </c>
    </row>
    <row r="16" spans="2:10" s="240" customFormat="1">
      <c r="E16" s="261" t="s">
        <v>514</v>
      </c>
      <c r="F16" s="261"/>
      <c r="G16" s="261"/>
      <c r="H16" s="261"/>
    </row>
    <row r="17" spans="5:8">
      <c r="E17" s="2" t="s">
        <v>305</v>
      </c>
      <c r="F17" s="179" t="s">
        <v>302</v>
      </c>
      <c r="G17" s="179" t="s">
        <v>306</v>
      </c>
      <c r="H17" s="179" t="s">
        <v>307</v>
      </c>
    </row>
    <row r="18" spans="5:8">
      <c r="E18" s="227">
        <v>1</v>
      </c>
      <c r="F18" s="250">
        <v>2020</v>
      </c>
      <c r="G18" s="258">
        <v>3.0597431602456728</v>
      </c>
      <c r="H18" s="252"/>
    </row>
    <row r="19" spans="5:8">
      <c r="E19" s="228">
        <f>E18+1</f>
        <v>2</v>
      </c>
      <c r="F19" s="253">
        <f>F18+1</f>
        <v>2021</v>
      </c>
      <c r="G19" s="259">
        <v>5.4505558806319483</v>
      </c>
      <c r="H19" s="255">
        <f>G19/G18-1</f>
        <v>0.78137693106055095</v>
      </c>
    </row>
    <row r="20" spans="5:8">
      <c r="E20" s="228">
        <f t="shared" ref="E20:E26" si="6">E19+1</f>
        <v>3</v>
      </c>
      <c r="F20" s="253">
        <f t="shared" ref="F20:F26" si="7">F19+1</f>
        <v>2022</v>
      </c>
      <c r="G20" s="259">
        <v>5.7552004823635814</v>
      </c>
      <c r="H20" s="255">
        <f t="shared" ref="H20:H26" si="8">G20/G19-1</f>
        <v>5.589239123557288E-2</v>
      </c>
    </row>
    <row r="21" spans="5:8">
      <c r="E21" s="228">
        <f t="shared" si="6"/>
        <v>4</v>
      </c>
      <c r="F21" s="253">
        <f t="shared" si="7"/>
        <v>2023</v>
      </c>
      <c r="G21" s="259">
        <v>6.5250000000000004</v>
      </c>
      <c r="H21" s="255">
        <f t="shared" si="8"/>
        <v>0.13375720272393932</v>
      </c>
    </row>
    <row r="22" spans="5:8">
      <c r="E22" s="228">
        <f t="shared" si="6"/>
        <v>5</v>
      </c>
      <c r="F22" s="253">
        <f t="shared" si="7"/>
        <v>2024</v>
      </c>
      <c r="G22" s="260">
        <f>FORECAST(E22,G18:G21,E18:E21)</f>
        <v>7.8727286610589546</v>
      </c>
      <c r="H22" s="255">
        <f t="shared" si="8"/>
        <v>0.20654845380213849</v>
      </c>
    </row>
    <row r="23" spans="5:8">
      <c r="E23" s="228">
        <f t="shared" si="6"/>
        <v>6</v>
      </c>
      <c r="F23" s="253">
        <f t="shared" si="7"/>
        <v>2025</v>
      </c>
      <c r="G23" s="260">
        <f>FORECAST(E23,G19:G22,E19:E22)</f>
        <v>8.4099507207429802</v>
      </c>
      <c r="H23" s="255">
        <f t="shared" si="8"/>
        <v>6.8238355824620012E-2</v>
      </c>
    </row>
    <row r="24" spans="5:8">
      <c r="E24" s="228">
        <f t="shared" si="6"/>
        <v>7</v>
      </c>
      <c r="F24" s="253">
        <f t="shared" si="7"/>
        <v>2026</v>
      </c>
      <c r="G24" s="260">
        <f>FORECAST(E24,G20:G23,E20:E23)</f>
        <v>9.4687148100906668</v>
      </c>
      <c r="H24" s="255">
        <f t="shared" si="8"/>
        <v>0.12589420848046884</v>
      </c>
    </row>
    <row r="25" spans="5:8">
      <c r="E25" s="228">
        <f t="shared" si="6"/>
        <v>8</v>
      </c>
      <c r="F25" s="253">
        <f t="shared" si="7"/>
        <v>2027</v>
      </c>
      <c r="G25" s="260">
        <f>FORECAST(E25,G21:G24,E21:E24)</f>
        <v>10.411190170462158</v>
      </c>
      <c r="H25" s="255">
        <f t="shared" si="8"/>
        <v>9.9535721507538533E-2</v>
      </c>
    </row>
    <row r="26" spans="5:8">
      <c r="E26" s="228">
        <f t="shared" si="6"/>
        <v>9</v>
      </c>
      <c r="F26" s="253">
        <f t="shared" si="7"/>
        <v>2028</v>
      </c>
      <c r="G26" s="260">
        <f>FORECAST(E26,G22:G25,E22:E25)</f>
        <v>11.209183244978014</v>
      </c>
      <c r="H26" s="255">
        <f t="shared" si="8"/>
        <v>7.6647632158315826E-2</v>
      </c>
    </row>
  </sheetData>
  <mergeCells count="3">
    <mergeCell ref="B2:E2"/>
    <mergeCell ref="G2:J2"/>
    <mergeCell ref="E16:H16"/>
  </mergeCells>
  <pageMargins left="0.7" right="0.7" top="0.75" bottom="0.75" header="0.3" footer="0.3"/>
  <pageSetup paperSize="9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69E-390E-4361-9462-A74BBA02A68C}">
  <sheetPr>
    <tabColor theme="8" tint="-0.249977111117893"/>
    <pageSetUpPr fitToPage="1"/>
  </sheetPr>
  <dimension ref="B1:J45"/>
  <sheetViews>
    <sheetView showGridLines="0" zoomScale="79" zoomScaleNormal="100" zoomScaleSheetLayoutView="64" workbookViewId="0">
      <selection activeCell="F20" sqref="F20"/>
    </sheetView>
  </sheetViews>
  <sheetFormatPr defaultRowHeight="14.4" outlineLevelRow="1"/>
  <cols>
    <col min="1" max="1" width="1.88671875" customWidth="1"/>
    <col min="2" max="2" width="34" customWidth="1"/>
    <col min="3" max="3" width="19.77734375" bestFit="1" customWidth="1"/>
    <col min="4" max="4" width="17.77734375" bestFit="1" customWidth="1"/>
    <col min="5" max="5" width="19.33203125" bestFit="1" customWidth="1"/>
    <col min="6" max="6" width="19.77734375" bestFit="1" customWidth="1"/>
    <col min="7" max="7" width="20.6640625" bestFit="1" customWidth="1"/>
    <col min="8" max="8" width="19.21875" bestFit="1" customWidth="1"/>
    <col min="9" max="10" width="18.21875" bestFit="1" customWidth="1"/>
    <col min="11" max="11" width="1.88671875" customWidth="1"/>
  </cols>
  <sheetData>
    <row r="1" spans="2:10">
      <c r="B1" s="73"/>
      <c r="C1" s="73"/>
      <c r="D1" s="73"/>
      <c r="E1" s="73"/>
      <c r="F1" s="73"/>
      <c r="G1" s="73"/>
      <c r="H1" s="73"/>
      <c r="I1" s="73"/>
      <c r="J1" s="73"/>
    </row>
    <row r="2" spans="2:10">
      <c r="B2" s="73"/>
      <c r="C2" s="73"/>
      <c r="D2" s="73"/>
      <c r="E2" s="73"/>
      <c r="F2" s="73"/>
      <c r="G2" s="73"/>
      <c r="H2" s="73"/>
      <c r="I2" s="73"/>
      <c r="J2" s="73"/>
    </row>
    <row r="3" spans="2:10">
      <c r="B3" s="73"/>
      <c r="C3" s="73"/>
      <c r="D3" s="73"/>
      <c r="E3" s="73"/>
      <c r="F3" s="73"/>
      <c r="G3" s="73"/>
      <c r="H3" s="73"/>
      <c r="I3" s="73"/>
      <c r="J3" s="73"/>
    </row>
    <row r="4" spans="2:10">
      <c r="B4" s="73"/>
      <c r="C4" s="73"/>
      <c r="D4" s="73"/>
      <c r="E4" s="73"/>
      <c r="F4" s="73"/>
      <c r="G4" s="73"/>
      <c r="H4" s="73"/>
      <c r="I4" s="73"/>
      <c r="J4" s="73"/>
    </row>
    <row r="6" spans="2:10">
      <c r="B6" s="2" t="s">
        <v>438</v>
      </c>
      <c r="C6" s="2"/>
      <c r="D6" s="2"/>
      <c r="E6" s="150">
        <f>HistoricalFS!F3</f>
        <v>45291</v>
      </c>
      <c r="F6" s="151">
        <f>E6+365</f>
        <v>45656</v>
      </c>
      <c r="G6" s="151">
        <f>F6+365</f>
        <v>46021</v>
      </c>
      <c r="H6" s="151">
        <f>G6+365</f>
        <v>46386</v>
      </c>
      <c r="I6" s="151">
        <f>H6+365</f>
        <v>46751</v>
      </c>
      <c r="J6" s="151">
        <f>I6+365</f>
        <v>47116</v>
      </c>
    </row>
    <row r="8" spans="2:10">
      <c r="B8" s="148" t="s">
        <v>8</v>
      </c>
      <c r="C8" s="148"/>
      <c r="D8" s="148"/>
      <c r="E8" s="154">
        <f>HistoricalFS!F22</f>
        <v>3738000000</v>
      </c>
      <c r="F8" s="145">
        <f>E8+(1+C18)</f>
        <v>3738000001.0489998</v>
      </c>
      <c r="G8" s="145">
        <f>F8+(1+D18)</f>
        <v>3738000002.0489998</v>
      </c>
      <c r="H8" s="145">
        <f>G8+(1+E18)</f>
        <v>3738000003.0489998</v>
      </c>
      <c r="I8" s="145">
        <f>H8+(1+F18)</f>
        <v>3738000004.0489998</v>
      </c>
      <c r="J8" s="215">
        <f>I8+(1+G18)</f>
        <v>3738000005.0489998</v>
      </c>
    </row>
    <row r="9" spans="2:10">
      <c r="B9" s="148" t="s">
        <v>313</v>
      </c>
      <c r="C9" s="148"/>
      <c r="D9" s="148"/>
      <c r="E9" s="278">
        <f>HistoricalFS!C38</f>
        <v>0.26555760936537276</v>
      </c>
      <c r="F9" s="278">
        <f>E9</f>
        <v>0.26555760936537276</v>
      </c>
      <c r="G9" s="278">
        <f>F9</f>
        <v>0.26555760936537276</v>
      </c>
      <c r="H9" s="278">
        <f>G9</f>
        <v>0.26555760936537276</v>
      </c>
      <c r="I9" s="278">
        <f>H9</f>
        <v>0.26555760936537276</v>
      </c>
      <c r="J9" s="279">
        <f>I9</f>
        <v>0.26555760936537276</v>
      </c>
    </row>
    <row r="10" spans="2:10">
      <c r="B10" s="148" t="s">
        <v>439</v>
      </c>
      <c r="C10" s="148"/>
      <c r="D10" s="148"/>
      <c r="E10" s="154">
        <f t="shared" ref="E10:J10" si="0">E8*(1-E9)</f>
        <v>2745345656.1922364</v>
      </c>
      <c r="F10" s="154">
        <f t="shared" si="0"/>
        <v>2745345656.9626665</v>
      </c>
      <c r="G10" s="154">
        <f t="shared" si="0"/>
        <v>2745345657.6971087</v>
      </c>
      <c r="H10" s="154">
        <f t="shared" si="0"/>
        <v>2745345658.4315515</v>
      </c>
      <c r="I10" s="154">
        <f t="shared" si="0"/>
        <v>2745345659.1659937</v>
      </c>
      <c r="J10" s="274">
        <f t="shared" si="0"/>
        <v>2745345659.9004359</v>
      </c>
    </row>
    <row r="11" spans="2:10">
      <c r="B11" s="148" t="s">
        <v>440</v>
      </c>
      <c r="C11" s="148"/>
      <c r="D11" s="148"/>
      <c r="E11" s="278">
        <f>'Intrinsic Growth'!G49</f>
        <v>0.55506418725863804</v>
      </c>
      <c r="F11" s="152">
        <f>E11+(($J$11-$E$11)/4)</f>
        <v>0.55819786329608234</v>
      </c>
      <c r="G11" s="152">
        <f>F11+(($J$11-$E$11)/4)</f>
        <v>0.56133153933352664</v>
      </c>
      <c r="H11" s="152">
        <f>G11+(($J$11-$E$11)/4)</f>
        <v>0.56446521537097094</v>
      </c>
      <c r="I11" s="152">
        <f>H11+(($J$11-$E$11)/4)</f>
        <v>0.56759889140841524</v>
      </c>
      <c r="J11" s="273">
        <f>'Intrinsic Growth'!G52</f>
        <v>0.56759889140841524</v>
      </c>
    </row>
    <row r="12" spans="2:10">
      <c r="B12" s="148" t="s">
        <v>441</v>
      </c>
      <c r="C12" s="148"/>
      <c r="D12" s="148"/>
      <c r="E12" s="145">
        <f t="shared" ref="E12:J12" si="1">E10*(1-E11)</f>
        <v>1221502600.7938604</v>
      </c>
      <c r="F12" s="145">
        <f t="shared" si="1"/>
        <v>1212899577.2369266</v>
      </c>
      <c r="G12" s="145">
        <f t="shared" si="1"/>
        <v>1204296553.6593776</v>
      </c>
      <c r="H12" s="145">
        <f t="shared" si="1"/>
        <v>1195693530.0772257</v>
      </c>
      <c r="I12" s="145">
        <f t="shared" si="1"/>
        <v>1187090506.4904706</v>
      </c>
      <c r="J12" s="215">
        <f t="shared" si="1"/>
        <v>1187090506.8080444</v>
      </c>
    </row>
    <row r="13" spans="2:10">
      <c r="B13" s="148" t="s">
        <v>442</v>
      </c>
      <c r="C13" s="148"/>
      <c r="D13" s="148"/>
      <c r="E13" s="131"/>
      <c r="F13" s="155">
        <v>0.5</v>
      </c>
      <c r="G13" s="131">
        <f>F13+1</f>
        <v>1.5</v>
      </c>
      <c r="H13" s="131">
        <f>G13+1</f>
        <v>2.5</v>
      </c>
      <c r="I13" s="131">
        <f>H13+1</f>
        <v>3.5</v>
      </c>
      <c r="J13" s="205">
        <f>I13+1</f>
        <v>4.5</v>
      </c>
    </row>
    <row r="14" spans="2:10" ht="15" thickBot="1">
      <c r="B14" s="5" t="s">
        <v>443</v>
      </c>
      <c r="C14" s="5"/>
      <c r="D14" s="5"/>
      <c r="F14" s="156">
        <f>1/(1+$C$19)^F13</f>
        <v>0.97574443851728221</v>
      </c>
      <c r="G14" s="156">
        <f>1/(1+$C$19)^G13</f>
        <v>0.92898404201099882</v>
      </c>
      <c r="H14" s="156">
        <f>1/(1+$C$19)^H13</f>
        <v>0.88446453419965643</v>
      </c>
      <c r="I14" s="156">
        <f>1/(1+$C$19)^I13</f>
        <v>0.8420785254433395</v>
      </c>
      <c r="J14" s="275">
        <f>1/(1+$C$19)^J13</f>
        <v>0.80172377251336968</v>
      </c>
    </row>
    <row r="15" spans="2:10" ht="15" thickBot="1">
      <c r="B15" s="153" t="s">
        <v>444</v>
      </c>
      <c r="C15" s="153"/>
      <c r="D15" s="153"/>
      <c r="E15" s="153"/>
      <c r="F15" s="157">
        <f>F12*F14</f>
        <v>1183480016.9688938</v>
      </c>
      <c r="G15" s="157">
        <f>G12*G14</f>
        <v>1118772280.1984043</v>
      </c>
      <c r="H15" s="157">
        <f>H12*H14</f>
        <v>1057548521.1252964</v>
      </c>
      <c r="I15" s="157">
        <f>I12*I14</f>
        <v>999623423.27328253</v>
      </c>
      <c r="J15" s="157">
        <f>J12*J14</f>
        <v>951718679.43295336</v>
      </c>
    </row>
    <row r="16" spans="2:10" ht="15" thickTop="1">
      <c r="B16" s="5"/>
      <c r="C16" s="5"/>
      <c r="D16" s="5"/>
      <c r="E16" s="5"/>
      <c r="F16" s="5"/>
      <c r="G16" s="5"/>
      <c r="H16" s="5"/>
    </row>
    <row r="17" spans="2:10" outlineLevel="1">
      <c r="B17" s="216" t="s">
        <v>445</v>
      </c>
      <c r="C17" s="217">
        <f>'Intrinsic Growth'!G59</f>
        <v>7.3753374519152162E-2</v>
      </c>
      <c r="D17" s="5"/>
      <c r="E17" s="5"/>
      <c r="F17" s="5"/>
      <c r="G17" s="5"/>
      <c r="H17" s="5"/>
    </row>
    <row r="18" spans="2:10" outlineLevel="1">
      <c r="B18" s="216" t="s">
        <v>447</v>
      </c>
      <c r="C18" s="276">
        <v>4.9000000000000002E-2</v>
      </c>
      <c r="D18" s="5"/>
      <c r="E18" s="5"/>
      <c r="F18" s="5"/>
      <c r="G18" s="5"/>
      <c r="H18" s="5"/>
    </row>
    <row r="19" spans="2:10" outlineLevel="1">
      <c r="B19" s="216" t="s">
        <v>446</v>
      </c>
      <c r="C19" s="217">
        <f>WACC!L45</f>
        <v>5.0334983586004065E-2</v>
      </c>
      <c r="D19" s="5"/>
      <c r="E19" s="5"/>
      <c r="F19" s="5"/>
      <c r="G19" s="5"/>
      <c r="H19" s="5"/>
    </row>
    <row r="20" spans="2:10">
      <c r="B20" s="5"/>
      <c r="C20" s="5"/>
      <c r="D20" s="5"/>
      <c r="E20" s="5"/>
      <c r="F20" s="5"/>
      <c r="G20" s="5"/>
      <c r="H20" s="5"/>
    </row>
    <row r="22" spans="2:10">
      <c r="B22" s="2" t="s">
        <v>448</v>
      </c>
      <c r="C22" s="3"/>
      <c r="D22" s="158"/>
      <c r="E22" s="234" t="s">
        <v>513</v>
      </c>
      <c r="F22" s="234"/>
      <c r="G22" s="234"/>
      <c r="H22" s="234"/>
      <c r="I22" s="234"/>
      <c r="J22" s="234"/>
    </row>
    <row r="23" spans="2:10">
      <c r="E23" s="195">
        <f>C27</f>
        <v>951896094617.94971</v>
      </c>
      <c r="F23" s="117">
        <v>0.03</v>
      </c>
      <c r="G23" s="117">
        <v>5.0299999999999997E-2</v>
      </c>
      <c r="H23" s="117">
        <v>0.08</v>
      </c>
      <c r="I23" s="117">
        <v>0.1</v>
      </c>
      <c r="J23" s="117">
        <v>0.12</v>
      </c>
    </row>
    <row r="24" spans="2:10">
      <c r="B24" s="205" t="s">
        <v>449</v>
      </c>
      <c r="C24" s="215">
        <f>F15*(1+C17)</f>
        <v>1270765661.896333</v>
      </c>
      <c r="E24" s="196">
        <v>0.02</v>
      </c>
      <c r="F24" s="123">
        <f t="dataTable" ref="F24:J29" dt2D="1" dtr="1" r1="C25" r2="C26"/>
        <v>127076566189.63332</v>
      </c>
      <c r="G24" s="123">
        <v>41939460788.65786</v>
      </c>
      <c r="H24" s="123">
        <v>21179427698.272217</v>
      </c>
      <c r="I24" s="123">
        <v>15884570773.704163</v>
      </c>
      <c r="J24" s="123">
        <v>12707656618.963331</v>
      </c>
    </row>
    <row r="25" spans="2:10">
      <c r="B25" s="205" t="s">
        <v>446</v>
      </c>
      <c r="C25" s="211">
        <f>C19</f>
        <v>5.0334983586004065E-2</v>
      </c>
      <c r="E25" s="196">
        <v>3.5000000000000003E-2</v>
      </c>
      <c r="F25" s="123">
        <v>-254153132379.26636</v>
      </c>
      <c r="G25" s="123">
        <v>83056579208.91069</v>
      </c>
      <c r="H25" s="123">
        <v>28239236931.029621</v>
      </c>
      <c r="I25" s="123">
        <v>19550240952.251274</v>
      </c>
      <c r="J25" s="123">
        <v>14950184257.603918</v>
      </c>
    </row>
    <row r="26" spans="2:10">
      <c r="B26" t="s">
        <v>450</v>
      </c>
      <c r="C26" s="159">
        <f>C18</f>
        <v>4.9000000000000002E-2</v>
      </c>
      <c r="E26" s="196">
        <v>4.9000000000000002E-2</v>
      </c>
      <c r="F26" s="123">
        <v>-66882403257.701729</v>
      </c>
      <c r="G26" s="230">
        <v>977512047612.56714</v>
      </c>
      <c r="H26" s="123">
        <v>40992440706.333321</v>
      </c>
      <c r="I26" s="123">
        <v>24916973762.673195</v>
      </c>
      <c r="J26" s="123">
        <v>17898107914.03286</v>
      </c>
    </row>
    <row r="27" spans="2:10" ht="15" thickBot="1">
      <c r="B27" s="160" t="s">
        <v>451</v>
      </c>
      <c r="C27" s="161">
        <f>C24/(C25-C26)</f>
        <v>951896094617.94971</v>
      </c>
      <c r="E27" s="196">
        <v>0.05</v>
      </c>
      <c r="F27" s="123">
        <v>-63538283094.816635</v>
      </c>
      <c r="G27" s="123">
        <v>4235885539654.5181</v>
      </c>
      <c r="H27" s="123">
        <v>42358855396.544434</v>
      </c>
      <c r="I27" s="123">
        <v>25415313237.926659</v>
      </c>
      <c r="J27" s="123">
        <v>18153795169.947617</v>
      </c>
    </row>
    <row r="28" spans="2:10" ht="15" thickTop="1">
      <c r="E28" s="196">
        <v>0.06</v>
      </c>
      <c r="F28" s="123">
        <v>-42358855396.544434</v>
      </c>
      <c r="G28" s="123">
        <v>-131006769267.66319</v>
      </c>
      <c r="H28" s="123">
        <v>63538283094.816635</v>
      </c>
      <c r="I28" s="123">
        <v>31769141547.408318</v>
      </c>
      <c r="J28" s="123">
        <v>21179427698.272217</v>
      </c>
    </row>
    <row r="29" spans="2:10">
      <c r="E29" s="196">
        <v>7.0000000000000007E-2</v>
      </c>
      <c r="F29" s="123">
        <v>-31769141547.408318</v>
      </c>
      <c r="G29" s="123">
        <v>-64505871162.250374</v>
      </c>
      <c r="H29" s="123">
        <v>127076566189.63336</v>
      </c>
      <c r="I29" s="123">
        <v>42358855396.544434</v>
      </c>
      <c r="J29" s="123">
        <v>25415313237.926666</v>
      </c>
    </row>
    <row r="30" spans="2:10">
      <c r="E30" s="9"/>
      <c r="F30" s="9"/>
      <c r="G30" s="9"/>
      <c r="H30" s="9"/>
      <c r="I30" s="9"/>
      <c r="J30" s="9"/>
    </row>
    <row r="31" spans="2:10">
      <c r="B31" s="2" t="s">
        <v>452</v>
      </c>
      <c r="C31" s="3"/>
    </row>
    <row r="33" spans="2:3">
      <c r="B33" s="205" t="s">
        <v>444</v>
      </c>
      <c r="C33" s="215">
        <f>SUM(F15:J15)</f>
        <v>5311142920.9988308</v>
      </c>
    </row>
    <row r="34" spans="2:3">
      <c r="B34" s="205" t="s">
        <v>453</v>
      </c>
      <c r="C34" s="215">
        <f>C27*J14</f>
        <v>763157728017.84619</v>
      </c>
    </row>
    <row r="35" spans="2:3">
      <c r="B35" s="197" t="s">
        <v>454</v>
      </c>
      <c r="C35" s="198">
        <f>SUM(C33:C34)</f>
        <v>768468870938.84497</v>
      </c>
    </row>
    <row r="36" spans="2:3">
      <c r="B36" s="5"/>
      <c r="C36" s="15"/>
    </row>
    <row r="37" spans="2:3">
      <c r="B37" s="205" t="s">
        <v>455</v>
      </c>
      <c r="C37" s="206">
        <f>balance_sheet!F97</f>
        <v>1488000000</v>
      </c>
    </row>
    <row r="38" spans="2:3">
      <c r="B38" s="205" t="s">
        <v>456</v>
      </c>
      <c r="C38" s="206">
        <f>SUM(balance_sheet!F36,balance_sheet!F44)</f>
        <v>8715000000</v>
      </c>
    </row>
    <row r="39" spans="2:3">
      <c r="B39" s="197" t="s">
        <v>457</v>
      </c>
      <c r="C39" s="198">
        <f>C35+C37-C38</f>
        <v>761241870938.84497</v>
      </c>
    </row>
    <row r="40" spans="2:3">
      <c r="B40" s="5" t="s">
        <v>458</v>
      </c>
      <c r="C40" s="15">
        <f>balance_sheet!F6</f>
        <v>310526379</v>
      </c>
    </row>
    <row r="41" spans="2:3" ht="4.2" customHeight="1">
      <c r="B41" s="5"/>
      <c r="C41" s="7"/>
    </row>
    <row r="42" spans="2:3" ht="15" thickBot="1">
      <c r="B42" s="160" t="s">
        <v>459</v>
      </c>
      <c r="C42" s="161">
        <f>C39/C40</f>
        <v>2451.456373498127</v>
      </c>
    </row>
    <row r="43" spans="2:3" ht="15" thickTop="1"/>
    <row r="44" spans="2:3">
      <c r="B44" s="197" t="s">
        <v>460</v>
      </c>
      <c r="C44" s="277">
        <v>177.94</v>
      </c>
    </row>
    <row r="45" spans="2:3">
      <c r="B45" s="197" t="s">
        <v>461</v>
      </c>
      <c r="C45" s="208">
        <f>C44/(C42-1)</f>
        <v>7.2615045068516501E-2</v>
      </c>
    </row>
  </sheetData>
  <mergeCells count="1">
    <mergeCell ref="E22:J22"/>
  </mergeCells>
  <pageMargins left="1" right="1" top="1" bottom="1" header="0.5" footer="0.5"/>
  <pageSetup paperSize="9" scale="6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1756-EED5-4E5A-9F20-8066FB1A5022}">
  <sheetPr>
    <pageSetUpPr fitToPage="1"/>
  </sheetPr>
  <dimension ref="A1:N49"/>
  <sheetViews>
    <sheetView showGridLines="0" view="pageBreakPreview" zoomScale="60" zoomScaleNormal="100" workbookViewId="0">
      <selection activeCell="B5" sqref="B5 B7 B9 I10:L10 B11 E11:L11 E13:H18 B13:B18 G20:G21 B25 H25 L27 B27:B29 H27:H30 B33 H33 D35:E35 B36:B38 H35:H38 B40 H40 K42:L42 H43:H45 B42:B48"/>
    </sheetView>
  </sheetViews>
  <sheetFormatPr defaultRowHeight="14.4"/>
  <cols>
    <col min="1" max="1" width="1.88671875" style="54" customWidth="1"/>
    <col min="2" max="2" width="30" bestFit="1" customWidth="1"/>
    <col min="3" max="11" width="14.5546875" customWidth="1"/>
    <col min="12" max="12" width="20.21875" bestFit="1" customWidth="1"/>
    <col min="13" max="13" width="1.88671875" style="21" customWidth="1"/>
    <col min="14" max="14" width="8.88671875" style="21"/>
  </cols>
  <sheetData>
    <row r="1" spans="1:14"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4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4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1:14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</row>
    <row r="5" spans="1:14" s="5" customFormat="1">
      <c r="A5" s="55"/>
      <c r="B5" s="56" t="s">
        <v>308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23"/>
      <c r="N5" s="23"/>
    </row>
    <row r="7" spans="1:14">
      <c r="B7" s="57" t="s">
        <v>309</v>
      </c>
      <c r="C7" s="57"/>
    </row>
    <row r="9" spans="1:14" ht="15" thickBot="1">
      <c r="B9" s="60" t="s">
        <v>310</v>
      </c>
      <c r="C9" s="60"/>
      <c r="D9" s="60"/>
      <c r="E9" s="59"/>
      <c r="F9" s="59"/>
      <c r="G9" s="59"/>
      <c r="H9" s="59"/>
      <c r="I9" s="59"/>
      <c r="J9" s="59"/>
      <c r="K9" s="59"/>
      <c r="L9" s="59"/>
    </row>
    <row r="10" spans="1:14">
      <c r="B10" s="29"/>
      <c r="C10" s="29"/>
      <c r="D10" s="85"/>
      <c r="E10" s="85"/>
      <c r="F10" s="85"/>
      <c r="G10" s="85"/>
      <c r="H10" s="85"/>
      <c r="I10" s="85" t="s">
        <v>315</v>
      </c>
      <c r="J10" s="85" t="s">
        <v>315</v>
      </c>
      <c r="K10" s="85" t="s">
        <v>318</v>
      </c>
      <c r="L10" s="85" t="s">
        <v>319</v>
      </c>
    </row>
    <row r="11" spans="1:14" ht="16.8" thickBot="1">
      <c r="B11" s="59" t="s">
        <v>311</v>
      </c>
      <c r="C11" s="59"/>
      <c r="D11" s="86"/>
      <c r="E11" s="86" t="s">
        <v>312</v>
      </c>
      <c r="F11" s="86" t="s">
        <v>361</v>
      </c>
      <c r="G11" s="86" t="s">
        <v>362</v>
      </c>
      <c r="H11" s="86" t="s">
        <v>314</v>
      </c>
      <c r="I11" s="86" t="s">
        <v>316</v>
      </c>
      <c r="J11" s="86" t="s">
        <v>317</v>
      </c>
      <c r="K11" s="86" t="s">
        <v>320</v>
      </c>
      <c r="L11" s="86" t="s">
        <v>321</v>
      </c>
    </row>
    <row r="12" spans="1:14">
      <c r="B12" s="29"/>
      <c r="C12" s="29"/>
      <c r="D12" s="85"/>
      <c r="E12" s="85"/>
      <c r="F12" s="85"/>
      <c r="G12" s="85"/>
      <c r="H12" s="85"/>
      <c r="I12" s="85"/>
      <c r="J12" s="85"/>
      <c r="K12" s="85"/>
      <c r="L12" s="85"/>
    </row>
    <row r="13" spans="1:14">
      <c r="B13" s="205" t="s">
        <v>415</v>
      </c>
      <c r="C13" s="205"/>
      <c r="D13" s="205"/>
      <c r="E13" s="218" t="s">
        <v>360</v>
      </c>
      <c r="F13" s="219">
        <v>18173000</v>
      </c>
      <c r="G13" s="219">
        <v>11619000</v>
      </c>
      <c r="H13" s="220">
        <v>0.24940047961630696</v>
      </c>
      <c r="I13" s="221">
        <f t="shared" ref="I13:I18" si="0">F13/G13</f>
        <v>1.5640760822790258</v>
      </c>
      <c r="J13" s="221">
        <f t="shared" ref="J13:J18" si="1">F13/(F13+G13)</f>
        <v>0.60999597207303979</v>
      </c>
      <c r="K13" s="222">
        <f>'Beta- Regression'!M15</f>
        <v>0.53262017547541463</v>
      </c>
      <c r="L13" s="214">
        <f t="shared" ref="L13:L18" si="2">K13/(1+(1-H13)*I13)</f>
        <v>0.24499607172965504</v>
      </c>
    </row>
    <row r="14" spans="1:14">
      <c r="B14" s="223" t="s">
        <v>355</v>
      </c>
      <c r="C14" s="224"/>
      <c r="D14" s="225"/>
      <c r="E14" s="218" t="s">
        <v>360</v>
      </c>
      <c r="F14" s="219">
        <v>8814600</v>
      </c>
      <c r="G14" s="219">
        <v>6444800</v>
      </c>
      <c r="H14" s="220">
        <v>0.2475</v>
      </c>
      <c r="I14" s="221">
        <f t="shared" si="0"/>
        <v>1.3677072989076464</v>
      </c>
      <c r="J14" s="221">
        <f t="shared" si="1"/>
        <v>0.57765049739832497</v>
      </c>
      <c r="K14" s="222">
        <f>'Comp Beta'!H279</f>
        <v>0.59250787455467924</v>
      </c>
      <c r="L14" s="214">
        <f t="shared" si="2"/>
        <v>0.29199090763027807</v>
      </c>
    </row>
    <row r="15" spans="1:14">
      <c r="B15" s="223" t="s">
        <v>356</v>
      </c>
      <c r="C15" s="224"/>
      <c r="D15" s="225"/>
      <c r="E15" s="218" t="s">
        <v>360</v>
      </c>
      <c r="F15" s="219">
        <v>4324300</v>
      </c>
      <c r="G15" s="219">
        <v>6816300</v>
      </c>
      <c r="H15" s="220">
        <v>0.25390000000000001</v>
      </c>
      <c r="I15" s="221">
        <f t="shared" si="0"/>
        <v>0.63440576265716009</v>
      </c>
      <c r="J15" s="221">
        <f t="shared" si="1"/>
        <v>0.38815683176848642</v>
      </c>
      <c r="K15" s="222">
        <f>'Comp Beta'!L279</f>
        <v>0.44051656186072674</v>
      </c>
      <c r="L15" s="214">
        <f t="shared" si="2"/>
        <v>0.29899378967750573</v>
      </c>
    </row>
    <row r="16" spans="1:14">
      <c r="B16" s="223" t="s">
        <v>357</v>
      </c>
      <c r="C16" s="224"/>
      <c r="D16" s="225"/>
      <c r="E16" s="218" t="s">
        <v>360</v>
      </c>
      <c r="F16" s="219">
        <v>7359900</v>
      </c>
      <c r="G16" s="219">
        <v>5468600</v>
      </c>
      <c r="H16" s="220">
        <v>0.2331</v>
      </c>
      <c r="I16" s="221">
        <f t="shared" si="0"/>
        <v>1.3458472003803532</v>
      </c>
      <c r="J16" s="221">
        <f t="shared" si="1"/>
        <v>0.57371477569474216</v>
      </c>
      <c r="K16" s="222">
        <f>'Comp Beta'!X279</f>
        <v>0.54640600322109578</v>
      </c>
      <c r="L16" s="214">
        <f t="shared" si="2"/>
        <v>0.26888336110983768</v>
      </c>
    </row>
    <row r="17" spans="2:12">
      <c r="B17" s="226" t="s">
        <v>358</v>
      </c>
      <c r="C17" s="224"/>
      <c r="D17" s="225"/>
      <c r="E17" s="218" t="s">
        <v>360</v>
      </c>
      <c r="F17" s="219">
        <v>14471700</v>
      </c>
      <c r="G17" s="219">
        <v>13301400</v>
      </c>
      <c r="H17" s="220">
        <v>0.2082</v>
      </c>
      <c r="I17" s="221">
        <f t="shared" si="0"/>
        <v>1.0879832198114485</v>
      </c>
      <c r="J17" s="221">
        <f t="shared" si="1"/>
        <v>0.52106894801084502</v>
      </c>
      <c r="K17" s="222">
        <f>'Comp Beta'!P279</f>
        <v>0.76248246210636716</v>
      </c>
      <c r="L17" s="214">
        <f t="shared" si="2"/>
        <v>0.40961415639670412</v>
      </c>
    </row>
    <row r="18" spans="2:12">
      <c r="B18" s="226" t="s">
        <v>359</v>
      </c>
      <c r="C18" s="224"/>
      <c r="D18" s="225"/>
      <c r="E18" s="218" t="s">
        <v>360</v>
      </c>
      <c r="F18" s="219">
        <v>405467</v>
      </c>
      <c r="G18" s="219">
        <v>705773</v>
      </c>
      <c r="H18" s="220">
        <v>0.2475</v>
      </c>
      <c r="I18" s="221">
        <f t="shared" si="0"/>
        <v>0.57450058304865725</v>
      </c>
      <c r="J18" s="221">
        <f t="shared" si="1"/>
        <v>0.36487797415499801</v>
      </c>
      <c r="K18" s="222">
        <f>'Comp Beta'!T279</f>
        <v>0.68008595010170547</v>
      </c>
      <c r="L18" s="214">
        <f t="shared" si="2"/>
        <v>0.47481700767101975</v>
      </c>
    </row>
    <row r="19" spans="2:12" ht="15" thickBot="1">
      <c r="G19" s="59"/>
      <c r="H19" s="59"/>
      <c r="I19" s="59"/>
      <c r="J19" s="59"/>
      <c r="K19" s="59"/>
      <c r="L19" s="59"/>
    </row>
    <row r="20" spans="2:12">
      <c r="G20" s="28" t="s">
        <v>322</v>
      </c>
      <c r="H20" s="36">
        <f>AVERAGE(H14:H18)</f>
        <v>0.23804000000000003</v>
      </c>
      <c r="I20" s="36">
        <f>AVERAGE(I14:I18)</f>
        <v>1.002088812961053</v>
      </c>
      <c r="J20" s="36">
        <f>AVERAGE(J14:J18)</f>
        <v>0.48509380540547931</v>
      </c>
      <c r="K20" s="33">
        <f>AVERAGE(K14:K18)</f>
        <v>0.6043997703689149</v>
      </c>
      <c r="L20" s="33">
        <f>AVERAGE(L13:L18)</f>
        <v>0.33154921570250012</v>
      </c>
    </row>
    <row r="21" spans="2:12" ht="15" thickBot="1">
      <c r="G21" s="60" t="s">
        <v>300</v>
      </c>
      <c r="H21" s="61">
        <f>MEDIAN(H14:H18)</f>
        <v>0.2475</v>
      </c>
      <c r="I21" s="61">
        <f>MEDIAN(I14:I18)</f>
        <v>1.0879832198114485</v>
      </c>
      <c r="J21" s="61">
        <f>MEDIAN(J14:J18)</f>
        <v>0.52106894801084502</v>
      </c>
      <c r="K21" s="62">
        <f>MEDIAN(K14:K18)</f>
        <v>0.59250787455467924</v>
      </c>
      <c r="L21" s="62">
        <f>MEDIAN(L13:L18)</f>
        <v>0.2954923486538919</v>
      </c>
    </row>
    <row r="25" spans="2:12" ht="15" thickBot="1">
      <c r="B25" s="60" t="s">
        <v>323</v>
      </c>
      <c r="C25" s="60"/>
      <c r="D25" s="59"/>
      <c r="E25" s="59"/>
      <c r="F25" s="29"/>
      <c r="H25" s="60" t="s">
        <v>326</v>
      </c>
      <c r="I25" s="59"/>
      <c r="J25" s="59"/>
      <c r="K25" s="59"/>
      <c r="L25" s="59"/>
    </row>
    <row r="27" spans="2:12">
      <c r="B27" t="s">
        <v>324</v>
      </c>
      <c r="E27" s="109">
        <f>(HistoricalFS!F25/WACC!F13)/1000</f>
        <v>4.6057337808837293E-2</v>
      </c>
      <c r="F27" s="63"/>
      <c r="H27" t="s">
        <v>327</v>
      </c>
      <c r="L27" s="63">
        <v>3.2759999999999997E-2</v>
      </c>
    </row>
    <row r="28" spans="2:12">
      <c r="B28" t="s">
        <v>313</v>
      </c>
      <c r="E28" s="109">
        <f>H13</f>
        <v>0.24940047961630696</v>
      </c>
      <c r="F28" s="65"/>
      <c r="H28" t="s">
        <v>328</v>
      </c>
      <c r="L28" s="109">
        <f>'Market Return'!I8-WACC!L27</f>
        <v>6.4281505430090535E-2</v>
      </c>
    </row>
    <row r="29" spans="2:12" ht="16.2">
      <c r="B29" s="37" t="s">
        <v>325</v>
      </c>
      <c r="C29" s="37"/>
      <c r="D29" s="37"/>
      <c r="E29" s="68">
        <f>E27*(1-E28)</f>
        <v>3.4570615669463005E-2</v>
      </c>
      <c r="F29" s="36"/>
      <c r="H29" s="38" t="s">
        <v>329</v>
      </c>
      <c r="I29" s="38"/>
      <c r="J29" s="38"/>
      <c r="K29" s="38"/>
      <c r="L29" s="66">
        <f>L38</f>
        <v>0.50444704407772056</v>
      </c>
    </row>
    <row r="30" spans="2:12">
      <c r="H30" s="24" t="s">
        <v>326</v>
      </c>
      <c r="L30" s="64">
        <f>L27+L28*L29</f>
        <v>6.5186615403075104E-2</v>
      </c>
    </row>
    <row r="31" spans="2:12">
      <c r="B31" s="29"/>
      <c r="C31" s="29"/>
      <c r="D31" s="29"/>
      <c r="E31" s="29"/>
      <c r="F31" s="29"/>
    </row>
    <row r="32" spans="2:12">
      <c r="B32" s="29"/>
      <c r="C32" s="29"/>
      <c r="D32" s="29"/>
      <c r="E32" s="29"/>
      <c r="F32" s="29"/>
    </row>
    <row r="33" spans="2:12" ht="15" thickBot="1">
      <c r="B33" s="60" t="s">
        <v>330</v>
      </c>
      <c r="C33" s="60"/>
      <c r="D33" s="59"/>
      <c r="E33" s="59"/>
      <c r="F33" s="29"/>
      <c r="H33" s="60" t="s">
        <v>335</v>
      </c>
      <c r="I33" s="59"/>
      <c r="J33" s="59"/>
      <c r="K33" s="59"/>
      <c r="L33" s="59"/>
    </row>
    <row r="35" spans="2:12" ht="15" thickBot="1">
      <c r="D35" s="60" t="s">
        <v>331</v>
      </c>
      <c r="E35" s="60" t="s">
        <v>332</v>
      </c>
      <c r="F35" s="28"/>
      <c r="H35" t="s">
        <v>336</v>
      </c>
      <c r="L35" s="53">
        <f>L21</f>
        <v>0.2954923486538919</v>
      </c>
    </row>
    <row r="36" spans="2:12">
      <c r="B36" t="s">
        <v>50</v>
      </c>
      <c r="C36" s="110">
        <f>F13</f>
        <v>18173000</v>
      </c>
      <c r="D36" s="9">
        <f>C36/$C$38</f>
        <v>0.60999597207303979</v>
      </c>
      <c r="E36" s="106">
        <f>J20</f>
        <v>0.48509380540547931</v>
      </c>
      <c r="F36" s="63"/>
      <c r="H36" t="s">
        <v>337</v>
      </c>
      <c r="L36" s="12">
        <f>E40</f>
        <v>0.94210131961508425</v>
      </c>
    </row>
    <row r="37" spans="2:12">
      <c r="B37" t="s">
        <v>333</v>
      </c>
      <c r="C37" s="110">
        <f>G13</f>
        <v>11619000</v>
      </c>
      <c r="D37" s="9">
        <f>C37/$C$38</f>
        <v>0.39000402792696026</v>
      </c>
      <c r="E37" s="12">
        <f>E38-E36</f>
        <v>0.51490619459452069</v>
      </c>
      <c r="F37" s="12"/>
      <c r="H37" t="s">
        <v>313</v>
      </c>
      <c r="L37" s="12">
        <f>E28</f>
        <v>0.24940047961630696</v>
      </c>
    </row>
    <row r="38" spans="2:12">
      <c r="B38" s="37" t="s">
        <v>334</v>
      </c>
      <c r="C38" s="71">
        <f>SUM(C37+C36)</f>
        <v>29792000</v>
      </c>
      <c r="D38" s="39">
        <f>C38/$C$38</f>
        <v>1</v>
      </c>
      <c r="E38" s="40">
        <f>D38</f>
        <v>1</v>
      </c>
      <c r="F38" s="36"/>
      <c r="H38" s="37" t="s">
        <v>335</v>
      </c>
      <c r="I38" s="37"/>
      <c r="J38" s="37"/>
      <c r="K38" s="37"/>
      <c r="L38" s="67">
        <f>L35*(1+(1-L37)*L36)</f>
        <v>0.50444704407772056</v>
      </c>
    </row>
    <row r="40" spans="2:12" ht="15" thickBot="1">
      <c r="B40" t="s">
        <v>338</v>
      </c>
      <c r="D40" s="64">
        <f>D36/D37</f>
        <v>1.5640760822790258</v>
      </c>
      <c r="E40" s="64">
        <f>E36/E37</f>
        <v>0.94210131961508425</v>
      </c>
      <c r="F40" s="69"/>
      <c r="H40" s="60" t="s">
        <v>339</v>
      </c>
      <c r="I40" s="59"/>
      <c r="J40" s="59"/>
      <c r="K40" s="59"/>
      <c r="L40" s="59"/>
    </row>
    <row r="42" spans="2:12" ht="15" thickBot="1">
      <c r="B42" s="72" t="s">
        <v>343</v>
      </c>
      <c r="K42" s="59" t="s">
        <v>341</v>
      </c>
      <c r="L42" s="59" t="s">
        <v>342</v>
      </c>
    </row>
    <row r="43" spans="2:12">
      <c r="B43" s="72" t="s">
        <v>344</v>
      </c>
      <c r="H43" t="s">
        <v>340</v>
      </c>
      <c r="K43" s="12">
        <f>E29</f>
        <v>3.4570615669463005E-2</v>
      </c>
      <c r="L43" s="12">
        <f>E36</f>
        <v>0.48509380540547931</v>
      </c>
    </row>
    <row r="44" spans="2:12">
      <c r="B44" s="72" t="s">
        <v>345</v>
      </c>
      <c r="H44" t="s">
        <v>316</v>
      </c>
      <c r="K44" s="12">
        <f>L30</f>
        <v>6.5186615403075104E-2</v>
      </c>
      <c r="L44" s="12">
        <f>E37</f>
        <v>0.51490619459452069</v>
      </c>
    </row>
    <row r="45" spans="2:12">
      <c r="B45" s="72" t="s">
        <v>346</v>
      </c>
      <c r="H45" s="37" t="s">
        <v>339</v>
      </c>
      <c r="I45" s="37"/>
      <c r="J45" s="37"/>
      <c r="K45" s="37"/>
      <c r="L45" s="70">
        <f>SUMPRODUCT(K43:K44,L43:L44)</f>
        <v>5.0334983586004065E-2</v>
      </c>
    </row>
    <row r="46" spans="2:12">
      <c r="B46" s="72" t="s">
        <v>347</v>
      </c>
    </row>
    <row r="47" spans="2:12">
      <c r="B47" s="72" t="s">
        <v>363</v>
      </c>
    </row>
    <row r="48" spans="2:12">
      <c r="B48" s="72" t="s">
        <v>364</v>
      </c>
    </row>
    <row r="49" spans="12:12">
      <c r="L49" s="58"/>
    </row>
  </sheetData>
  <pageMargins left="0.7" right="0.7" top="0.75" bottom="0.75" header="0.3" footer="0.3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5EB0-93B5-4ED1-ACBC-1F16ACD1B8DA}">
  <sheetPr>
    <pageSetUpPr fitToPage="1"/>
  </sheetPr>
  <dimension ref="B1:AI325"/>
  <sheetViews>
    <sheetView showGridLines="0" view="pageBreakPreview" topLeftCell="A267" zoomScale="48" zoomScaleNormal="100" workbookViewId="0">
      <selection activeCell="W313" sqref="W313"/>
    </sheetView>
  </sheetViews>
  <sheetFormatPr defaultRowHeight="14.4"/>
  <cols>
    <col min="1" max="1" width="1.88671875" customWidth="1"/>
    <col min="2" max="2" width="16.6640625" style="74" bestFit="1" customWidth="1"/>
    <col min="3" max="3" width="12.88671875" style="74" bestFit="1" customWidth="1"/>
    <col min="4" max="4" width="8.44140625" style="74" bestFit="1" customWidth="1"/>
    <col min="5" max="5" width="13.109375" style="74" customWidth="1"/>
    <col min="6" max="6" width="14" style="74" bestFit="1" customWidth="1"/>
    <col min="7" max="7" width="12.5546875" style="74" bestFit="1" customWidth="1"/>
    <col min="8" max="8" width="12.77734375" style="74" bestFit="1" customWidth="1"/>
    <col min="9" max="9" width="13.109375" customWidth="1"/>
    <col min="10" max="10" width="17.6640625" bestFit="1" customWidth="1"/>
    <col min="11" max="11" width="9" bestFit="1" customWidth="1"/>
    <col min="12" max="12" width="12.21875" bestFit="1" customWidth="1"/>
    <col min="14" max="14" width="17.5546875" bestFit="1" customWidth="1"/>
    <col min="15" max="15" width="20.33203125" bestFit="1" customWidth="1"/>
    <col min="16" max="16" width="13.5546875" bestFit="1" customWidth="1"/>
    <col min="17" max="17" width="12" bestFit="1" customWidth="1"/>
    <col min="18" max="18" width="14" bestFit="1" customWidth="1"/>
    <col min="19" max="19" width="12.77734375" bestFit="1" customWidth="1"/>
    <col min="20" max="20" width="12.44140625" customWidth="1"/>
    <col min="21" max="21" width="12.6640625" bestFit="1" customWidth="1"/>
    <col min="22" max="22" width="14" bestFit="1" customWidth="1"/>
    <col min="23" max="23" width="12.21875" bestFit="1" customWidth="1"/>
    <col min="24" max="24" width="14" customWidth="1"/>
    <col min="25" max="26" width="1.88671875" customWidth="1"/>
    <col min="27" max="29" width="12.21875" customWidth="1"/>
    <col min="35" max="35" width="12.109375" bestFit="1" customWidth="1"/>
    <col min="36" max="36" width="1.88671875" customWidth="1"/>
  </cols>
  <sheetData>
    <row r="1" spans="2:24"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2:24" ht="23.4">
      <c r="B2" s="92" t="s">
        <v>395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>
      <c r="B3" s="5" t="s">
        <v>396</v>
      </c>
      <c r="C3"/>
      <c r="D3"/>
      <c r="E3"/>
      <c r="F3"/>
      <c r="G3"/>
      <c r="H3"/>
    </row>
    <row r="4" spans="2:24">
      <c r="B4" s="5"/>
      <c r="C4"/>
      <c r="D4"/>
      <c r="E4"/>
      <c r="F4"/>
      <c r="G4"/>
      <c r="H4"/>
    </row>
    <row r="5" spans="2:24">
      <c r="B5" s="238" t="s">
        <v>353</v>
      </c>
      <c r="C5" s="238"/>
      <c r="D5" s="238"/>
      <c r="E5"/>
      <c r="F5" s="238" t="s">
        <v>397</v>
      </c>
      <c r="G5" s="238"/>
      <c r="H5" s="238"/>
      <c r="J5" s="238" t="s">
        <v>398</v>
      </c>
      <c r="K5" s="238"/>
      <c r="L5" s="238"/>
      <c r="M5" s="93"/>
      <c r="N5" s="238" t="s">
        <v>399</v>
      </c>
      <c r="O5" s="238"/>
      <c r="P5" s="238"/>
      <c r="R5" s="238" t="s">
        <v>400</v>
      </c>
      <c r="S5" s="238"/>
      <c r="T5" s="238"/>
      <c r="V5" s="238" t="s">
        <v>401</v>
      </c>
      <c r="W5" s="238"/>
      <c r="X5" s="238"/>
    </row>
    <row r="6" spans="2:24">
      <c r="B6" s="93" t="s">
        <v>402</v>
      </c>
      <c r="C6" s="93"/>
      <c r="D6" s="93"/>
      <c r="E6"/>
      <c r="F6"/>
      <c r="G6"/>
      <c r="H6"/>
    </row>
    <row r="7" spans="2:24" ht="15.6">
      <c r="B7" s="94" t="s">
        <v>352</v>
      </c>
      <c r="C7" s="95" t="s">
        <v>403</v>
      </c>
      <c r="D7" s="95" t="s">
        <v>404</v>
      </c>
      <c r="E7"/>
      <c r="F7" s="94" t="s">
        <v>352</v>
      </c>
      <c r="G7" s="95" t="s">
        <v>403</v>
      </c>
      <c r="H7" s="95" t="s">
        <v>404</v>
      </c>
      <c r="J7" s="94" t="s">
        <v>352</v>
      </c>
      <c r="K7" s="95" t="s">
        <v>403</v>
      </c>
      <c r="L7" s="95" t="s">
        <v>404</v>
      </c>
      <c r="M7" s="53"/>
      <c r="N7" s="94" t="s">
        <v>352</v>
      </c>
      <c r="O7" s="95" t="s">
        <v>403</v>
      </c>
      <c r="P7" s="95" t="s">
        <v>404</v>
      </c>
      <c r="R7" s="94" t="s">
        <v>352</v>
      </c>
      <c r="S7" s="95" t="s">
        <v>403</v>
      </c>
      <c r="T7" s="95" t="s">
        <v>404</v>
      </c>
      <c r="V7" s="94" t="s">
        <v>352</v>
      </c>
      <c r="W7" s="95" t="s">
        <v>403</v>
      </c>
      <c r="X7" s="95" t="s">
        <v>404</v>
      </c>
    </row>
    <row r="8" spans="2:24">
      <c r="B8" s="75">
        <v>43787</v>
      </c>
      <c r="C8" s="53">
        <v>16954.80078125</v>
      </c>
      <c r="D8" s="9"/>
      <c r="E8"/>
      <c r="F8" s="75">
        <v>43787</v>
      </c>
      <c r="G8" s="53">
        <v>179.34558105468699</v>
      </c>
      <c r="H8" s="9"/>
      <c r="J8" s="75">
        <v>43787</v>
      </c>
      <c r="K8" s="53">
        <v>52.422775268554602</v>
      </c>
      <c r="L8" s="9"/>
      <c r="M8" s="58"/>
      <c r="N8" s="75">
        <v>43787</v>
      </c>
      <c r="O8" s="53">
        <v>39.950084686279297</v>
      </c>
      <c r="P8" s="9"/>
      <c r="R8" s="75">
        <v>43787</v>
      </c>
      <c r="S8" s="53">
        <v>22.3294467926025</v>
      </c>
      <c r="T8" s="9"/>
      <c r="V8" s="75">
        <v>43787</v>
      </c>
      <c r="W8" s="53">
        <v>31.639804840087798</v>
      </c>
      <c r="X8" s="9"/>
    </row>
    <row r="9" spans="2:24">
      <c r="B9" s="75">
        <v>43794</v>
      </c>
      <c r="C9" s="53">
        <v>17040.19921875</v>
      </c>
      <c r="D9" s="9">
        <f>C9/C8-1</f>
        <v>5.0368293088078886E-3</v>
      </c>
      <c r="E9"/>
      <c r="F9" s="75">
        <v>43794</v>
      </c>
      <c r="G9" s="53">
        <v>181.9150390625</v>
      </c>
      <c r="H9" s="9">
        <f>G9/G8-1</f>
        <v>1.4326854292716185E-2</v>
      </c>
      <c r="J9" s="75">
        <v>43794</v>
      </c>
      <c r="K9" s="53">
        <v>53.573814392089801</v>
      </c>
      <c r="L9" s="9">
        <f>K9/K8-1</f>
        <v>2.195685210557019E-2</v>
      </c>
      <c r="M9" s="84"/>
      <c r="N9" s="75">
        <v>43794</v>
      </c>
      <c r="O9" s="53">
        <v>42.008678436279297</v>
      </c>
      <c r="P9" s="9">
        <f>O9/O8-1</f>
        <v>5.1529146087317734E-2</v>
      </c>
      <c r="R9" s="75">
        <v>43794</v>
      </c>
      <c r="S9" s="53">
        <v>22.804367065429599</v>
      </c>
      <c r="T9" s="9">
        <f>S9/S8-1</f>
        <v>2.1268788127094762E-2</v>
      </c>
      <c r="V9" s="75">
        <v>43794</v>
      </c>
      <c r="W9" s="53">
        <v>32.621078491210902</v>
      </c>
      <c r="X9" s="9">
        <f>W9/W8-1</f>
        <v>3.1013897085731212E-2</v>
      </c>
    </row>
    <row r="10" spans="2:24">
      <c r="B10" s="75">
        <v>43801</v>
      </c>
      <c r="C10" s="53">
        <v>16997</v>
      </c>
      <c r="D10" s="9">
        <f t="shared" ref="D10:D73" si="0">C10/C9-1</f>
        <v>-2.5351357807170682E-3</v>
      </c>
      <c r="E10"/>
      <c r="F10" s="75">
        <v>43801</v>
      </c>
      <c r="G10" s="53">
        <v>173.28770446777301</v>
      </c>
      <c r="H10" s="9">
        <f t="shared" ref="H10:H73" si="1">G10/G9-1</f>
        <v>-4.7425076228925334E-2</v>
      </c>
      <c r="J10" s="75">
        <v>43801</v>
      </c>
      <c r="K10" s="53">
        <v>53.039722442626903</v>
      </c>
      <c r="L10" s="9">
        <f t="shared" ref="L10:L73" si="2">K10/K9-1</f>
        <v>-9.9692724052472537E-3</v>
      </c>
      <c r="M10" s="58"/>
      <c r="N10" s="75">
        <v>43801</v>
      </c>
      <c r="O10" s="53">
        <v>42.239540100097599</v>
      </c>
      <c r="P10" s="9">
        <f t="shared" ref="P10:P73" si="3">O10/O9-1</f>
        <v>5.4955707347110749E-3</v>
      </c>
      <c r="R10" s="75">
        <v>43801</v>
      </c>
      <c r="S10" s="53">
        <v>22.884868621826101</v>
      </c>
      <c r="T10" s="9">
        <f t="shared" ref="T10:T73" si="4">S10/S9-1</f>
        <v>3.530093870421025E-3</v>
      </c>
      <c r="V10" s="75">
        <v>43801</v>
      </c>
      <c r="W10" s="53">
        <v>32.630256652832003</v>
      </c>
      <c r="X10" s="9">
        <f t="shared" ref="X10:X73" si="5">W10/W9-1</f>
        <v>2.8135678051155466E-4</v>
      </c>
    </row>
    <row r="11" spans="2:24">
      <c r="B11" s="75">
        <v>43808</v>
      </c>
      <c r="C11" s="53">
        <v>17003.099609375</v>
      </c>
      <c r="D11" s="9">
        <f t="shared" si="0"/>
        <v>3.5886388039063633E-4</v>
      </c>
      <c r="E11"/>
      <c r="F11" s="75">
        <v>43808</v>
      </c>
      <c r="G11" s="53">
        <v>167.73837280273401</v>
      </c>
      <c r="H11" s="9">
        <f t="shared" si="1"/>
        <v>-3.202380504769764E-2</v>
      </c>
      <c r="J11" s="75">
        <v>43808</v>
      </c>
      <c r="K11" s="53">
        <v>51.032321929931598</v>
      </c>
      <c r="L11" s="9">
        <f t="shared" si="2"/>
        <v>-3.7847115713448787E-2</v>
      </c>
      <c r="N11" s="75">
        <v>43808</v>
      </c>
      <c r="O11" s="53">
        <v>41.472053527832003</v>
      </c>
      <c r="P11" s="9">
        <f t="shared" si="3"/>
        <v>-1.8169860998648146E-2</v>
      </c>
      <c r="R11" s="75">
        <v>43808</v>
      </c>
      <c r="S11" s="53">
        <v>22.289199829101499</v>
      </c>
      <c r="T11" s="9">
        <f t="shared" si="4"/>
        <v>-2.6028936524306379E-2</v>
      </c>
      <c r="V11" s="75">
        <v>43808</v>
      </c>
      <c r="W11" s="53">
        <v>27.9530639648437</v>
      </c>
      <c r="X11" s="9">
        <f t="shared" si="5"/>
        <v>-0.14333913268752563</v>
      </c>
    </row>
    <row r="12" spans="2:24">
      <c r="B12" s="75">
        <v>43815</v>
      </c>
      <c r="C12" s="53">
        <v>17118.400390625</v>
      </c>
      <c r="D12" s="9">
        <f t="shared" si="0"/>
        <v>6.7811624879516863E-3</v>
      </c>
      <c r="E12"/>
      <c r="F12" s="75">
        <v>43815</v>
      </c>
      <c r="G12" s="53">
        <v>158.272369384765</v>
      </c>
      <c r="H12" s="9">
        <f t="shared" si="1"/>
        <v>-5.6433142040201778E-2</v>
      </c>
      <c r="J12" s="75">
        <v>43815</v>
      </c>
      <c r="K12" s="53">
        <v>50.010204315185497</v>
      </c>
      <c r="L12" s="9">
        <f t="shared" si="2"/>
        <v>-2.0028828320794223E-2</v>
      </c>
      <c r="N12" s="75">
        <v>43815</v>
      </c>
      <c r="O12" s="53">
        <v>39.969226837158203</v>
      </c>
      <c r="P12" s="9">
        <f t="shared" si="3"/>
        <v>-3.6237093725422831E-2</v>
      </c>
      <c r="R12" s="75">
        <v>43815</v>
      </c>
      <c r="S12" s="53">
        <v>22.570930480956999</v>
      </c>
      <c r="T12" s="9">
        <f t="shared" si="4"/>
        <v>1.2639783124366089E-2</v>
      </c>
      <c r="V12" s="75">
        <v>43815</v>
      </c>
      <c r="W12" s="53">
        <v>28.246543884277301</v>
      </c>
      <c r="X12" s="9">
        <f t="shared" si="5"/>
        <v>1.0499025072983281E-2</v>
      </c>
    </row>
    <row r="13" spans="2:24">
      <c r="B13" s="75">
        <v>43822</v>
      </c>
      <c r="C13" s="53">
        <v>17168.19921875</v>
      </c>
      <c r="D13" s="9">
        <f t="shared" si="0"/>
        <v>2.9090818644639249E-3</v>
      </c>
      <c r="E13"/>
      <c r="F13" s="75">
        <v>43822</v>
      </c>
      <c r="G13" s="53">
        <v>156.39877319335901</v>
      </c>
      <c r="H13" s="9">
        <f t="shared" si="1"/>
        <v>-1.1837797075314072E-2</v>
      </c>
      <c r="J13" s="75">
        <v>43822</v>
      </c>
      <c r="K13" s="53">
        <v>49.927318572997997</v>
      </c>
      <c r="L13" s="9">
        <f t="shared" si="2"/>
        <v>-1.657376595886717E-3</v>
      </c>
      <c r="N13" s="75">
        <v>43822</v>
      </c>
      <c r="O13" s="53">
        <v>40.672466278076101</v>
      </c>
      <c r="P13" s="9">
        <f t="shared" si="3"/>
        <v>1.7594522000213386E-2</v>
      </c>
      <c r="R13" s="75">
        <v>43822</v>
      </c>
      <c r="S13" s="53">
        <v>22.4501857757568</v>
      </c>
      <c r="T13" s="9">
        <f t="shared" si="4"/>
        <v>-5.3495670150626173E-3</v>
      </c>
      <c r="V13" s="75">
        <v>43822</v>
      </c>
      <c r="W13" s="53">
        <v>28.429956436157202</v>
      </c>
      <c r="X13" s="9">
        <f t="shared" si="5"/>
        <v>6.4932741021810347E-3</v>
      </c>
    </row>
    <row r="14" spans="2:24">
      <c r="B14" s="75">
        <v>43829</v>
      </c>
      <c r="C14" s="53">
        <v>17066.099609375</v>
      </c>
      <c r="D14" s="9">
        <f t="shared" si="0"/>
        <v>-5.9470191412674955E-3</v>
      </c>
      <c r="E14"/>
      <c r="F14" s="75">
        <v>43829</v>
      </c>
      <c r="G14" s="53">
        <v>163.21499633789</v>
      </c>
      <c r="H14" s="9">
        <f t="shared" si="1"/>
        <v>4.3582331276371011E-2</v>
      </c>
      <c r="J14" s="75">
        <v>43829</v>
      </c>
      <c r="K14" s="53">
        <v>49.5221557617187</v>
      </c>
      <c r="L14" s="9">
        <f t="shared" si="2"/>
        <v>-8.1150524975002192E-3</v>
      </c>
      <c r="N14" s="75">
        <v>43829</v>
      </c>
      <c r="O14" s="53">
        <v>40.335292816162102</v>
      </c>
      <c r="P14" s="9">
        <f t="shared" si="3"/>
        <v>-8.2899684422566011E-3</v>
      </c>
      <c r="R14" s="75">
        <v>43829</v>
      </c>
      <c r="S14" s="53">
        <v>21.967214584350501</v>
      </c>
      <c r="T14" s="9">
        <f t="shared" si="4"/>
        <v>-2.1513015359001852E-2</v>
      </c>
      <c r="V14" s="75">
        <v>43829</v>
      </c>
      <c r="W14" s="53">
        <v>27.806333541870099</v>
      </c>
      <c r="X14" s="9">
        <f t="shared" si="5"/>
        <v>-2.1935415050231333E-2</v>
      </c>
    </row>
    <row r="15" spans="2:24">
      <c r="B15" s="75">
        <v>43836</v>
      </c>
      <c r="C15" s="53">
        <v>17234.5</v>
      </c>
      <c r="D15" s="9">
        <f t="shared" si="0"/>
        <v>9.8675382471393736E-3</v>
      </c>
      <c r="E15"/>
      <c r="F15" s="75">
        <v>43836</v>
      </c>
      <c r="G15" s="53">
        <v>162.28712463378901</v>
      </c>
      <c r="H15" s="9">
        <f t="shared" si="1"/>
        <v>-5.6849659952821208E-3</v>
      </c>
      <c r="J15" s="75">
        <v>43836</v>
      </c>
      <c r="K15" s="53">
        <v>49.816829681396399</v>
      </c>
      <c r="L15" s="9">
        <f t="shared" si="2"/>
        <v>5.9503451565305898E-3</v>
      </c>
      <c r="N15" s="75">
        <v>43836</v>
      </c>
      <c r="O15" s="53">
        <v>41.809226989746001</v>
      </c>
      <c r="P15" s="9">
        <f t="shared" si="3"/>
        <v>3.6542047191815641E-2</v>
      </c>
      <c r="R15" s="75">
        <v>43836</v>
      </c>
      <c r="S15" s="53">
        <v>22.808610916137599</v>
      </c>
      <c r="T15" s="9">
        <f t="shared" si="4"/>
        <v>3.8302367765211009E-2</v>
      </c>
      <c r="V15" s="75">
        <v>43836</v>
      </c>
      <c r="W15" s="53">
        <v>28.026433944702099</v>
      </c>
      <c r="X15" s="9">
        <f t="shared" si="5"/>
        <v>7.9154773318308447E-3</v>
      </c>
    </row>
    <row r="16" spans="2:24">
      <c r="B16" s="75">
        <v>43843</v>
      </c>
      <c r="C16" s="53">
        <v>17559</v>
      </c>
      <c r="D16" s="9">
        <f t="shared" si="0"/>
        <v>1.8828512576517964E-2</v>
      </c>
      <c r="E16"/>
      <c r="F16" s="75">
        <v>43843</v>
      </c>
      <c r="G16" s="53">
        <v>163.39343261718699</v>
      </c>
      <c r="H16" s="9">
        <f t="shared" si="1"/>
        <v>6.8169793869625739E-3</v>
      </c>
      <c r="J16" s="75">
        <v>43843</v>
      </c>
      <c r="K16" s="53">
        <v>50.157543182372997</v>
      </c>
      <c r="L16" s="9">
        <f t="shared" si="2"/>
        <v>6.8393252472234156E-3</v>
      </c>
      <c r="N16" s="75">
        <v>43843</v>
      </c>
      <c r="O16" s="53">
        <v>42.965232849121001</v>
      </c>
      <c r="P16" s="9">
        <f t="shared" si="3"/>
        <v>2.7649539171305859E-2</v>
      </c>
      <c r="R16" s="75">
        <v>43843</v>
      </c>
      <c r="S16" s="53">
        <v>22.8493347167968</v>
      </c>
      <c r="T16" s="9">
        <f t="shared" si="4"/>
        <v>1.7854572910613875E-3</v>
      </c>
      <c r="V16" s="75">
        <v>43843</v>
      </c>
      <c r="W16" s="53">
        <v>28.484979629516602</v>
      </c>
      <c r="X16" s="9">
        <f t="shared" si="5"/>
        <v>1.6361185505057163E-2</v>
      </c>
    </row>
    <row r="17" spans="2:24">
      <c r="B17" s="75">
        <v>43850</v>
      </c>
      <c r="C17" s="53">
        <v>17565.30078125</v>
      </c>
      <c r="D17" s="9">
        <f t="shared" si="0"/>
        <v>3.5883485676868609E-4</v>
      </c>
      <c r="E17"/>
      <c r="F17" s="75">
        <v>43850</v>
      </c>
      <c r="G17" s="53">
        <v>172.62747192382801</v>
      </c>
      <c r="H17" s="9">
        <f t="shared" si="1"/>
        <v>5.6514139881468584E-2</v>
      </c>
      <c r="J17" s="75">
        <v>43850</v>
      </c>
      <c r="K17" s="53">
        <v>50.13911819458</v>
      </c>
      <c r="L17" s="9">
        <f t="shared" si="2"/>
        <v>-3.6734231032820031E-4</v>
      </c>
      <c r="N17" s="75">
        <v>43850</v>
      </c>
      <c r="O17" s="53">
        <v>42.531726837158203</v>
      </c>
      <c r="P17" s="9">
        <f t="shared" si="3"/>
        <v>-1.0089693066138383E-2</v>
      </c>
      <c r="R17" s="75">
        <v>43850</v>
      </c>
      <c r="S17" s="53">
        <v>22.873775482177699</v>
      </c>
      <c r="T17" s="9">
        <f t="shared" si="4"/>
        <v>1.0696488840409302E-3</v>
      </c>
      <c r="V17" s="75">
        <v>43850</v>
      </c>
      <c r="W17" s="53">
        <v>28.6620979309082</v>
      </c>
      <c r="X17" s="9">
        <f t="shared" si="5"/>
        <v>6.2179542936398047E-3</v>
      </c>
    </row>
    <row r="18" spans="2:24">
      <c r="B18" s="75">
        <v>43857</v>
      </c>
      <c r="C18" s="53">
        <v>17318.5</v>
      </c>
      <c r="D18" s="9">
        <f t="shared" si="0"/>
        <v>-1.4050472822728199E-2</v>
      </c>
      <c r="E18"/>
      <c r="F18" s="75">
        <v>43857</v>
      </c>
      <c r="G18" s="53">
        <v>173.99255371093699</v>
      </c>
      <c r="H18" s="9">
        <f t="shared" si="1"/>
        <v>7.9076740908963217E-3</v>
      </c>
      <c r="J18" s="75">
        <v>43857</v>
      </c>
      <c r="K18" s="53">
        <v>49.678699493408203</v>
      </c>
      <c r="L18" s="9">
        <f t="shared" si="2"/>
        <v>-9.1828240653336612E-3</v>
      </c>
      <c r="N18" s="75">
        <v>43857</v>
      </c>
      <c r="O18" s="53">
        <v>42.762928009033203</v>
      </c>
      <c r="P18" s="9">
        <f t="shared" si="3"/>
        <v>5.4359695471619673E-3</v>
      </c>
      <c r="R18" s="75">
        <v>43857</v>
      </c>
      <c r="S18" s="53">
        <v>22.450187683105401</v>
      </c>
      <c r="T18" s="9">
        <f t="shared" si="4"/>
        <v>-1.8518490723245074E-2</v>
      </c>
      <c r="V18" s="75">
        <v>43857</v>
      </c>
      <c r="W18" s="53">
        <v>28.2661838531494</v>
      </c>
      <c r="X18" s="9">
        <f t="shared" si="5"/>
        <v>-1.3813157666029086E-2</v>
      </c>
    </row>
    <row r="19" spans="2:24">
      <c r="B19" s="75">
        <v>43864</v>
      </c>
      <c r="C19" s="53">
        <v>17655.5</v>
      </c>
      <c r="D19" s="9">
        <f t="shared" si="0"/>
        <v>1.9458960071599751E-2</v>
      </c>
      <c r="E19"/>
      <c r="F19" s="75">
        <v>43864</v>
      </c>
      <c r="G19" s="53">
        <v>167.23190307617099</v>
      </c>
      <c r="H19" s="9">
        <f t="shared" si="1"/>
        <v>-3.8855976825294625E-2</v>
      </c>
      <c r="J19" s="75">
        <v>43864</v>
      </c>
      <c r="K19" s="53">
        <v>50.756065368652301</v>
      </c>
      <c r="L19" s="9">
        <f t="shared" si="2"/>
        <v>2.1686676306553743E-2</v>
      </c>
      <c r="N19" s="75">
        <v>43864</v>
      </c>
      <c r="O19" s="53">
        <v>44.111625671386697</v>
      </c>
      <c r="P19" s="9">
        <f t="shared" si="3"/>
        <v>3.1538945650976036E-2</v>
      </c>
      <c r="R19" s="75">
        <v>43864</v>
      </c>
      <c r="S19" s="53">
        <v>22.490917205810501</v>
      </c>
      <c r="T19" s="9">
        <f t="shared" si="4"/>
        <v>1.8142174702509006E-3</v>
      </c>
      <c r="V19" s="75">
        <v>43864</v>
      </c>
      <c r="W19" s="53">
        <v>28.7449626922607</v>
      </c>
      <c r="X19" s="9">
        <f t="shared" si="5"/>
        <v>1.6938219945030086E-2</v>
      </c>
    </row>
    <row r="20" spans="2:24">
      <c r="B20" s="75">
        <v>43871</v>
      </c>
      <c r="C20" s="53">
        <v>17848.400390625</v>
      </c>
      <c r="D20" s="9">
        <f t="shared" si="0"/>
        <v>1.0925795963014462E-2</v>
      </c>
      <c r="E20"/>
      <c r="F20" s="75">
        <v>43871</v>
      </c>
      <c r="G20" s="53">
        <v>173.19036865234301</v>
      </c>
      <c r="H20" s="9">
        <f t="shared" si="1"/>
        <v>3.5629957362011577E-2</v>
      </c>
      <c r="J20" s="75">
        <v>43871</v>
      </c>
      <c r="K20" s="53">
        <v>51.4190673828125</v>
      </c>
      <c r="L20" s="9">
        <f t="shared" si="2"/>
        <v>1.3062517934451234E-2</v>
      </c>
      <c r="N20" s="75">
        <v>43871</v>
      </c>
      <c r="O20" s="53">
        <v>42.608798980712798</v>
      </c>
      <c r="P20" s="9">
        <f t="shared" si="3"/>
        <v>-3.4068721517301004E-2</v>
      </c>
      <c r="R20" s="75">
        <v>43871</v>
      </c>
      <c r="S20" s="53">
        <v>22.694566726684499</v>
      </c>
      <c r="T20" s="9">
        <f t="shared" si="4"/>
        <v>9.0547450337590263E-3</v>
      </c>
      <c r="V20" s="75">
        <v>43871</v>
      </c>
      <c r="W20" s="53">
        <v>29.067214965820298</v>
      </c>
      <c r="X20" s="9">
        <f t="shared" si="5"/>
        <v>1.1210738973975509E-2</v>
      </c>
    </row>
    <row r="21" spans="2:24">
      <c r="B21" s="75">
        <v>43878</v>
      </c>
      <c r="C21" s="53">
        <v>17843.5</v>
      </c>
      <c r="D21" s="9">
        <f t="shared" si="0"/>
        <v>-2.7455629175454632E-4</v>
      </c>
      <c r="E21"/>
      <c r="F21" s="75">
        <v>43878</v>
      </c>
      <c r="G21" s="53">
        <v>178.12586975097599</v>
      </c>
      <c r="H21" s="9">
        <f t="shared" si="1"/>
        <v>2.849754947135863E-2</v>
      </c>
      <c r="J21" s="75">
        <v>43878</v>
      </c>
      <c r="K21" s="53">
        <v>51.323219299316399</v>
      </c>
      <c r="L21" s="9">
        <f t="shared" si="2"/>
        <v>-1.8640572140781186E-3</v>
      </c>
      <c r="N21" s="75">
        <v>43878</v>
      </c>
      <c r="O21" s="53">
        <v>42.570259094238203</v>
      </c>
      <c r="P21" s="9">
        <f t="shared" si="3"/>
        <v>-9.0450534623232048E-4</v>
      </c>
      <c r="R21" s="75">
        <v>43878</v>
      </c>
      <c r="S21" s="53">
        <v>22.230247497558501</v>
      </c>
      <c r="T21" s="9">
        <f t="shared" si="4"/>
        <v>-2.0459488595569786E-2</v>
      </c>
      <c r="V21" s="75">
        <v>43878</v>
      </c>
      <c r="W21" s="53">
        <v>29.380264282226499</v>
      </c>
      <c r="X21" s="9">
        <f t="shared" si="5"/>
        <v>1.0769842132254848E-2</v>
      </c>
    </row>
    <row r="22" spans="2:24">
      <c r="B22" s="75">
        <v>43885</v>
      </c>
      <c r="C22" s="53">
        <v>16263.099609375</v>
      </c>
      <c r="D22" s="9">
        <f t="shared" si="0"/>
        <v>-8.8570089423319454E-2</v>
      </c>
      <c r="E22"/>
      <c r="F22" s="75">
        <v>43885</v>
      </c>
      <c r="G22" s="53">
        <v>161.52470397949199</v>
      </c>
      <c r="H22" s="9">
        <f t="shared" si="1"/>
        <v>-9.3199072064562016E-2</v>
      </c>
      <c r="J22" s="75">
        <v>43885</v>
      </c>
      <c r="K22" s="53">
        <v>48.336845397949197</v>
      </c>
      <c r="L22" s="9">
        <f t="shared" si="2"/>
        <v>-5.8187579464778039E-2</v>
      </c>
      <c r="N22" s="75">
        <v>43885</v>
      </c>
      <c r="O22" s="53">
        <v>39.400859832763601</v>
      </c>
      <c r="P22" s="9">
        <f t="shared" si="3"/>
        <v>-7.4451021180267474E-2</v>
      </c>
      <c r="R22" s="75">
        <v>43885</v>
      </c>
      <c r="S22" s="53">
        <v>20.926897048950099</v>
      </c>
      <c r="T22" s="9">
        <f t="shared" si="4"/>
        <v>-5.8629596847787901E-2</v>
      </c>
      <c r="V22" s="75">
        <v>43885</v>
      </c>
      <c r="W22" s="53">
        <v>27.612472534179599</v>
      </c>
      <c r="X22" s="9">
        <f t="shared" si="5"/>
        <v>-6.016936168665854E-2</v>
      </c>
    </row>
    <row r="23" spans="2:24">
      <c r="B23" s="75">
        <v>43892</v>
      </c>
      <c r="C23" s="53">
        <v>16175</v>
      </c>
      <c r="D23" s="9">
        <f t="shared" si="0"/>
        <v>-5.4171474990053481E-3</v>
      </c>
      <c r="E23"/>
      <c r="F23" s="75">
        <v>43892</v>
      </c>
      <c r="G23" s="53">
        <v>166.20893859863199</v>
      </c>
      <c r="H23" s="9">
        <f t="shared" si="1"/>
        <v>2.9000112699384628E-2</v>
      </c>
      <c r="J23" s="75">
        <v>43892</v>
      </c>
      <c r="K23" s="53">
        <v>52.830284118652301</v>
      </c>
      <c r="L23" s="9">
        <f t="shared" si="2"/>
        <v>9.2960942811004088E-2</v>
      </c>
      <c r="N23" s="75">
        <v>43892</v>
      </c>
      <c r="O23" s="53">
        <v>40.5279731750488</v>
      </c>
      <c r="P23" s="9">
        <f t="shared" si="3"/>
        <v>2.8606313341110301E-2</v>
      </c>
      <c r="R23" s="75">
        <v>43892</v>
      </c>
      <c r="S23" s="53">
        <v>20.943193435668899</v>
      </c>
      <c r="T23" s="9">
        <f t="shared" si="4"/>
        <v>7.7872924402888621E-4</v>
      </c>
      <c r="V23" s="75">
        <v>43892</v>
      </c>
      <c r="W23" s="53">
        <v>29.9234924316406</v>
      </c>
      <c r="X23" s="9">
        <f t="shared" si="5"/>
        <v>8.3694783022431052E-2</v>
      </c>
    </row>
    <row r="24" spans="2:24">
      <c r="B24" s="75">
        <v>43899</v>
      </c>
      <c r="C24" s="53">
        <v>13716.2998046875</v>
      </c>
      <c r="D24" s="9">
        <f t="shared" si="0"/>
        <v>-0.15200619445517771</v>
      </c>
      <c r="E24"/>
      <c r="F24" s="75">
        <v>43899</v>
      </c>
      <c r="G24" s="53">
        <v>169.95989990234301</v>
      </c>
      <c r="H24" s="9">
        <f t="shared" si="1"/>
        <v>2.2567747170138652E-2</v>
      </c>
      <c r="J24" s="75">
        <v>43899</v>
      </c>
      <c r="K24" s="53">
        <v>51.683807373046797</v>
      </c>
      <c r="L24" s="9">
        <f t="shared" si="2"/>
        <v>-2.1701127766616146E-2</v>
      </c>
      <c r="N24" s="75">
        <v>43899</v>
      </c>
      <c r="O24" s="53">
        <v>37.185169219970703</v>
      </c>
      <c r="P24" s="9">
        <f t="shared" si="3"/>
        <v>-8.248139971470636E-2</v>
      </c>
      <c r="R24" s="75">
        <v>43899</v>
      </c>
      <c r="S24" s="53">
        <v>18.271324157714801</v>
      </c>
      <c r="T24" s="9">
        <f t="shared" si="4"/>
        <v>-0.12757697560122649</v>
      </c>
      <c r="V24" s="75">
        <v>43899</v>
      </c>
      <c r="W24" s="53">
        <v>24.850307464599599</v>
      </c>
      <c r="X24" s="9">
        <f t="shared" si="5"/>
        <v>-0.16953853159455079</v>
      </c>
    </row>
    <row r="25" spans="2:24">
      <c r="B25" s="75">
        <v>43906</v>
      </c>
      <c r="C25" s="53">
        <v>11851.7998046875</v>
      </c>
      <c r="D25" s="9">
        <f t="shared" si="0"/>
        <v>-0.1359331617527646</v>
      </c>
      <c r="E25"/>
      <c r="F25" s="75">
        <v>43906</v>
      </c>
      <c r="G25" s="53">
        <v>152.55107116699199</v>
      </c>
      <c r="H25" s="9">
        <f t="shared" si="1"/>
        <v>-0.10242903617473265</v>
      </c>
      <c r="J25" s="75">
        <v>43906</v>
      </c>
      <c r="K25" s="53">
        <v>52.710086822509702</v>
      </c>
      <c r="L25" s="9">
        <f t="shared" si="2"/>
        <v>1.9856885582274497E-2</v>
      </c>
      <c r="N25" s="75">
        <v>43906</v>
      </c>
      <c r="O25" s="53">
        <v>32.695968627929602</v>
      </c>
      <c r="P25" s="9">
        <f t="shared" si="3"/>
        <v>-0.12072556576211912</v>
      </c>
      <c r="R25" s="75">
        <v>43906</v>
      </c>
      <c r="S25" s="53">
        <v>16.348884582519499</v>
      </c>
      <c r="T25" s="9">
        <f t="shared" si="4"/>
        <v>-0.10521621523438296</v>
      </c>
      <c r="V25" s="75">
        <v>43906</v>
      </c>
      <c r="W25" s="53">
        <v>26.6733379364013</v>
      </c>
      <c r="X25" s="9">
        <f t="shared" si="5"/>
        <v>7.3360479519164468E-2</v>
      </c>
    </row>
    <row r="26" spans="2:24">
      <c r="B26" s="75">
        <v>43913</v>
      </c>
      <c r="C26" s="53">
        <v>12687.7001953125</v>
      </c>
      <c r="D26" s="9">
        <f t="shared" si="0"/>
        <v>7.0529405187420791E-2</v>
      </c>
      <c r="E26"/>
      <c r="F26" s="75">
        <v>43913</v>
      </c>
      <c r="G26" s="53">
        <v>166.01153564453099</v>
      </c>
      <c r="H26" s="9">
        <f t="shared" si="1"/>
        <v>8.8235791296439547E-2</v>
      </c>
      <c r="J26" s="75">
        <v>43913</v>
      </c>
      <c r="K26" s="53">
        <v>51.877971649169901</v>
      </c>
      <c r="L26" s="9">
        <f t="shared" si="2"/>
        <v>-1.5786640157542831E-2</v>
      </c>
      <c r="N26" s="75">
        <v>43913</v>
      </c>
      <c r="O26" s="53">
        <v>31.539951324462798</v>
      </c>
      <c r="P26" s="9">
        <f t="shared" si="3"/>
        <v>-3.5356569998642229E-2</v>
      </c>
      <c r="R26" s="75">
        <v>43913</v>
      </c>
      <c r="S26" s="53">
        <v>15.330644607543899</v>
      </c>
      <c r="T26" s="9">
        <f t="shared" si="4"/>
        <v>-6.2281923261255367E-2</v>
      </c>
      <c r="V26" s="75">
        <v>43913</v>
      </c>
      <c r="W26" s="53">
        <v>25.163351058959901</v>
      </c>
      <c r="X26" s="9">
        <f t="shared" si="5"/>
        <v>-5.6610345545868412E-2</v>
      </c>
    </row>
    <row r="27" spans="2:24">
      <c r="B27" s="75">
        <v>43920</v>
      </c>
      <c r="C27" s="53">
        <v>12938.2998046875</v>
      </c>
      <c r="D27" s="9">
        <f t="shared" si="0"/>
        <v>1.9751381693869474E-2</v>
      </c>
      <c r="E27"/>
      <c r="F27" s="75">
        <v>43920</v>
      </c>
      <c r="G27" s="53">
        <v>161.52470397949199</v>
      </c>
      <c r="H27" s="9">
        <f t="shared" si="1"/>
        <v>-2.7027228244224877E-2</v>
      </c>
      <c r="J27" s="75">
        <v>43920</v>
      </c>
      <c r="K27" s="53">
        <v>53.357284545898402</v>
      </c>
      <c r="L27" s="9">
        <f t="shared" si="2"/>
        <v>2.8515241627650845E-2</v>
      </c>
      <c r="N27" s="75">
        <v>43920</v>
      </c>
      <c r="O27" s="53">
        <v>31.855312347412099</v>
      </c>
      <c r="P27" s="9">
        <f t="shared" si="3"/>
        <v>9.9987796336484802E-3</v>
      </c>
      <c r="R27" s="75">
        <v>43920</v>
      </c>
      <c r="S27" s="53">
        <v>17.456729888916001</v>
      </c>
      <c r="T27" s="9">
        <f t="shared" si="4"/>
        <v>0.13868205387305754</v>
      </c>
      <c r="V27" s="75">
        <v>43920</v>
      </c>
      <c r="W27" s="53">
        <v>25.596090316772401</v>
      </c>
      <c r="X27" s="9">
        <f t="shared" si="5"/>
        <v>1.7197203059264865E-2</v>
      </c>
    </row>
    <row r="28" spans="2:24">
      <c r="B28" s="75">
        <v>43927</v>
      </c>
      <c r="C28" s="53">
        <v>14166.599609375</v>
      </c>
      <c r="D28" s="9">
        <f t="shared" si="0"/>
        <v>9.4935178750649385E-2</v>
      </c>
      <c r="E28"/>
      <c r="F28" s="75">
        <v>43927</v>
      </c>
      <c r="G28" s="53">
        <v>174.08773803710901</v>
      </c>
      <c r="H28" s="9">
        <f t="shared" si="1"/>
        <v>7.7777787224498462E-2</v>
      </c>
      <c r="J28" s="75">
        <v>43927</v>
      </c>
      <c r="K28" s="53">
        <v>54.697925567626903</v>
      </c>
      <c r="L28" s="9">
        <f t="shared" si="2"/>
        <v>2.5125735560535656E-2</v>
      </c>
      <c r="N28" s="75">
        <v>43927</v>
      </c>
      <c r="O28" s="53">
        <v>34.413398742675703</v>
      </c>
      <c r="P28" s="9">
        <f t="shared" si="3"/>
        <v>8.030329030728911E-2</v>
      </c>
      <c r="R28" s="75">
        <v>43927</v>
      </c>
      <c r="S28" s="53">
        <v>18.987112045288001</v>
      </c>
      <c r="T28" s="9">
        <f t="shared" si="4"/>
        <v>8.766717283880876E-2</v>
      </c>
      <c r="V28" s="75">
        <v>43927</v>
      </c>
      <c r="W28" s="53">
        <v>27.133699417114201</v>
      </c>
      <c r="X28" s="9">
        <f t="shared" si="5"/>
        <v>6.0072029802701765E-2</v>
      </c>
    </row>
    <row r="29" spans="2:24">
      <c r="B29" s="75">
        <v>43934</v>
      </c>
      <c r="C29" s="53">
        <v>14359.900390625</v>
      </c>
      <c r="D29" s="9">
        <f t="shared" si="0"/>
        <v>1.3644825616591749E-2</v>
      </c>
      <c r="E29"/>
      <c r="F29" s="75">
        <v>43934</v>
      </c>
      <c r="G29" s="53">
        <v>189.97103881835901</v>
      </c>
      <c r="H29" s="9">
        <f t="shared" si="1"/>
        <v>9.1237332165601925E-2</v>
      </c>
      <c r="J29" s="75">
        <v>43934</v>
      </c>
      <c r="K29" s="53">
        <v>55.215682983398402</v>
      </c>
      <c r="L29" s="9">
        <f t="shared" si="2"/>
        <v>9.4657596316218839E-3</v>
      </c>
      <c r="N29" s="75">
        <v>43934</v>
      </c>
      <c r="O29" s="53">
        <v>39.143424987792898</v>
      </c>
      <c r="P29" s="9">
        <f t="shared" si="3"/>
        <v>0.13744722747339511</v>
      </c>
      <c r="R29" s="75">
        <v>43934</v>
      </c>
      <c r="S29" s="53">
        <v>20.205934524536101</v>
      </c>
      <c r="T29" s="9">
        <f t="shared" si="4"/>
        <v>6.4192093897216695E-2</v>
      </c>
      <c r="V29" s="75">
        <v>43934</v>
      </c>
      <c r="W29" s="53">
        <v>29.693309783935501</v>
      </c>
      <c r="X29" s="9">
        <f t="shared" si="5"/>
        <v>9.4333261656420531E-2</v>
      </c>
    </row>
    <row r="30" spans="2:24">
      <c r="B30" s="75">
        <v>43941</v>
      </c>
      <c r="C30" s="53">
        <v>14420.400390625</v>
      </c>
      <c r="D30" s="9">
        <f t="shared" si="0"/>
        <v>4.2131211466827079E-3</v>
      </c>
      <c r="E30"/>
      <c r="F30" s="75">
        <v>43941</v>
      </c>
      <c r="G30" s="53">
        <v>196.51274108886699</v>
      </c>
      <c r="H30" s="9">
        <f t="shared" si="1"/>
        <v>3.4435260822902825E-2</v>
      </c>
      <c r="J30" s="75">
        <v>43941</v>
      </c>
      <c r="K30" s="53">
        <v>55.613254547119098</v>
      </c>
      <c r="L30" s="9">
        <f t="shared" si="2"/>
        <v>7.200337698262782E-3</v>
      </c>
      <c r="N30" s="75">
        <v>43941</v>
      </c>
      <c r="O30" s="53">
        <v>39.297885894775298</v>
      </c>
      <c r="P30" s="9">
        <f t="shared" si="3"/>
        <v>3.9460243203186529E-3</v>
      </c>
      <c r="R30" s="75">
        <v>43941</v>
      </c>
      <c r="S30" s="53">
        <v>22.452886581420898</v>
      </c>
      <c r="T30" s="9">
        <f t="shared" si="4"/>
        <v>0.11120258031898111</v>
      </c>
      <c r="V30" s="75">
        <v>43941</v>
      </c>
      <c r="W30" s="53">
        <v>30.923116683959901</v>
      </c>
      <c r="X30" s="9">
        <f t="shared" si="5"/>
        <v>4.1416969309690854E-2</v>
      </c>
    </row>
    <row r="31" spans="2:24">
      <c r="B31" s="75">
        <v>43948</v>
      </c>
      <c r="C31" s="53">
        <v>14620.2998046875</v>
      </c>
      <c r="D31" s="9">
        <f t="shared" si="0"/>
        <v>1.3862265169312327E-2</v>
      </c>
      <c r="E31"/>
      <c r="F31" s="75">
        <v>43948</v>
      </c>
      <c r="G31" s="53">
        <v>192.93228149414</v>
      </c>
      <c r="H31" s="9">
        <f t="shared" si="1"/>
        <v>-1.8219987034366558E-2</v>
      </c>
      <c r="J31" s="75">
        <v>43948</v>
      </c>
      <c r="K31" s="53">
        <v>52.580638885497997</v>
      </c>
      <c r="L31" s="9">
        <f t="shared" si="2"/>
        <v>-5.4530447576156105E-2</v>
      </c>
      <c r="N31" s="75">
        <v>43948</v>
      </c>
      <c r="O31" s="53">
        <v>39.095161437988203</v>
      </c>
      <c r="P31" s="9">
        <f t="shared" si="3"/>
        <v>-5.1586606294780069E-3</v>
      </c>
      <c r="R31" s="75">
        <v>43948</v>
      </c>
      <c r="S31" s="53">
        <v>21.507675170898398</v>
      </c>
      <c r="T31" s="9">
        <f t="shared" si="4"/>
        <v>-4.2097545324289554E-2</v>
      </c>
      <c r="V31" s="75">
        <v>43948</v>
      </c>
      <c r="W31" s="53">
        <v>28.6674404144287</v>
      </c>
      <c r="X31" s="9">
        <f t="shared" si="5"/>
        <v>-7.2944661192616445E-2</v>
      </c>
    </row>
    <row r="32" spans="2:24">
      <c r="B32" s="75">
        <v>43955</v>
      </c>
      <c r="C32" s="53">
        <v>14966.599609375</v>
      </c>
      <c r="D32" s="9">
        <f t="shared" si="0"/>
        <v>2.3686231425738002E-2</v>
      </c>
      <c r="E32"/>
      <c r="F32" s="75">
        <v>43955</v>
      </c>
      <c r="G32" s="53">
        <v>180.42312622070301</v>
      </c>
      <c r="H32" s="9">
        <f t="shared" si="1"/>
        <v>-6.483702559551674E-2</v>
      </c>
      <c r="J32" s="75">
        <v>43955</v>
      </c>
      <c r="K32" s="53">
        <v>53.320301055908203</v>
      </c>
      <c r="L32" s="9">
        <f t="shared" si="2"/>
        <v>1.406719633097131E-2</v>
      </c>
      <c r="N32" s="75">
        <v>43955</v>
      </c>
      <c r="O32" s="53">
        <v>39.317180633544901</v>
      </c>
      <c r="P32" s="9">
        <f t="shared" si="3"/>
        <v>5.6789430556223319E-3</v>
      </c>
      <c r="R32" s="75">
        <v>43955</v>
      </c>
      <c r="S32" s="53">
        <v>21.5325508117675</v>
      </c>
      <c r="T32" s="9">
        <f t="shared" si="4"/>
        <v>1.1565936658166631E-3</v>
      </c>
      <c r="V32" s="75">
        <v>43955</v>
      </c>
      <c r="W32" s="53">
        <v>28.630466461181602</v>
      </c>
      <c r="X32" s="9">
        <f t="shared" si="5"/>
        <v>-1.2897542547429808E-3</v>
      </c>
    </row>
    <row r="33" spans="2:24">
      <c r="B33" s="75">
        <v>43962</v>
      </c>
      <c r="C33" s="53">
        <v>14638.900390625</v>
      </c>
      <c r="D33" s="9">
        <f t="shared" si="0"/>
        <v>-2.1895368841478913E-2</v>
      </c>
      <c r="E33"/>
      <c r="F33" s="75">
        <v>43962</v>
      </c>
      <c r="G33" s="53">
        <v>184.02241516113199</v>
      </c>
      <c r="H33" s="9">
        <f t="shared" si="1"/>
        <v>1.9949155165541965E-2</v>
      </c>
      <c r="J33" s="75">
        <v>43962</v>
      </c>
      <c r="K33" s="53">
        <v>53.690135955810497</v>
      </c>
      <c r="L33" s="9">
        <f t="shared" si="2"/>
        <v>6.9360992450981929E-3</v>
      </c>
      <c r="N33" s="75">
        <v>43962</v>
      </c>
      <c r="O33" s="53">
        <v>39.095161437988203</v>
      </c>
      <c r="P33" s="9">
        <f t="shared" si="3"/>
        <v>-5.64687477533099E-3</v>
      </c>
      <c r="R33" s="75">
        <v>43962</v>
      </c>
      <c r="S33" s="53">
        <v>21.126274108886701</v>
      </c>
      <c r="T33" s="9">
        <f t="shared" si="4"/>
        <v>-1.8868024807296324E-2</v>
      </c>
      <c r="V33" s="75">
        <v>43962</v>
      </c>
      <c r="W33" s="53">
        <v>27.779958724975501</v>
      </c>
      <c r="X33" s="9">
        <f t="shared" si="5"/>
        <v>-2.9706387681781354E-2</v>
      </c>
    </row>
    <row r="34" spans="2:24">
      <c r="B34" s="75">
        <v>43969</v>
      </c>
      <c r="C34" s="53">
        <v>14913.599609375</v>
      </c>
      <c r="D34" s="9">
        <f t="shared" si="0"/>
        <v>1.8765017277248663E-2</v>
      </c>
      <c r="E34"/>
      <c r="F34" s="75">
        <v>43969</v>
      </c>
      <c r="G34" s="53">
        <v>195.52381896972599</v>
      </c>
      <c r="H34" s="9">
        <f t="shared" si="1"/>
        <v>6.2500015547145571E-2</v>
      </c>
      <c r="J34" s="75">
        <v>43969</v>
      </c>
      <c r="K34" s="53">
        <v>52.321765899658203</v>
      </c>
      <c r="L34" s="9">
        <f t="shared" si="2"/>
        <v>-2.5486433062462899E-2</v>
      </c>
      <c r="N34" s="75">
        <v>43969</v>
      </c>
      <c r="O34" s="53">
        <v>40.842380523681598</v>
      </c>
      <c r="P34" s="9">
        <f t="shared" si="3"/>
        <v>4.4691440613815914E-2</v>
      </c>
      <c r="R34" s="75">
        <v>43969</v>
      </c>
      <c r="S34" s="53">
        <v>21.19260597229</v>
      </c>
      <c r="T34" s="9">
        <f t="shared" si="4"/>
        <v>3.1397804961452724E-3</v>
      </c>
      <c r="V34" s="75">
        <v>43969</v>
      </c>
      <c r="W34" s="53">
        <v>28.075786590576101</v>
      </c>
      <c r="X34" s="9">
        <f t="shared" si="5"/>
        <v>1.0648967067565795E-2</v>
      </c>
    </row>
    <row r="35" spans="2:24">
      <c r="B35" s="75">
        <v>43976</v>
      </c>
      <c r="C35" s="53">
        <v>15192.7998046875</v>
      </c>
      <c r="D35" s="9">
        <f t="shared" si="0"/>
        <v>1.8721180843355167E-2</v>
      </c>
      <c r="E35"/>
      <c r="F35" s="75">
        <v>43976</v>
      </c>
      <c r="G35" s="53">
        <v>202.06381225585901</v>
      </c>
      <c r="H35" s="9">
        <f t="shared" si="1"/>
        <v>3.3448575833850969E-2</v>
      </c>
      <c r="J35" s="75">
        <v>43976</v>
      </c>
      <c r="K35" s="53">
        <v>53.291637420654297</v>
      </c>
      <c r="L35" s="9">
        <f t="shared" si="2"/>
        <v>1.8536674065170011E-2</v>
      </c>
      <c r="N35" s="75">
        <v>43976</v>
      </c>
      <c r="O35" s="53">
        <v>41.720817565917898</v>
      </c>
      <c r="P35" s="9">
        <f t="shared" si="3"/>
        <v>2.1507978501080771E-2</v>
      </c>
      <c r="R35" s="75">
        <v>43976</v>
      </c>
      <c r="S35" s="53">
        <v>22.212440490722599</v>
      </c>
      <c r="T35" s="9">
        <f t="shared" si="4"/>
        <v>4.8122185622951008E-2</v>
      </c>
      <c r="V35" s="75">
        <v>43976</v>
      </c>
      <c r="W35" s="53">
        <v>28.80611038208</v>
      </c>
      <c r="X35" s="9">
        <f t="shared" si="5"/>
        <v>2.601258522705252E-2</v>
      </c>
    </row>
    <row r="36" spans="2:24">
      <c r="B36" s="75">
        <v>43983</v>
      </c>
      <c r="C36" s="53">
        <v>15854.099609375</v>
      </c>
      <c r="D36" s="9">
        <f t="shared" si="0"/>
        <v>4.3527184797331753E-2</v>
      </c>
      <c r="E36"/>
      <c r="F36" s="75">
        <v>43983</v>
      </c>
      <c r="G36" s="53">
        <v>191.24798583984301</v>
      </c>
      <c r="H36" s="9">
        <f t="shared" si="1"/>
        <v>-5.3526785896331974E-2</v>
      </c>
      <c r="J36" s="75">
        <v>43983</v>
      </c>
      <c r="K36" s="53">
        <v>52.112945556640597</v>
      </c>
      <c r="L36" s="9">
        <f t="shared" si="2"/>
        <v>-2.2117764082003499E-2</v>
      </c>
      <c r="N36" s="75">
        <v>43983</v>
      </c>
      <c r="O36" s="53">
        <v>41.9235229492187</v>
      </c>
      <c r="P36" s="9">
        <f t="shared" si="3"/>
        <v>4.8586148385163508E-3</v>
      </c>
      <c r="R36" s="75">
        <v>43983</v>
      </c>
      <c r="S36" s="53">
        <v>21.9139499664306</v>
      </c>
      <c r="T36" s="9">
        <f t="shared" si="4"/>
        <v>-1.3437988699020686E-2</v>
      </c>
      <c r="V36" s="75">
        <v>43983</v>
      </c>
      <c r="W36" s="53">
        <v>27.8816528320312</v>
      </c>
      <c r="X36" s="9">
        <f t="shared" si="5"/>
        <v>-3.2092411567786527E-2</v>
      </c>
    </row>
    <row r="37" spans="2:24">
      <c r="B37" s="75">
        <v>43990</v>
      </c>
      <c r="C37" s="53">
        <v>15256.599609375</v>
      </c>
      <c r="D37" s="9">
        <f t="shared" si="0"/>
        <v>-3.7687413017556737E-2</v>
      </c>
      <c r="E37"/>
      <c r="F37" s="75">
        <v>43990</v>
      </c>
      <c r="G37" s="53">
        <v>201.16172790527301</v>
      </c>
      <c r="H37" s="9">
        <f t="shared" si="1"/>
        <v>5.1837105744643397E-2</v>
      </c>
      <c r="J37" s="75">
        <v>43990</v>
      </c>
      <c r="K37" s="53">
        <v>53.282356262207003</v>
      </c>
      <c r="L37" s="9">
        <f t="shared" si="2"/>
        <v>2.2439927221066247E-2</v>
      </c>
      <c r="N37" s="75">
        <v>43990</v>
      </c>
      <c r="O37" s="53">
        <v>40.359718322753899</v>
      </c>
      <c r="P37" s="9">
        <f t="shared" si="3"/>
        <v>-3.730136487716007E-2</v>
      </c>
      <c r="R37" s="75">
        <v>43990</v>
      </c>
      <c r="S37" s="53">
        <v>23.1410598754882</v>
      </c>
      <c r="T37" s="9">
        <f t="shared" si="4"/>
        <v>5.5996746863864244E-2</v>
      </c>
      <c r="V37" s="75">
        <v>43990</v>
      </c>
      <c r="W37" s="53">
        <v>28.722906112670898</v>
      </c>
      <c r="X37" s="9">
        <f t="shared" si="5"/>
        <v>3.0172288770242695E-2</v>
      </c>
    </row>
    <row r="38" spans="2:24">
      <c r="B38" s="75">
        <v>43997</v>
      </c>
      <c r="C38" s="53">
        <v>15474.2001953125</v>
      </c>
      <c r="D38" s="9">
        <f t="shared" si="0"/>
        <v>1.4262718528956331E-2</v>
      </c>
      <c r="E38"/>
      <c r="F38" s="75">
        <v>43997</v>
      </c>
      <c r="G38" s="53">
        <v>202.06381225585901</v>
      </c>
      <c r="H38" s="9">
        <f t="shared" si="1"/>
        <v>4.4843736429365233E-3</v>
      </c>
      <c r="J38" s="75">
        <v>43997</v>
      </c>
      <c r="K38" s="53">
        <v>52.632675170898402</v>
      </c>
      <c r="L38" s="9">
        <f t="shared" si="2"/>
        <v>-1.2193174943530338E-2</v>
      </c>
      <c r="N38" s="75">
        <v>43997</v>
      </c>
      <c r="O38" s="53">
        <v>42.242088317871001</v>
      </c>
      <c r="P38" s="9">
        <f t="shared" si="3"/>
        <v>4.6639819932932092E-2</v>
      </c>
      <c r="R38" s="75">
        <v>43997</v>
      </c>
      <c r="S38" s="53">
        <v>25.512384414672798</v>
      </c>
      <c r="T38" s="9">
        <f t="shared" si="4"/>
        <v>0.10247259857342961</v>
      </c>
      <c r="V38" s="75">
        <v>43997</v>
      </c>
      <c r="W38" s="53">
        <v>31.1819648742675</v>
      </c>
      <c r="X38" s="9">
        <f t="shared" si="5"/>
        <v>8.5613160170857627E-2</v>
      </c>
    </row>
    <row r="39" spans="2:24">
      <c r="B39" s="75">
        <v>44004</v>
      </c>
      <c r="C39" s="53">
        <v>15189</v>
      </c>
      <c r="D39" s="9">
        <f t="shared" si="0"/>
        <v>-1.8430690550255036E-2</v>
      </c>
      <c r="E39"/>
      <c r="F39" s="75">
        <v>44004</v>
      </c>
      <c r="G39" s="53">
        <v>202.93882751464801</v>
      </c>
      <c r="H39" s="9">
        <f t="shared" si="1"/>
        <v>4.3303907266731834E-3</v>
      </c>
      <c r="J39" s="75">
        <v>44004</v>
      </c>
      <c r="K39" s="53">
        <v>51.509689331054602</v>
      </c>
      <c r="L39" s="9">
        <f t="shared" si="2"/>
        <v>-2.1336286559584194E-2</v>
      </c>
      <c r="N39" s="75">
        <v>44004</v>
      </c>
      <c r="O39" s="53">
        <v>41.025787353515597</v>
      </c>
      <c r="P39" s="9">
        <f t="shared" si="3"/>
        <v>-2.8793580355278903E-2</v>
      </c>
      <c r="R39" s="75">
        <v>44004</v>
      </c>
      <c r="S39" s="53">
        <v>24.7495803833007</v>
      </c>
      <c r="T39" s="9">
        <f t="shared" si="4"/>
        <v>-2.9899362559517972E-2</v>
      </c>
      <c r="V39" s="75">
        <v>44004</v>
      </c>
      <c r="W39" s="53">
        <v>30.174301147460898</v>
      </c>
      <c r="X39" s="9">
        <f t="shared" si="5"/>
        <v>-3.2315594314525131E-2</v>
      </c>
    </row>
    <row r="40" spans="2:24">
      <c r="B40" s="75">
        <v>44011</v>
      </c>
      <c r="C40" s="53">
        <v>15596.7998046875</v>
      </c>
      <c r="D40" s="9">
        <f t="shared" si="0"/>
        <v>2.6848364256205182E-2</v>
      </c>
      <c r="E40"/>
      <c r="F40" s="75">
        <v>44011</v>
      </c>
      <c r="G40" s="53">
        <v>193.04312133789</v>
      </c>
      <c r="H40" s="9">
        <f t="shared" si="1"/>
        <v>-4.8762015125192071E-2</v>
      </c>
      <c r="J40" s="75">
        <v>44011</v>
      </c>
      <c r="K40" s="53">
        <v>52.038700103759702</v>
      </c>
      <c r="L40" s="9">
        <f t="shared" si="2"/>
        <v>1.0270121594116555E-2</v>
      </c>
      <c r="N40" s="75">
        <v>44011</v>
      </c>
      <c r="O40" s="53">
        <v>42.068325042724602</v>
      </c>
      <c r="P40" s="9">
        <f t="shared" si="3"/>
        <v>2.5411765537259434E-2</v>
      </c>
      <c r="R40" s="75">
        <v>44011</v>
      </c>
      <c r="S40" s="53">
        <v>25.296804428100501</v>
      </c>
      <c r="T40" s="9">
        <f t="shared" si="4"/>
        <v>2.2110437281152029E-2</v>
      </c>
      <c r="V40" s="75">
        <v>44011</v>
      </c>
      <c r="W40" s="53">
        <v>30.784450531005799</v>
      </c>
      <c r="X40" s="9">
        <f t="shared" si="5"/>
        <v>2.0220828994949036E-2</v>
      </c>
    </row>
    <row r="41" spans="2:24">
      <c r="B41" s="75">
        <v>44018</v>
      </c>
      <c r="C41" s="53">
        <v>15713.7998046875</v>
      </c>
      <c r="D41" s="9">
        <f t="shared" si="0"/>
        <v>7.501538871123925E-3</v>
      </c>
      <c r="E41"/>
      <c r="F41" s="75">
        <v>44018</v>
      </c>
      <c r="G41" s="53">
        <v>194.84725952148401</v>
      </c>
      <c r="H41" s="9">
        <f t="shared" si="1"/>
        <v>9.3457781406061091E-3</v>
      </c>
      <c r="J41" s="75">
        <v>44018</v>
      </c>
      <c r="K41" s="53">
        <v>52.567714691162102</v>
      </c>
      <c r="L41" s="9">
        <f t="shared" si="2"/>
        <v>1.0165791734759067E-2</v>
      </c>
      <c r="N41" s="75">
        <v>44018</v>
      </c>
      <c r="O41" s="53">
        <v>44.259586334228501</v>
      </c>
      <c r="P41" s="9">
        <f t="shared" si="3"/>
        <v>5.2088151579090747E-2</v>
      </c>
      <c r="R41" s="75">
        <v>44018</v>
      </c>
      <c r="S41" s="53">
        <v>24.8669528961181</v>
      </c>
      <c r="T41" s="9">
        <f t="shared" si="4"/>
        <v>-1.6992325382604756E-2</v>
      </c>
      <c r="V41" s="75">
        <v>44018</v>
      </c>
      <c r="W41" s="53">
        <v>30.026391983032202</v>
      </c>
      <c r="X41" s="9">
        <f t="shared" si="5"/>
        <v>-2.4624722380868436E-2</v>
      </c>
    </row>
    <row r="42" spans="2:24">
      <c r="B42" s="75">
        <v>44025</v>
      </c>
      <c r="C42" s="53">
        <v>16123.5</v>
      </c>
      <c r="D42" s="9">
        <f t="shared" si="0"/>
        <v>2.6072636816353301E-2</v>
      </c>
      <c r="E42"/>
      <c r="F42" s="75">
        <v>44025</v>
      </c>
      <c r="G42" s="53">
        <v>194.84725952148401</v>
      </c>
      <c r="H42" s="9">
        <f t="shared" si="1"/>
        <v>0</v>
      </c>
      <c r="J42" s="75">
        <v>44025</v>
      </c>
      <c r="K42" s="53">
        <v>54.693069458007798</v>
      </c>
      <c r="L42" s="9">
        <f t="shared" si="2"/>
        <v>4.0430800146672885E-2</v>
      </c>
      <c r="N42" s="75">
        <v>44025</v>
      </c>
      <c r="O42" s="53">
        <v>44.9496040344238</v>
      </c>
      <c r="P42" s="9">
        <f t="shared" si="3"/>
        <v>1.559024286816868E-2</v>
      </c>
      <c r="R42" s="75">
        <v>44025</v>
      </c>
      <c r="S42" s="53">
        <v>26.11616897583</v>
      </c>
      <c r="T42" s="9">
        <f t="shared" si="4"/>
        <v>5.0235993325378869E-2</v>
      </c>
      <c r="V42" s="75">
        <v>44025</v>
      </c>
      <c r="W42" s="53">
        <v>30.821426391601499</v>
      </c>
      <c r="X42" s="9">
        <f t="shared" si="5"/>
        <v>2.6477853516951644E-2</v>
      </c>
    </row>
    <row r="43" spans="2:24" ht="15.6" customHeight="1">
      <c r="B43" s="75">
        <v>44032</v>
      </c>
      <c r="C43" s="53">
        <v>15997.099609375</v>
      </c>
      <c r="D43" s="9">
        <f t="shared" si="0"/>
        <v>-7.8395131717678979E-3</v>
      </c>
      <c r="E43"/>
      <c r="F43" s="75">
        <v>44032</v>
      </c>
      <c r="G43" s="53">
        <v>194.84725952148401</v>
      </c>
      <c r="H43" s="9">
        <f t="shared" si="1"/>
        <v>0</v>
      </c>
      <c r="J43" s="75">
        <v>44032</v>
      </c>
      <c r="K43" s="53">
        <v>54.164054870605398</v>
      </c>
      <c r="L43" s="9">
        <f t="shared" si="2"/>
        <v>-9.6724245438184475E-3</v>
      </c>
      <c r="N43" s="75">
        <v>44032</v>
      </c>
      <c r="O43" s="53">
        <v>44.4951782226562</v>
      </c>
      <c r="P43" s="9">
        <f t="shared" si="3"/>
        <v>-1.0109673300338406E-2</v>
      </c>
      <c r="R43" s="75">
        <v>44032</v>
      </c>
      <c r="S43" s="53">
        <v>24.992712020873999</v>
      </c>
      <c r="T43" s="9">
        <f t="shared" si="4"/>
        <v>-4.301767828182379E-2</v>
      </c>
      <c r="V43" s="75">
        <v>44032</v>
      </c>
      <c r="W43" s="53">
        <v>32.253929138183501</v>
      </c>
      <c r="X43" s="9">
        <f t="shared" si="5"/>
        <v>4.6477496803079221E-2</v>
      </c>
    </row>
    <row r="44" spans="2:24">
      <c r="B44" s="75">
        <v>44039</v>
      </c>
      <c r="C44" s="53">
        <v>16169.2001953125</v>
      </c>
      <c r="D44" s="9">
        <f t="shared" si="0"/>
        <v>1.0758236814168542E-2</v>
      </c>
      <c r="E44"/>
      <c r="F44" s="75">
        <v>44039</v>
      </c>
      <c r="G44" s="53">
        <v>188.53274536132801</v>
      </c>
      <c r="H44" s="9">
        <f t="shared" si="1"/>
        <v>-3.2407508197259238E-2</v>
      </c>
      <c r="J44" s="75">
        <v>44039</v>
      </c>
      <c r="K44" s="53">
        <v>54.535285949707003</v>
      </c>
      <c r="L44" s="9">
        <f t="shared" si="2"/>
        <v>6.8538273212457312E-3</v>
      </c>
      <c r="N44" s="75">
        <v>44039</v>
      </c>
      <c r="O44" s="53">
        <v>45.036617279052699</v>
      </c>
      <c r="P44" s="9">
        <f t="shared" si="3"/>
        <v>1.2168488317702897E-2</v>
      </c>
      <c r="R44" s="75">
        <v>44039</v>
      </c>
      <c r="S44" s="53">
        <v>24.98433303833</v>
      </c>
      <c r="T44" s="9">
        <f t="shared" si="4"/>
        <v>-3.3525703561099185E-4</v>
      </c>
      <c r="V44" s="75">
        <v>44039</v>
      </c>
      <c r="W44" s="53">
        <v>31.9383525848388</v>
      </c>
      <c r="X44" s="9">
        <f t="shared" si="5"/>
        <v>-9.7841274466964334E-3</v>
      </c>
    </row>
    <row r="45" spans="2:24">
      <c r="B45" s="75">
        <v>44046</v>
      </c>
      <c r="C45" s="53">
        <v>16544.5</v>
      </c>
      <c r="D45" s="9">
        <f t="shared" si="0"/>
        <v>2.3210783474392205E-2</v>
      </c>
      <c r="E45"/>
      <c r="F45" s="75">
        <v>44046</v>
      </c>
      <c r="G45" s="53">
        <v>199.54205322265599</v>
      </c>
      <c r="H45" s="9">
        <f t="shared" si="1"/>
        <v>5.8394672184019614E-2</v>
      </c>
      <c r="J45" s="75">
        <v>44046</v>
      </c>
      <c r="K45" s="53">
        <v>54.331111907958899</v>
      </c>
      <c r="L45" s="9">
        <f t="shared" si="2"/>
        <v>-3.7438887170481161E-3</v>
      </c>
      <c r="N45" s="75">
        <v>44046</v>
      </c>
      <c r="O45" s="53">
        <v>44.649871826171797</v>
      </c>
      <c r="P45" s="9">
        <f t="shared" si="3"/>
        <v>-8.5873557173394843E-3</v>
      </c>
      <c r="R45" s="75">
        <v>44046</v>
      </c>
      <c r="S45" s="53">
        <v>25.0010967254638</v>
      </c>
      <c r="T45" s="9">
        <f t="shared" si="4"/>
        <v>6.7096796652843516E-4</v>
      </c>
      <c r="V45" s="75">
        <v>44046</v>
      </c>
      <c r="W45" s="53">
        <v>33.015026092529297</v>
      </c>
      <c r="X45" s="9">
        <f t="shared" si="5"/>
        <v>3.3710990722846335E-2</v>
      </c>
    </row>
    <row r="46" spans="2:24">
      <c r="B46" s="75">
        <v>44053</v>
      </c>
      <c r="C46" s="53">
        <v>16514.599609375</v>
      </c>
      <c r="D46" s="9">
        <f t="shared" si="0"/>
        <v>-1.8072707319652936E-3</v>
      </c>
      <c r="E46"/>
      <c r="F46" s="75">
        <v>44053</v>
      </c>
      <c r="G46" s="53">
        <v>197.22915649414</v>
      </c>
      <c r="H46" s="9">
        <f t="shared" si="1"/>
        <v>-1.1591024003021477E-2</v>
      </c>
      <c r="J46" s="75">
        <v>44053</v>
      </c>
      <c r="K46" s="53">
        <v>55.992412567138601</v>
      </c>
      <c r="L46" s="9">
        <f t="shared" si="2"/>
        <v>3.0577335910114911E-2</v>
      </c>
      <c r="N46" s="75">
        <v>44053</v>
      </c>
      <c r="O46" s="53">
        <v>44.040744781494098</v>
      </c>
      <c r="P46" s="9">
        <f t="shared" si="3"/>
        <v>-1.3642302200756906E-2</v>
      </c>
      <c r="R46" s="75">
        <v>44053</v>
      </c>
      <c r="S46" s="53">
        <v>24.992712020873999</v>
      </c>
      <c r="T46" s="9">
        <f t="shared" si="4"/>
        <v>-3.3537347108703042E-4</v>
      </c>
      <c r="V46" s="75">
        <v>44053</v>
      </c>
      <c r="W46" s="53">
        <v>33.200660705566399</v>
      </c>
      <c r="X46" s="9">
        <f t="shared" si="5"/>
        <v>5.6227310715077916E-3</v>
      </c>
    </row>
    <row r="47" spans="2:24">
      <c r="B47" s="75">
        <v>44060</v>
      </c>
      <c r="C47" s="53">
        <v>16517.900390625</v>
      </c>
      <c r="D47" s="9">
        <f t="shared" si="0"/>
        <v>1.9987049810921143E-4</v>
      </c>
      <c r="E47"/>
      <c r="F47" s="75">
        <v>44060</v>
      </c>
      <c r="G47" s="53">
        <v>194.99792480468699</v>
      </c>
      <c r="H47" s="9">
        <f t="shared" si="1"/>
        <v>-1.1312889681801663E-2</v>
      </c>
      <c r="J47" s="75">
        <v>44060</v>
      </c>
      <c r="K47" s="53">
        <v>56.187313079833899</v>
      </c>
      <c r="L47" s="9">
        <f t="shared" si="2"/>
        <v>3.4808379164159575E-3</v>
      </c>
      <c r="N47" s="75">
        <v>44060</v>
      </c>
      <c r="O47" s="53">
        <v>43.895717620849602</v>
      </c>
      <c r="P47" s="9">
        <f t="shared" si="3"/>
        <v>-3.293022435565951E-3</v>
      </c>
      <c r="R47" s="75">
        <v>44060</v>
      </c>
      <c r="S47" s="53">
        <v>25.646671295166001</v>
      </c>
      <c r="T47" s="9">
        <f t="shared" si="4"/>
        <v>2.6165998861820805E-2</v>
      </c>
      <c r="V47" s="75">
        <v>44060</v>
      </c>
      <c r="W47" s="53">
        <v>33.265640258788999</v>
      </c>
      <c r="X47" s="9">
        <f t="shared" si="5"/>
        <v>1.9571765091923599E-3</v>
      </c>
    </row>
    <row r="48" spans="2:24">
      <c r="B48" s="75">
        <v>44067</v>
      </c>
      <c r="C48" s="53">
        <v>16705.80078125</v>
      </c>
      <c r="D48" s="9">
        <f t="shared" si="0"/>
        <v>1.1375561432229286E-2</v>
      </c>
      <c r="E48"/>
      <c r="F48" s="75">
        <v>44067</v>
      </c>
      <c r="G48" s="53">
        <v>195.28810119628901</v>
      </c>
      <c r="H48" s="9">
        <f t="shared" si="1"/>
        <v>1.4880998958972658E-3</v>
      </c>
      <c r="J48" s="75">
        <v>44067</v>
      </c>
      <c r="K48" s="53">
        <v>55.073596954345703</v>
      </c>
      <c r="L48" s="9">
        <f t="shared" si="2"/>
        <v>-1.9821487528790871E-2</v>
      </c>
      <c r="N48" s="75">
        <v>44067</v>
      </c>
      <c r="O48" s="53">
        <v>42.416416168212798</v>
      </c>
      <c r="P48" s="9">
        <f t="shared" si="3"/>
        <v>-3.3700359233543198E-2</v>
      </c>
      <c r="R48" s="75">
        <v>44067</v>
      </c>
      <c r="S48" s="53">
        <v>24.280075073242099</v>
      </c>
      <c r="T48" s="9">
        <f t="shared" si="4"/>
        <v>-5.3285520221935556E-2</v>
      </c>
      <c r="V48" s="75">
        <v>44067</v>
      </c>
      <c r="W48" s="53">
        <v>31.632055282592699</v>
      </c>
      <c r="X48" s="9">
        <f t="shared" si="5"/>
        <v>-4.9107275960657226E-2</v>
      </c>
    </row>
    <row r="49" spans="2:24">
      <c r="B49" s="75">
        <v>44074</v>
      </c>
      <c r="C49" s="53">
        <v>16218</v>
      </c>
      <c r="D49" s="9">
        <f t="shared" si="0"/>
        <v>-2.9199485115223633E-2</v>
      </c>
      <c r="E49"/>
      <c r="F49" s="75">
        <v>44074</v>
      </c>
      <c r="G49" s="53">
        <v>195.46954345703099</v>
      </c>
      <c r="H49" s="9">
        <f t="shared" si="1"/>
        <v>9.2910043996807801E-4</v>
      </c>
      <c r="J49" s="75">
        <v>44074</v>
      </c>
      <c r="K49" s="53">
        <v>54.5260200500488</v>
      </c>
      <c r="L49" s="9">
        <f t="shared" si="2"/>
        <v>-9.9426392060577573E-3</v>
      </c>
      <c r="N49" s="75">
        <v>44074</v>
      </c>
      <c r="O49" s="53">
        <v>43.354282379150298</v>
      </c>
      <c r="P49" s="9">
        <f t="shared" si="3"/>
        <v>2.2110925336505494E-2</v>
      </c>
      <c r="R49" s="75">
        <v>44074</v>
      </c>
      <c r="S49" s="53">
        <v>23.7434997558593</v>
      </c>
      <c r="T49" s="9">
        <f t="shared" si="4"/>
        <v>-2.2099409320778141E-2</v>
      </c>
      <c r="V49" s="75">
        <v>44074</v>
      </c>
      <c r="W49" s="53">
        <v>30.592500686645501</v>
      </c>
      <c r="X49" s="9">
        <f t="shared" si="5"/>
        <v>-3.2863959886895833E-2</v>
      </c>
    </row>
    <row r="50" spans="2:24">
      <c r="B50" s="75">
        <v>44081</v>
      </c>
      <c r="C50" s="53">
        <v>16222.5</v>
      </c>
      <c r="D50" s="9">
        <f t="shared" si="0"/>
        <v>2.7746947835738389E-4</v>
      </c>
      <c r="E50"/>
      <c r="F50" s="75">
        <v>44081</v>
      </c>
      <c r="G50" s="53">
        <v>198.072662353515</v>
      </c>
      <c r="H50" s="9">
        <f t="shared" si="1"/>
        <v>1.3317260839954104E-2</v>
      </c>
      <c r="J50" s="75">
        <v>44081</v>
      </c>
      <c r="K50" s="53">
        <v>56.318862915038999</v>
      </c>
      <c r="L50" s="9">
        <f t="shared" si="2"/>
        <v>3.2880501150543751E-2</v>
      </c>
      <c r="N50" s="75">
        <v>44081</v>
      </c>
      <c r="O50" s="53">
        <v>43.5573120117187</v>
      </c>
      <c r="P50" s="9">
        <f t="shared" si="3"/>
        <v>4.6830352488094196E-3</v>
      </c>
      <c r="R50" s="75">
        <v>44081</v>
      </c>
      <c r="S50" s="53">
        <v>25.9149570465087</v>
      </c>
      <c r="T50" s="9">
        <f t="shared" si="4"/>
        <v>9.1454811336881381E-2</v>
      </c>
      <c r="V50" s="75">
        <v>44081</v>
      </c>
      <c r="W50" s="53">
        <v>35.168392181396399</v>
      </c>
      <c r="X50" s="9">
        <f t="shared" si="5"/>
        <v>0.14957559506563656</v>
      </c>
    </row>
    <row r="51" spans="2:24">
      <c r="B51" s="75">
        <v>44088</v>
      </c>
      <c r="C51" s="53">
        <v>16199</v>
      </c>
      <c r="D51" s="9">
        <f t="shared" si="0"/>
        <v>-1.4486053321004499E-3</v>
      </c>
      <c r="E51"/>
      <c r="F51" s="75">
        <v>44088</v>
      </c>
      <c r="G51" s="53">
        <v>186.07295227050699</v>
      </c>
      <c r="H51" s="9">
        <f t="shared" si="1"/>
        <v>-6.0582363767046399E-2</v>
      </c>
      <c r="J51" s="75">
        <v>44088</v>
      </c>
      <c r="K51" s="53">
        <v>56.300224304199197</v>
      </c>
      <c r="L51" s="9">
        <f t="shared" si="2"/>
        <v>-3.3094792534993367E-4</v>
      </c>
      <c r="N51" s="75">
        <v>44088</v>
      </c>
      <c r="O51" s="53">
        <v>43.293674468994098</v>
      </c>
      <c r="P51" s="9">
        <f t="shared" si="3"/>
        <v>-6.0526586822821082E-3</v>
      </c>
      <c r="R51" s="75">
        <v>44088</v>
      </c>
      <c r="S51" s="53">
        <v>29.344011306762599</v>
      </c>
      <c r="T51" s="9">
        <f t="shared" si="4"/>
        <v>0.13231950391042102</v>
      </c>
      <c r="V51" s="75">
        <v>44088</v>
      </c>
      <c r="W51" s="53">
        <v>34.19380569458</v>
      </c>
      <c r="X51" s="9">
        <f t="shared" si="5"/>
        <v>-2.7712000076362431E-2</v>
      </c>
    </row>
    <row r="52" spans="2:24">
      <c r="B52" s="75">
        <v>44095</v>
      </c>
      <c r="C52" s="53">
        <v>16065.400390625</v>
      </c>
      <c r="D52" s="9">
        <f t="shared" si="0"/>
        <v>-8.2473985662695481E-3</v>
      </c>
      <c r="E52"/>
      <c r="F52" s="75">
        <v>44095</v>
      </c>
      <c r="G52" s="53">
        <v>196.51263427734301</v>
      </c>
      <c r="H52" s="9">
        <f t="shared" si="1"/>
        <v>5.610531718580547E-2</v>
      </c>
      <c r="J52" s="75">
        <v>44095</v>
      </c>
      <c r="K52" s="53">
        <v>59.644878387451101</v>
      </c>
      <c r="L52" s="9">
        <f t="shared" si="2"/>
        <v>5.9407473497444574E-2</v>
      </c>
      <c r="N52" s="75">
        <v>44095</v>
      </c>
      <c r="O52" s="53">
        <v>45.433677673339801</v>
      </c>
      <c r="P52" s="9">
        <f t="shared" si="3"/>
        <v>4.9429927826484699E-2</v>
      </c>
      <c r="R52" s="75">
        <v>44095</v>
      </c>
      <c r="S52" s="53">
        <v>30.333318710327099</v>
      </c>
      <c r="T52" s="9">
        <f t="shared" si="4"/>
        <v>3.3714116083935153E-2</v>
      </c>
      <c r="V52" s="75">
        <v>44095</v>
      </c>
      <c r="W52" s="53">
        <v>35.530368804931598</v>
      </c>
      <c r="X52" s="9">
        <f t="shared" si="5"/>
        <v>3.9087872297392634E-2</v>
      </c>
    </row>
    <row r="53" spans="2:24" ht="14.4" customHeight="1">
      <c r="B53" s="75">
        <v>44102</v>
      </c>
      <c r="C53" s="53">
        <v>16199.2998046875</v>
      </c>
      <c r="D53" s="9">
        <f t="shared" si="0"/>
        <v>8.334645312708E-3</v>
      </c>
      <c r="E53"/>
      <c r="F53" s="75">
        <v>44102</v>
      </c>
      <c r="G53" s="53">
        <v>187.351791381835</v>
      </c>
      <c r="H53" s="9">
        <f t="shared" si="1"/>
        <v>-4.6617068308081877E-2</v>
      </c>
      <c r="J53" s="75">
        <v>44102</v>
      </c>
      <c r="K53" s="53">
        <v>59.4492378234863</v>
      </c>
      <c r="L53" s="9">
        <f t="shared" si="2"/>
        <v>-3.2800899130672745E-3</v>
      </c>
      <c r="N53" s="75">
        <v>44102</v>
      </c>
      <c r="O53" s="53">
        <v>44.755851745605398</v>
      </c>
      <c r="P53" s="9">
        <f t="shared" si="3"/>
        <v>-1.4919019600567074E-2</v>
      </c>
      <c r="R53" s="75">
        <v>44102</v>
      </c>
      <c r="S53" s="53">
        <v>30.174026489257798</v>
      </c>
      <c r="T53" s="9">
        <f t="shared" si="4"/>
        <v>-5.2513944349606989E-3</v>
      </c>
      <c r="V53" s="75">
        <v>44102</v>
      </c>
      <c r="W53" s="53">
        <v>35.864517211913999</v>
      </c>
      <c r="X53" s="9">
        <f t="shared" si="5"/>
        <v>9.4045859421538758E-3</v>
      </c>
    </row>
    <row r="54" spans="2:24">
      <c r="B54" s="75">
        <v>44109</v>
      </c>
      <c r="C54" s="53">
        <v>16562.80078125</v>
      </c>
      <c r="D54" s="9">
        <f t="shared" si="0"/>
        <v>2.2439301756568275E-2</v>
      </c>
      <c r="E54"/>
      <c r="F54" s="75">
        <v>44109</v>
      </c>
      <c r="G54" s="53">
        <v>185.93690490722599</v>
      </c>
      <c r="H54" s="9">
        <f t="shared" si="1"/>
        <v>-7.5520306700744833E-3</v>
      </c>
      <c r="J54" s="75">
        <v>44109</v>
      </c>
      <c r="K54" s="53">
        <v>59.076576232910099</v>
      </c>
      <c r="L54" s="9">
        <f t="shared" si="2"/>
        <v>-6.2685680123046872E-3</v>
      </c>
      <c r="N54" s="75">
        <v>44109</v>
      </c>
      <c r="O54" s="53">
        <v>44.107067108154297</v>
      </c>
      <c r="P54" s="9">
        <f t="shared" si="3"/>
        <v>-1.4496085140750403E-2</v>
      </c>
      <c r="R54" s="75">
        <v>44109</v>
      </c>
      <c r="S54" s="53">
        <v>29.210248947143501</v>
      </c>
      <c r="T54" s="9">
        <f t="shared" si="4"/>
        <v>-3.1940634189388306E-2</v>
      </c>
      <c r="V54" s="75">
        <v>44109</v>
      </c>
      <c r="W54" s="53">
        <v>36.495670318603501</v>
      </c>
      <c r="X54" s="9">
        <f t="shared" si="5"/>
        <v>1.7598260223612883E-2</v>
      </c>
    </row>
    <row r="55" spans="2:24">
      <c r="B55" s="75">
        <v>44116</v>
      </c>
      <c r="C55" s="53">
        <v>16438.80078125</v>
      </c>
      <c r="D55" s="9">
        <f t="shared" si="0"/>
        <v>-7.4866564923231627E-3</v>
      </c>
      <c r="E55"/>
      <c r="F55" s="75">
        <v>44116</v>
      </c>
      <c r="G55" s="53">
        <v>194.09996032714801</v>
      </c>
      <c r="H55" s="9">
        <f t="shared" si="1"/>
        <v>4.3902287305443766E-2</v>
      </c>
      <c r="J55" s="75">
        <v>44116</v>
      </c>
      <c r="K55" s="53">
        <v>59.272209167480398</v>
      </c>
      <c r="L55" s="9">
        <f t="shared" si="2"/>
        <v>3.3115144283075715E-3</v>
      </c>
      <c r="N55" s="75">
        <v>44116</v>
      </c>
      <c r="O55" s="53">
        <v>43.332424163818303</v>
      </c>
      <c r="P55" s="9">
        <f t="shared" si="3"/>
        <v>-1.7562785175366691E-2</v>
      </c>
      <c r="R55" s="75">
        <v>44116</v>
      </c>
      <c r="S55" s="53">
        <v>29.294916152954102</v>
      </c>
      <c r="T55" s="9">
        <f t="shared" si="4"/>
        <v>2.8985444788165449E-3</v>
      </c>
      <c r="V55" s="75">
        <v>44116</v>
      </c>
      <c r="W55" s="53">
        <v>35.641754150390597</v>
      </c>
      <c r="X55" s="9">
        <f t="shared" si="5"/>
        <v>-2.339773898542763E-2</v>
      </c>
    </row>
    <row r="56" spans="2:24">
      <c r="B56" s="75">
        <v>44123</v>
      </c>
      <c r="C56" s="53">
        <v>16304.099609375</v>
      </c>
      <c r="D56" s="9">
        <f t="shared" si="0"/>
        <v>-8.1940996589385806E-3</v>
      </c>
      <c r="E56"/>
      <c r="F56" s="75">
        <v>44123</v>
      </c>
      <c r="G56" s="53">
        <v>186.93461608886699</v>
      </c>
      <c r="H56" s="9">
        <f t="shared" si="1"/>
        <v>-3.6915742930622497E-2</v>
      </c>
      <c r="J56" s="75">
        <v>44123</v>
      </c>
      <c r="K56" s="53">
        <v>58.368503570556598</v>
      </c>
      <c r="L56" s="9">
        <f t="shared" si="2"/>
        <v>-1.524670009127338E-2</v>
      </c>
      <c r="N56" s="75">
        <v>44123</v>
      </c>
      <c r="O56" s="53">
        <v>41.850883483886697</v>
      </c>
      <c r="P56" s="9">
        <f t="shared" si="3"/>
        <v>-3.4190117643329576E-2</v>
      </c>
      <c r="R56" s="75">
        <v>44123</v>
      </c>
      <c r="S56" s="53">
        <v>28.913923263549801</v>
      </c>
      <c r="T56" s="9">
        <f t="shared" si="4"/>
        <v>-1.3005426860246527E-2</v>
      </c>
      <c r="V56" s="75">
        <v>44123</v>
      </c>
      <c r="W56" s="53">
        <v>34.986927032470703</v>
      </c>
      <c r="X56" s="9">
        <f t="shared" si="5"/>
        <v>-1.837247165660949E-2</v>
      </c>
    </row>
    <row r="57" spans="2:24">
      <c r="B57" s="75">
        <v>44130</v>
      </c>
      <c r="C57" s="53">
        <v>15580.599609375</v>
      </c>
      <c r="D57" s="9">
        <f t="shared" si="0"/>
        <v>-4.4375342235027926E-2</v>
      </c>
      <c r="E57"/>
      <c r="F57" s="75">
        <v>44130</v>
      </c>
      <c r="G57" s="53">
        <v>183.805419921875</v>
      </c>
      <c r="H57" s="9">
        <f t="shared" si="1"/>
        <v>-1.6739522258972128E-2</v>
      </c>
      <c r="J57" s="75">
        <v>44130</v>
      </c>
      <c r="K57" s="53">
        <v>58.107994079589801</v>
      </c>
      <c r="L57" s="9">
        <f t="shared" si="2"/>
        <v>-4.4631860512217569E-3</v>
      </c>
      <c r="N57" s="75">
        <v>44130</v>
      </c>
      <c r="O57" s="53">
        <v>39.943290710449197</v>
      </c>
      <c r="P57" s="9">
        <f t="shared" si="3"/>
        <v>-4.5580704984924725E-2</v>
      </c>
      <c r="R57" s="75">
        <v>44130</v>
      </c>
      <c r="S57" s="53">
        <v>27.813238143920898</v>
      </c>
      <c r="T57" s="9">
        <f t="shared" si="4"/>
        <v>-3.8067650301074063E-2</v>
      </c>
      <c r="V57" s="75">
        <v>44130</v>
      </c>
      <c r="W57" s="53">
        <v>33.850803375244098</v>
      </c>
      <c r="X57" s="9">
        <f t="shared" si="5"/>
        <v>-3.2472804947178968E-2</v>
      </c>
    </row>
    <row r="58" spans="2:24">
      <c r="B58" s="75">
        <v>44137</v>
      </c>
      <c r="C58" s="53">
        <v>16282.7998046875</v>
      </c>
      <c r="D58" s="9">
        <f t="shared" si="0"/>
        <v>4.506888135999465E-2</v>
      </c>
      <c r="E58"/>
      <c r="F58" s="75">
        <v>44137</v>
      </c>
      <c r="G58" s="53">
        <v>186.67712402343699</v>
      </c>
      <c r="H58" s="9">
        <f t="shared" si="1"/>
        <v>1.5623609482150025E-2</v>
      </c>
      <c r="J58" s="75">
        <v>44137</v>
      </c>
      <c r="K58" s="53">
        <v>61.305568695068303</v>
      </c>
      <c r="L58" s="9">
        <f t="shared" si="2"/>
        <v>5.5028136250905968E-2</v>
      </c>
      <c r="N58" s="75">
        <v>44137</v>
      </c>
      <c r="O58" s="53">
        <v>44.155483245849602</v>
      </c>
      <c r="P58" s="9">
        <f t="shared" si="3"/>
        <v>0.1054543193733033</v>
      </c>
      <c r="R58" s="75">
        <v>44137</v>
      </c>
      <c r="S58" s="53">
        <v>29.464260101318299</v>
      </c>
      <c r="T58" s="9">
        <f t="shared" si="4"/>
        <v>5.9361011790648455E-2</v>
      </c>
      <c r="V58" s="75">
        <v>44137</v>
      </c>
      <c r="W58" s="53">
        <v>35.918174743652301</v>
      </c>
      <c r="X58" s="9">
        <f t="shared" si="5"/>
        <v>6.1073037041127431E-2</v>
      </c>
    </row>
    <row r="59" spans="2:24">
      <c r="B59" s="75">
        <v>44144</v>
      </c>
      <c r="C59" s="53">
        <v>16675.599609375</v>
      </c>
      <c r="D59" s="9">
        <f t="shared" si="0"/>
        <v>2.4123603397397275E-2</v>
      </c>
      <c r="E59"/>
      <c r="F59" s="75">
        <v>44144</v>
      </c>
      <c r="G59" s="53">
        <v>189.71438598632801</v>
      </c>
      <c r="H59" s="9">
        <f t="shared" si="1"/>
        <v>1.6270134751538601E-2</v>
      </c>
      <c r="J59" s="75">
        <v>44144</v>
      </c>
      <c r="K59" s="53">
        <v>57.780750274658203</v>
      </c>
      <c r="L59" s="9">
        <f t="shared" si="2"/>
        <v>-5.7495893039381407E-2</v>
      </c>
      <c r="N59" s="75">
        <v>44144</v>
      </c>
      <c r="O59" s="53">
        <v>43.826267242431598</v>
      </c>
      <c r="P59" s="9">
        <f t="shared" si="3"/>
        <v>-7.4558351356951436E-3</v>
      </c>
      <c r="R59" s="75">
        <v>44144</v>
      </c>
      <c r="S59" s="53">
        <v>28.109580993652301</v>
      </c>
      <c r="T59" s="9">
        <f t="shared" si="4"/>
        <v>-4.5977027863848718E-2</v>
      </c>
      <c r="V59" s="75">
        <v>44144</v>
      </c>
      <c r="W59" s="53">
        <v>33.739063262939403</v>
      </c>
      <c r="X59" s="9">
        <f t="shared" si="5"/>
        <v>-6.0668769954631552E-2</v>
      </c>
    </row>
    <row r="60" spans="2:24">
      <c r="B60" s="75">
        <v>44151</v>
      </c>
      <c r="C60" s="53">
        <v>17019.099609375</v>
      </c>
      <c r="D60" s="9">
        <f t="shared" si="0"/>
        <v>2.0598959440528031E-2</v>
      </c>
      <c r="E60"/>
      <c r="F60" s="75">
        <v>44151</v>
      </c>
      <c r="G60" s="53">
        <v>192.86105346679599</v>
      </c>
      <c r="H60" s="9">
        <f t="shared" si="1"/>
        <v>1.658634090455724E-2</v>
      </c>
      <c r="J60" s="75">
        <v>44151</v>
      </c>
      <c r="K60" s="53">
        <v>56.733589172363203</v>
      </c>
      <c r="L60" s="9">
        <f t="shared" si="2"/>
        <v>-1.8123009779508981E-2</v>
      </c>
      <c r="N60" s="75">
        <v>44151</v>
      </c>
      <c r="O60" s="53">
        <v>42.470611572265597</v>
      </c>
      <c r="P60" s="9">
        <f t="shared" si="3"/>
        <v>-3.0932492212192964E-2</v>
      </c>
      <c r="R60" s="75">
        <v>44151</v>
      </c>
      <c r="S60" s="53">
        <v>28.084178924560501</v>
      </c>
      <c r="T60" s="9">
        <f t="shared" si="4"/>
        <v>-9.0368010457131387E-4</v>
      </c>
      <c r="V60" s="75">
        <v>44151</v>
      </c>
      <c r="W60" s="53">
        <v>33.5155639648437</v>
      </c>
      <c r="X60" s="9">
        <f t="shared" si="5"/>
        <v>-6.624348054772633E-3</v>
      </c>
    </row>
    <row r="61" spans="2:24">
      <c r="B61" s="75">
        <v>44158</v>
      </c>
      <c r="C61" s="53">
        <v>17396.599609375</v>
      </c>
      <c r="D61" s="9">
        <f t="shared" si="0"/>
        <v>2.2180961899538554E-2</v>
      </c>
      <c r="E61"/>
      <c r="F61" s="75">
        <v>44158</v>
      </c>
      <c r="G61" s="53">
        <v>188.03611755371</v>
      </c>
      <c r="H61" s="9">
        <f t="shared" si="1"/>
        <v>-2.5017678926640752E-2</v>
      </c>
      <c r="J61" s="75">
        <v>44158</v>
      </c>
      <c r="K61" s="53">
        <v>56.153919219970703</v>
      </c>
      <c r="L61" s="9">
        <f t="shared" si="2"/>
        <v>-1.0217403144218373E-2</v>
      </c>
      <c r="N61" s="75">
        <v>44158</v>
      </c>
      <c r="O61" s="53">
        <v>41.928348541259702</v>
      </c>
      <c r="P61" s="9">
        <f t="shared" si="3"/>
        <v>-1.2767959088208825E-2</v>
      </c>
      <c r="R61" s="75">
        <v>44158</v>
      </c>
      <c r="S61" s="53">
        <v>28.803850173950099</v>
      </c>
      <c r="T61" s="9">
        <f t="shared" si="4"/>
        <v>2.5625504356840079E-2</v>
      </c>
      <c r="V61" s="75">
        <v>44158</v>
      </c>
      <c r="W61" s="53">
        <v>33.208255767822202</v>
      </c>
      <c r="X61" s="9">
        <f t="shared" si="5"/>
        <v>-9.1691190798356415E-3</v>
      </c>
    </row>
    <row r="62" spans="2:24">
      <c r="B62" s="75">
        <v>44165</v>
      </c>
      <c r="C62" s="53">
        <v>17521</v>
      </c>
      <c r="D62" s="9">
        <f t="shared" si="0"/>
        <v>7.1508451891921787E-3</v>
      </c>
      <c r="E62"/>
      <c r="F62" s="75">
        <v>44165</v>
      </c>
      <c r="G62" s="53">
        <v>188.346267700195</v>
      </c>
      <c r="H62" s="9">
        <f t="shared" si="1"/>
        <v>1.6494179443820034E-3</v>
      </c>
      <c r="J62" s="75">
        <v>44165</v>
      </c>
      <c r="K62" s="53">
        <v>55.639678955078097</v>
      </c>
      <c r="L62" s="9">
        <f t="shared" si="2"/>
        <v>-9.1576914316200408E-3</v>
      </c>
      <c r="N62" s="75">
        <v>44165</v>
      </c>
      <c r="O62" s="53">
        <v>42.993507385253899</v>
      </c>
      <c r="P62" s="9">
        <f t="shared" si="3"/>
        <v>2.5404264204349047E-2</v>
      </c>
      <c r="R62" s="75">
        <v>44165</v>
      </c>
      <c r="S62" s="53">
        <v>27.957178115844702</v>
      </c>
      <c r="T62" s="9">
        <f t="shared" si="4"/>
        <v>-2.9394405712855676E-2</v>
      </c>
      <c r="V62" s="75">
        <v>44165</v>
      </c>
      <c r="W62" s="53">
        <v>33.329303741455</v>
      </c>
      <c r="X62" s="9">
        <f t="shared" si="5"/>
        <v>3.6451168793421029E-3</v>
      </c>
    </row>
    <row r="63" spans="2:24">
      <c r="B63" s="75">
        <v>44172</v>
      </c>
      <c r="C63" s="53">
        <v>17548.900390625</v>
      </c>
      <c r="D63" s="9">
        <f t="shared" si="0"/>
        <v>1.5923971591234043E-3</v>
      </c>
      <c r="E63"/>
      <c r="F63" s="75">
        <v>44172</v>
      </c>
      <c r="G63" s="53">
        <v>189.16711425781199</v>
      </c>
      <c r="H63" s="9">
        <f t="shared" si="1"/>
        <v>4.3581779858976599E-3</v>
      </c>
      <c r="J63" s="75">
        <v>44172</v>
      </c>
      <c r="K63" s="53">
        <v>55.415290832519503</v>
      </c>
      <c r="L63" s="9">
        <f t="shared" si="2"/>
        <v>-4.0328795344013457E-3</v>
      </c>
      <c r="N63" s="75">
        <v>44172</v>
      </c>
      <c r="O63" s="53">
        <v>42.8576850891113</v>
      </c>
      <c r="P63" s="9">
        <f t="shared" si="3"/>
        <v>-3.1591350509166949E-3</v>
      </c>
      <c r="R63" s="75">
        <v>44172</v>
      </c>
      <c r="S63" s="53">
        <v>30.327861785888601</v>
      </c>
      <c r="T63" s="9">
        <f t="shared" si="4"/>
        <v>8.4796958413349888E-2</v>
      </c>
      <c r="V63" s="75">
        <v>44172</v>
      </c>
      <c r="W63" s="53">
        <v>33.273441314697202</v>
      </c>
      <c r="X63" s="9">
        <f t="shared" si="5"/>
        <v>-1.6760754197309158E-3</v>
      </c>
    </row>
    <row r="64" spans="2:24">
      <c r="B64" s="75">
        <v>44179</v>
      </c>
      <c r="C64" s="53">
        <v>17534.599609375</v>
      </c>
      <c r="D64" s="9">
        <f t="shared" si="0"/>
        <v>-8.1491038935066484E-4</v>
      </c>
      <c r="E64"/>
      <c r="F64" s="75">
        <v>44179</v>
      </c>
      <c r="G64" s="53">
        <v>191.76655578613199</v>
      </c>
      <c r="H64" s="9">
        <f t="shared" si="1"/>
        <v>1.374150860480583E-2</v>
      </c>
      <c r="J64" s="75">
        <v>44179</v>
      </c>
      <c r="K64" s="53">
        <v>54.190494537353501</v>
      </c>
      <c r="L64" s="9">
        <f t="shared" si="2"/>
        <v>-2.2102136012742024E-2</v>
      </c>
      <c r="N64" s="75">
        <v>44179</v>
      </c>
      <c r="O64" s="53">
        <v>43.672737121582003</v>
      </c>
      <c r="P64" s="9">
        <f t="shared" si="3"/>
        <v>1.9017640144959325E-2</v>
      </c>
      <c r="R64" s="75">
        <v>44179</v>
      </c>
      <c r="S64" s="53">
        <v>28.473649978637599</v>
      </c>
      <c r="T64" s="9">
        <f t="shared" si="4"/>
        <v>-6.113889005237283E-2</v>
      </c>
      <c r="V64" s="75">
        <v>44179</v>
      </c>
      <c r="W64" s="53">
        <v>32.267692565917898</v>
      </c>
      <c r="X64" s="9">
        <f t="shared" si="5"/>
        <v>-3.022677273646035E-2</v>
      </c>
    </row>
    <row r="65" spans="2:24">
      <c r="B65" s="75">
        <v>44186</v>
      </c>
      <c r="C65" s="53">
        <v>17623.900390625</v>
      </c>
      <c r="D65" s="9">
        <f t="shared" si="0"/>
        <v>5.0928326417134517E-3</v>
      </c>
      <c r="E65"/>
      <c r="F65" s="75">
        <v>44186</v>
      </c>
      <c r="G65" s="53">
        <v>186.88687133789</v>
      </c>
      <c r="H65" s="9">
        <f t="shared" si="1"/>
        <v>-2.5445961774920089E-2</v>
      </c>
      <c r="J65" s="75">
        <v>44186</v>
      </c>
      <c r="K65" s="53">
        <v>53.648220062255803</v>
      </c>
      <c r="L65" s="9">
        <f t="shared" si="2"/>
        <v>-1.0006819087504559E-2</v>
      </c>
      <c r="N65" s="75">
        <v>44186</v>
      </c>
      <c r="O65" s="53">
        <v>43.420463562011697</v>
      </c>
      <c r="P65" s="9">
        <f t="shared" si="3"/>
        <v>-5.7764540580086399E-3</v>
      </c>
      <c r="R65" s="75">
        <v>44186</v>
      </c>
      <c r="S65" s="53">
        <v>28.2111797332763</v>
      </c>
      <c r="T65" s="9">
        <f t="shared" si="4"/>
        <v>-9.2180049118472107E-3</v>
      </c>
      <c r="V65" s="75">
        <v>44186</v>
      </c>
      <c r="W65" s="53">
        <v>32.658805847167898</v>
      </c>
      <c r="X65" s="9">
        <f t="shared" si="5"/>
        <v>1.2120894001051319E-2</v>
      </c>
    </row>
    <row r="66" spans="2:24">
      <c r="B66" s="75">
        <v>44193</v>
      </c>
      <c r="C66" s="53">
        <v>17433.400390625</v>
      </c>
      <c r="D66" s="9">
        <f t="shared" si="0"/>
        <v>-1.0809185014534872E-2</v>
      </c>
      <c r="E66"/>
      <c r="F66" s="75">
        <v>44193</v>
      </c>
      <c r="G66" s="53">
        <v>189.71438598632801</v>
      </c>
      <c r="H66" s="9">
        <f t="shared" si="1"/>
        <v>1.5129552055723972E-2</v>
      </c>
      <c r="J66" s="75">
        <v>44193</v>
      </c>
      <c r="K66" s="53">
        <v>53.105930328369098</v>
      </c>
      <c r="L66" s="9">
        <f t="shared" si="2"/>
        <v>-1.0108252114560456E-2</v>
      </c>
      <c r="N66" s="75">
        <v>44193</v>
      </c>
      <c r="O66" s="53">
        <v>42.2075996398925</v>
      </c>
      <c r="P66" s="9">
        <f t="shared" si="3"/>
        <v>-2.7933002612628099E-2</v>
      </c>
      <c r="R66" s="75">
        <v>44193</v>
      </c>
      <c r="S66" s="53">
        <v>27.466110229492099</v>
      </c>
      <c r="T66" s="9">
        <f t="shared" si="4"/>
        <v>-2.6410434119682025E-2</v>
      </c>
      <c r="V66" s="75">
        <v>44193</v>
      </c>
      <c r="W66" s="53">
        <v>32.398059844970703</v>
      </c>
      <c r="X66" s="9">
        <f t="shared" si="5"/>
        <v>-7.9839417098529486E-3</v>
      </c>
    </row>
    <row r="67" spans="2:24">
      <c r="B67" s="75">
        <v>44200</v>
      </c>
      <c r="C67" s="53">
        <v>18042.099609375</v>
      </c>
      <c r="D67" s="9">
        <f t="shared" si="0"/>
        <v>3.4915690864149251E-2</v>
      </c>
      <c r="E67"/>
      <c r="F67" s="75">
        <v>44200</v>
      </c>
      <c r="G67" s="53">
        <v>190.17044067382801</v>
      </c>
      <c r="H67" s="9">
        <f t="shared" si="1"/>
        <v>2.4039014496921585E-3</v>
      </c>
      <c r="J67" s="75">
        <v>44200</v>
      </c>
      <c r="K67" s="53">
        <v>54.199844360351499</v>
      </c>
      <c r="L67" s="9">
        <f t="shared" si="2"/>
        <v>2.0598717040044567E-2</v>
      </c>
      <c r="N67" s="75">
        <v>44200</v>
      </c>
      <c r="O67" s="53">
        <v>41.693344116210902</v>
      </c>
      <c r="P67" s="9">
        <f t="shared" si="3"/>
        <v>-1.2183955687343762E-2</v>
      </c>
      <c r="R67" s="75">
        <v>44200</v>
      </c>
      <c r="S67" s="53">
        <v>28.152280807495099</v>
      </c>
      <c r="T67" s="9">
        <f t="shared" si="4"/>
        <v>2.4982444629753742E-2</v>
      </c>
      <c r="V67" s="75">
        <v>44200</v>
      </c>
      <c r="W67" s="53">
        <v>33.226875305175703</v>
      </c>
      <c r="X67" s="9">
        <f t="shared" si="5"/>
        <v>2.5582255979864188E-2</v>
      </c>
    </row>
    <row r="68" spans="2:24">
      <c r="B68" s="75">
        <v>44207</v>
      </c>
      <c r="C68" s="53">
        <v>17909</v>
      </c>
      <c r="D68" s="9">
        <f t="shared" si="0"/>
        <v>-7.3771685256542874E-3</v>
      </c>
      <c r="E68"/>
      <c r="F68" s="75">
        <v>44207</v>
      </c>
      <c r="G68" s="53">
        <v>186.97811889648401</v>
      </c>
      <c r="H68" s="9">
        <f t="shared" si="1"/>
        <v>-1.6786635010323847E-2</v>
      </c>
      <c r="J68" s="75">
        <v>44207</v>
      </c>
      <c r="K68" s="53">
        <v>54.480335235595703</v>
      </c>
      <c r="L68" s="9">
        <f t="shared" si="2"/>
        <v>5.1751232601211505E-3</v>
      </c>
      <c r="N68" s="75">
        <v>44207</v>
      </c>
      <c r="O68" s="53">
        <v>37.307632446288999</v>
      </c>
      <c r="P68" s="9">
        <f t="shared" si="3"/>
        <v>-0.10518973142805987</v>
      </c>
      <c r="R68" s="75">
        <v>44207</v>
      </c>
      <c r="S68" s="53">
        <v>27.621589660644499</v>
      </c>
      <c r="T68" s="9">
        <f t="shared" si="4"/>
        <v>-1.8850733639645734E-2</v>
      </c>
      <c r="V68" s="75">
        <v>44207</v>
      </c>
      <c r="W68" s="53">
        <v>33.478302001953097</v>
      </c>
      <c r="X68" s="9">
        <f t="shared" si="5"/>
        <v>7.5669678375753779E-3</v>
      </c>
    </row>
    <row r="69" spans="2:24">
      <c r="B69" s="75">
        <v>44214</v>
      </c>
      <c r="C69" s="53">
        <v>17845.900390625</v>
      </c>
      <c r="D69" s="9">
        <f t="shared" si="0"/>
        <v>-3.5233463272655863E-3</v>
      </c>
      <c r="E69"/>
      <c r="F69" s="75">
        <v>44214</v>
      </c>
      <c r="G69" s="53">
        <v>190.62646484375</v>
      </c>
      <c r="H69" s="9">
        <f t="shared" si="1"/>
        <v>1.9512154517319802E-2</v>
      </c>
      <c r="J69" s="75">
        <v>44214</v>
      </c>
      <c r="K69" s="53">
        <v>53.349029541015597</v>
      </c>
      <c r="L69" s="9">
        <f t="shared" si="2"/>
        <v>-2.0765395251109764E-2</v>
      </c>
      <c r="N69" s="75">
        <v>44214</v>
      </c>
      <c r="O69" s="53">
        <v>37.482288360595703</v>
      </c>
      <c r="P69" s="9">
        <f t="shared" si="3"/>
        <v>4.6815062456229128E-3</v>
      </c>
      <c r="R69" s="75">
        <v>44214</v>
      </c>
      <c r="S69" s="53">
        <v>27.3990459442138</v>
      </c>
      <c r="T69" s="9">
        <f t="shared" si="4"/>
        <v>-8.0568757687318193E-3</v>
      </c>
      <c r="V69" s="75">
        <v>44214</v>
      </c>
      <c r="W69" s="53">
        <v>33.693069458007798</v>
      </c>
      <c r="X69" s="9">
        <f t="shared" si="5"/>
        <v>6.4151239224190526E-3</v>
      </c>
    </row>
    <row r="70" spans="2:24">
      <c r="B70" s="75">
        <v>44221</v>
      </c>
      <c r="C70" s="53">
        <v>17337</v>
      </c>
      <c r="D70" s="9">
        <f t="shared" si="0"/>
        <v>-2.8516375161005691E-2</v>
      </c>
      <c r="E70"/>
      <c r="F70" s="75">
        <v>44221</v>
      </c>
      <c r="G70" s="53">
        <v>184.80732727050699</v>
      </c>
      <c r="H70" s="9">
        <f t="shared" si="1"/>
        <v>-3.0526388757262879E-2</v>
      </c>
      <c r="J70" s="75">
        <v>44221</v>
      </c>
      <c r="K70" s="53">
        <v>51.684791564941399</v>
      </c>
      <c r="L70" s="9">
        <f t="shared" si="2"/>
        <v>-3.1195281158670429E-2</v>
      </c>
      <c r="N70" s="75">
        <v>44221</v>
      </c>
      <c r="O70" s="53">
        <v>38.3458442687988</v>
      </c>
      <c r="P70" s="9">
        <f t="shared" si="3"/>
        <v>2.3039039129503447E-2</v>
      </c>
      <c r="R70" s="75">
        <v>44221</v>
      </c>
      <c r="S70" s="53">
        <v>27.707189559936499</v>
      </c>
      <c r="T70" s="9">
        <f t="shared" si="4"/>
        <v>1.1246508960571111E-2</v>
      </c>
      <c r="V70" s="75">
        <v>44221</v>
      </c>
      <c r="W70" s="53">
        <v>33.0201416015625</v>
      </c>
      <c r="X70" s="9">
        <f t="shared" si="5"/>
        <v>-1.9972293034446698E-2</v>
      </c>
    </row>
    <row r="71" spans="2:24">
      <c r="B71" s="75">
        <v>44228</v>
      </c>
      <c r="C71" s="53">
        <v>18135.900390625</v>
      </c>
      <c r="D71" s="9">
        <f t="shared" si="0"/>
        <v>4.6080659319663209E-2</v>
      </c>
      <c r="E71"/>
      <c r="F71" s="75">
        <v>44228</v>
      </c>
      <c r="G71" s="53">
        <v>185.303939819335</v>
      </c>
      <c r="H71" s="9">
        <f t="shared" si="1"/>
        <v>2.6871907957475294E-3</v>
      </c>
      <c r="J71" s="75">
        <v>44228</v>
      </c>
      <c r="K71" s="53">
        <v>50.9087715148925</v>
      </c>
      <c r="L71" s="9">
        <f t="shared" si="2"/>
        <v>-1.5014475758770129E-2</v>
      </c>
      <c r="N71" s="75">
        <v>44228</v>
      </c>
      <c r="O71" s="53">
        <v>38.772769927978501</v>
      </c>
      <c r="P71" s="9">
        <f t="shared" si="3"/>
        <v>1.1133557425076157E-2</v>
      </c>
      <c r="R71" s="75">
        <v>44228</v>
      </c>
      <c r="S71" s="53">
        <v>28.503225326538001</v>
      </c>
      <c r="T71" s="9">
        <f t="shared" si="4"/>
        <v>2.8730296332636351E-2</v>
      </c>
      <c r="V71" s="75">
        <v>44228</v>
      </c>
      <c r="W71" s="53">
        <v>34.122982025146399</v>
      </c>
      <c r="X71" s="9">
        <f t="shared" si="5"/>
        <v>3.3399021630231784E-2</v>
      </c>
    </row>
    <row r="72" spans="2:24">
      <c r="B72" s="75">
        <v>44235</v>
      </c>
      <c r="C72" s="53">
        <v>18460.19921875</v>
      </c>
      <c r="D72" s="9">
        <f t="shared" si="0"/>
        <v>1.7881595131203909E-2</v>
      </c>
      <c r="E72"/>
      <c r="F72" s="75">
        <v>44235</v>
      </c>
      <c r="G72" s="53">
        <v>192.61517333984301</v>
      </c>
      <c r="H72" s="9">
        <f t="shared" si="1"/>
        <v>3.9455359274261692E-2</v>
      </c>
      <c r="J72" s="75">
        <v>44235</v>
      </c>
      <c r="K72" s="53">
        <v>51.1986083984375</v>
      </c>
      <c r="L72" s="9">
        <f t="shared" si="2"/>
        <v>5.6932602166643864E-3</v>
      </c>
      <c r="N72" s="75">
        <v>44235</v>
      </c>
      <c r="O72" s="53">
        <v>38.7048530578613</v>
      </c>
      <c r="P72" s="9">
        <f t="shared" si="3"/>
        <v>-1.7516641251930087E-3</v>
      </c>
      <c r="R72" s="75">
        <v>44235</v>
      </c>
      <c r="S72" s="53">
        <v>28.5717048645019</v>
      </c>
      <c r="T72" s="9">
        <f t="shared" si="4"/>
        <v>2.4025189142415915E-3</v>
      </c>
      <c r="V72" s="75">
        <v>44235</v>
      </c>
      <c r="W72" s="53">
        <v>35.496894836425703</v>
      </c>
      <c r="X72" s="9">
        <f t="shared" si="5"/>
        <v>4.0263562260379748E-2</v>
      </c>
    </row>
    <row r="73" spans="2:24">
      <c r="B73" s="75">
        <v>44242</v>
      </c>
      <c r="C73" s="53">
        <v>18384.30078125</v>
      </c>
      <c r="D73" s="9">
        <f t="shared" si="0"/>
        <v>-4.1114636196835086E-3</v>
      </c>
      <c r="E73"/>
      <c r="F73" s="75">
        <v>44242</v>
      </c>
      <c r="G73" s="53">
        <v>185.50575256347599</v>
      </c>
      <c r="H73" s="9">
        <f t="shared" si="1"/>
        <v>-3.6909972631405386E-2</v>
      </c>
      <c r="J73" s="75">
        <v>44242</v>
      </c>
      <c r="K73" s="53">
        <v>51.021133422851499</v>
      </c>
      <c r="L73" s="9">
        <f t="shared" si="2"/>
        <v>-3.4664023327520832E-3</v>
      </c>
      <c r="N73" s="75">
        <v>44242</v>
      </c>
      <c r="O73" s="53">
        <v>37.162086486816399</v>
      </c>
      <c r="P73" s="9">
        <f t="shared" si="3"/>
        <v>-3.985977078219527E-2</v>
      </c>
      <c r="R73" s="75">
        <v>44242</v>
      </c>
      <c r="S73" s="53">
        <v>27.672956466674801</v>
      </c>
      <c r="T73" s="9">
        <f t="shared" si="4"/>
        <v>-3.1455889737392662E-2</v>
      </c>
      <c r="V73" s="75">
        <v>44242</v>
      </c>
      <c r="W73" s="53">
        <v>34.365997314453097</v>
      </c>
      <c r="X73" s="9">
        <f t="shared" si="5"/>
        <v>-3.1859054916885787E-2</v>
      </c>
    </row>
    <row r="74" spans="2:24">
      <c r="B74" s="75">
        <v>44249</v>
      </c>
      <c r="C74" s="53">
        <v>18060.30078125</v>
      </c>
      <c r="D74" s="9">
        <f t="shared" ref="D74:D137" si="6">C74/C73-1</f>
        <v>-1.7623732545240189E-2</v>
      </c>
      <c r="E74"/>
      <c r="F74" s="75">
        <v>44249</v>
      </c>
      <c r="G74" s="53">
        <v>190.56950378417901</v>
      </c>
      <c r="H74" s="9">
        <f t="shared" ref="H74:H137" si="7">G74/G73-1</f>
        <v>2.7297003735613501E-2</v>
      </c>
      <c r="J74" s="75">
        <v>44249</v>
      </c>
      <c r="K74" s="53">
        <v>49.687374114990199</v>
      </c>
      <c r="L74" s="9">
        <f t="shared" ref="L74:L137" si="8">K74/K73-1</f>
        <v>-2.6141310833050491E-2</v>
      </c>
      <c r="N74" s="75">
        <v>44249</v>
      </c>
      <c r="O74" s="53">
        <v>37.482288360595703</v>
      </c>
      <c r="P74" s="9">
        <f t="shared" ref="P74:P137" si="9">O74/O73-1</f>
        <v>8.6163588767520505E-3</v>
      </c>
      <c r="R74" s="75">
        <v>44249</v>
      </c>
      <c r="S74" s="53">
        <v>26.645807266235298</v>
      </c>
      <c r="T74" s="9">
        <f t="shared" ref="T74:T137" si="10">S74/S73-1</f>
        <v>-3.7117436356193023E-2</v>
      </c>
      <c r="V74" s="75">
        <v>44249</v>
      </c>
      <c r="W74" s="53">
        <v>33.057521820068303</v>
      </c>
      <c r="X74" s="9">
        <f t="shared" ref="X74:X137" si="11">W74/W73-1</f>
        <v>-3.8074713281622041E-2</v>
      </c>
    </row>
    <row r="75" spans="2:24">
      <c r="B75" s="75">
        <v>44256</v>
      </c>
      <c r="C75" s="53">
        <v>18381</v>
      </c>
      <c r="D75" s="9">
        <f t="shared" si="6"/>
        <v>1.7757136087287462E-2</v>
      </c>
      <c r="E75"/>
      <c r="F75" s="75">
        <v>44256</v>
      </c>
      <c r="G75" s="53">
        <v>185.79931640625</v>
      </c>
      <c r="H75" s="9">
        <f t="shared" si="7"/>
        <v>-2.5031221067413068E-2</v>
      </c>
      <c r="J75" s="75">
        <v>44256</v>
      </c>
      <c r="K75" s="53">
        <v>51.030529022216797</v>
      </c>
      <c r="L75" s="9">
        <f t="shared" si="8"/>
        <v>2.7032116934136319E-2</v>
      </c>
      <c r="N75" s="75">
        <v>44256</v>
      </c>
      <c r="O75" s="53">
        <v>39.3743476867675</v>
      </c>
      <c r="P75" s="9">
        <f t="shared" si="9"/>
        <v>5.0478757005692154E-2</v>
      </c>
      <c r="R75" s="75">
        <v>44256</v>
      </c>
      <c r="S75" s="53">
        <v>28.340593338012599</v>
      </c>
      <c r="T75" s="9">
        <f t="shared" si="10"/>
        <v>6.3604230671024942E-2</v>
      </c>
      <c r="V75" s="75">
        <v>44256</v>
      </c>
      <c r="W75" s="53">
        <v>33.674369812011697</v>
      </c>
      <c r="X75" s="9">
        <f t="shared" si="11"/>
        <v>1.865983770050561E-2</v>
      </c>
    </row>
    <row r="76" spans="2:24">
      <c r="B76" s="75">
        <v>44263</v>
      </c>
      <c r="C76" s="53">
        <v>18851.30078125</v>
      </c>
      <c r="D76" s="9">
        <f t="shared" si="6"/>
        <v>2.558624564767964E-2</v>
      </c>
      <c r="E76"/>
      <c r="F76" s="75">
        <v>44263</v>
      </c>
      <c r="G76" s="53">
        <v>185.85435485839801</v>
      </c>
      <c r="H76" s="9">
        <f t="shared" si="7"/>
        <v>2.9622526719985665E-4</v>
      </c>
      <c r="J76" s="75">
        <v>44263</v>
      </c>
      <c r="K76" s="53">
        <v>51.612869262695298</v>
      </c>
      <c r="L76" s="9">
        <f t="shared" si="8"/>
        <v>1.1411605006582892E-2</v>
      </c>
      <c r="N76" s="75">
        <v>44263</v>
      </c>
      <c r="O76" s="53">
        <v>40.4416694641113</v>
      </c>
      <c r="P76" s="9">
        <f t="shared" si="9"/>
        <v>2.7107033895128918E-2</v>
      </c>
      <c r="R76" s="75">
        <v>44263</v>
      </c>
      <c r="S76" s="53">
        <v>29.633077621459901</v>
      </c>
      <c r="T76" s="9">
        <f t="shared" si="10"/>
        <v>4.5605406634649404E-2</v>
      </c>
      <c r="V76" s="75">
        <v>44263</v>
      </c>
      <c r="W76" s="53">
        <v>35.562305450439403</v>
      </c>
      <c r="X76" s="9">
        <f t="shared" si="11"/>
        <v>5.6064468287518654E-2</v>
      </c>
    </row>
    <row r="77" spans="2:24">
      <c r="B77" s="75">
        <v>44270</v>
      </c>
      <c r="C77" s="53">
        <v>18854</v>
      </c>
      <c r="D77" s="9">
        <f t="shared" si="6"/>
        <v>1.431847479025361E-4</v>
      </c>
      <c r="E77"/>
      <c r="F77" s="75">
        <v>44270</v>
      </c>
      <c r="G77" s="53">
        <v>189.89068603515599</v>
      </c>
      <c r="H77" s="9">
        <f t="shared" si="7"/>
        <v>2.1717711053008459E-2</v>
      </c>
      <c r="J77" s="75">
        <v>44270</v>
      </c>
      <c r="K77" s="53">
        <v>52.946636199951101</v>
      </c>
      <c r="L77" s="9">
        <f t="shared" si="8"/>
        <v>2.5841751414115155E-2</v>
      </c>
      <c r="N77" s="75">
        <v>44270</v>
      </c>
      <c r="O77" s="53">
        <v>38.937721252441399</v>
      </c>
      <c r="P77" s="9">
        <f t="shared" si="9"/>
        <v>-3.7188084260580068E-2</v>
      </c>
      <c r="R77" s="75">
        <v>44270</v>
      </c>
      <c r="S77" s="53">
        <v>30.0867404937744</v>
      </c>
      <c r="T77" s="9">
        <f t="shared" si="10"/>
        <v>1.5309340396893578E-2</v>
      </c>
      <c r="V77" s="75">
        <v>44270</v>
      </c>
      <c r="W77" s="53">
        <v>35.113681793212798</v>
      </c>
      <c r="X77" s="9">
        <f t="shared" si="11"/>
        <v>-1.2615145490266877E-2</v>
      </c>
    </row>
    <row r="78" spans="2:24">
      <c r="B78" s="75">
        <v>44277</v>
      </c>
      <c r="C78" s="53">
        <v>18752.599609375</v>
      </c>
      <c r="D78" s="9">
        <f t="shared" si="6"/>
        <v>-5.3781898072027268E-3</v>
      </c>
      <c r="E78"/>
      <c r="F78" s="75">
        <v>44277</v>
      </c>
      <c r="G78" s="53">
        <v>192.64270019531199</v>
      </c>
      <c r="H78" s="9">
        <f t="shared" si="7"/>
        <v>1.4492623190831333E-2</v>
      </c>
      <c r="J78" s="75">
        <v>44277</v>
      </c>
      <c r="K78" s="53">
        <v>53.989223480224602</v>
      </c>
      <c r="L78" s="9">
        <f t="shared" si="8"/>
        <v>1.9691284566902612E-2</v>
      </c>
      <c r="N78" s="75">
        <v>44277</v>
      </c>
      <c r="O78" s="53">
        <v>38.995925903320298</v>
      </c>
      <c r="P78" s="9">
        <f t="shared" si="9"/>
        <v>1.4948140005817123E-3</v>
      </c>
      <c r="R78" s="75">
        <v>44277</v>
      </c>
      <c r="S78" s="53">
        <v>30.797174453735298</v>
      </c>
      <c r="T78" s="9">
        <f t="shared" si="10"/>
        <v>2.3612858963831584E-2</v>
      </c>
      <c r="V78" s="75">
        <v>44277</v>
      </c>
      <c r="W78" s="53">
        <v>36.291316986083899</v>
      </c>
      <c r="X78" s="9">
        <f t="shared" si="11"/>
        <v>3.3537787344724679E-2</v>
      </c>
    </row>
    <row r="79" spans="2:24">
      <c r="B79" s="75">
        <v>44284</v>
      </c>
      <c r="C79" s="53">
        <v>18990.30078125</v>
      </c>
      <c r="D79" s="9">
        <f t="shared" si="6"/>
        <v>1.2675638408883083E-2</v>
      </c>
      <c r="E79"/>
      <c r="F79" s="75">
        <v>44284</v>
      </c>
      <c r="G79" s="53">
        <v>201.81617736816401</v>
      </c>
      <c r="H79" s="9">
        <f t="shared" si="7"/>
        <v>4.7619126826770053E-2</v>
      </c>
      <c r="J79" s="75">
        <v>44284</v>
      </c>
      <c r="K79" s="53">
        <v>54.505825042724602</v>
      </c>
      <c r="L79" s="9">
        <f t="shared" si="8"/>
        <v>9.5686051622732027E-3</v>
      </c>
      <c r="N79" s="75">
        <v>44284</v>
      </c>
      <c r="O79" s="53">
        <v>40.161647796630803</v>
      </c>
      <c r="P79" s="9">
        <f t="shared" si="9"/>
        <v>2.9893427744236423E-2</v>
      </c>
      <c r="R79" s="75">
        <v>44284</v>
      </c>
      <c r="S79" s="53">
        <v>31.267948150634702</v>
      </c>
      <c r="T79" s="9">
        <f t="shared" si="10"/>
        <v>1.5286262627976388E-2</v>
      </c>
      <c r="V79" s="75">
        <v>44284</v>
      </c>
      <c r="W79" s="53">
        <v>37.310047149658203</v>
      </c>
      <c r="X79" s="9">
        <f t="shared" si="11"/>
        <v>2.8070906436515886E-2</v>
      </c>
    </row>
    <row r="80" spans="2:24">
      <c r="B80" s="75">
        <v>44291</v>
      </c>
      <c r="C80" s="53">
        <v>19228</v>
      </c>
      <c r="D80" s="9">
        <f t="shared" si="6"/>
        <v>1.2516874876710382E-2</v>
      </c>
      <c r="E80"/>
      <c r="F80" s="75">
        <v>44291</v>
      </c>
      <c r="G80" s="53">
        <v>196.31210327148401</v>
      </c>
      <c r="H80" s="9">
        <f t="shared" si="7"/>
        <v>-2.7272710089237151E-2</v>
      </c>
      <c r="J80" s="75">
        <v>44291</v>
      </c>
      <c r="K80" s="53">
        <v>55.210277557372997</v>
      </c>
      <c r="L80" s="9">
        <f t="shared" si="8"/>
        <v>1.2924352839282838E-2</v>
      </c>
      <c r="N80" s="75">
        <v>44291</v>
      </c>
      <c r="O80" s="53">
        <v>40.404750823974602</v>
      </c>
      <c r="P80" s="9">
        <f t="shared" si="9"/>
        <v>6.0531138705965937E-3</v>
      </c>
      <c r="R80" s="75">
        <v>44291</v>
      </c>
      <c r="S80" s="53">
        <v>30.9598064422607</v>
      </c>
      <c r="T80" s="9">
        <f t="shared" si="10"/>
        <v>-9.8548746111998264E-3</v>
      </c>
      <c r="V80" s="75">
        <v>44291</v>
      </c>
      <c r="W80" s="53">
        <v>37.936244964599602</v>
      </c>
      <c r="X80" s="9">
        <f t="shared" si="11"/>
        <v>1.6783624325897861E-2</v>
      </c>
    </row>
    <row r="81" spans="2:24">
      <c r="B81" s="75">
        <v>44298</v>
      </c>
      <c r="C81" s="53">
        <v>19351.30078125</v>
      </c>
      <c r="D81" s="9">
        <f t="shared" si="6"/>
        <v>6.4125640342209689E-3</v>
      </c>
      <c r="E81"/>
      <c r="F81" s="75">
        <v>44298</v>
      </c>
      <c r="G81" s="53">
        <v>201.98132324218699</v>
      </c>
      <c r="H81" s="9">
        <f t="shared" si="7"/>
        <v>2.8878606444671995E-2</v>
      </c>
      <c r="J81" s="75">
        <v>44298</v>
      </c>
      <c r="K81" s="53">
        <v>55.294815063476499</v>
      </c>
      <c r="L81" s="9">
        <f t="shared" si="8"/>
        <v>1.5311914709295049E-3</v>
      </c>
      <c r="N81" s="75">
        <v>44298</v>
      </c>
      <c r="O81" s="53">
        <v>40.492275238037102</v>
      </c>
      <c r="P81" s="9">
        <f t="shared" si="9"/>
        <v>2.1661911601387196E-3</v>
      </c>
      <c r="R81" s="75">
        <v>44298</v>
      </c>
      <c r="S81" s="53">
        <v>30.514713287353501</v>
      </c>
      <c r="T81" s="9">
        <f t="shared" si="10"/>
        <v>-1.4376483772186588E-2</v>
      </c>
      <c r="V81" s="75">
        <v>44298</v>
      </c>
      <c r="W81" s="53">
        <v>37.001632690429602</v>
      </c>
      <c r="X81" s="9">
        <f t="shared" si="11"/>
        <v>-2.4636393903564757E-2</v>
      </c>
    </row>
    <row r="82" spans="2:24">
      <c r="B82" s="75">
        <v>44305</v>
      </c>
      <c r="C82" s="53">
        <v>19102.30078125</v>
      </c>
      <c r="D82" s="9">
        <f t="shared" si="6"/>
        <v>-1.2867352061483261E-2</v>
      </c>
      <c r="E82"/>
      <c r="F82" s="75">
        <v>44305</v>
      </c>
      <c r="G82" s="53">
        <v>213.74165344238199</v>
      </c>
      <c r="H82" s="9">
        <f t="shared" si="7"/>
        <v>5.8224839858553201E-2</v>
      </c>
      <c r="J82" s="75">
        <v>44305</v>
      </c>
      <c r="K82" s="53">
        <v>53.773200988769503</v>
      </c>
      <c r="L82" s="9">
        <f t="shared" si="8"/>
        <v>-2.7518205331914736E-2</v>
      </c>
      <c r="N82" s="75">
        <v>44305</v>
      </c>
      <c r="O82" s="53">
        <v>40.677036285400298</v>
      </c>
      <c r="P82" s="9">
        <f t="shared" si="9"/>
        <v>4.562871468127172E-3</v>
      </c>
      <c r="R82" s="75">
        <v>44305</v>
      </c>
      <c r="S82" s="53">
        <v>31.402227401733398</v>
      </c>
      <c r="T82" s="9">
        <f t="shared" si="10"/>
        <v>2.908479283492782E-2</v>
      </c>
      <c r="V82" s="75">
        <v>44305</v>
      </c>
      <c r="W82" s="53">
        <v>36.952747344970703</v>
      </c>
      <c r="X82" s="9">
        <f t="shared" si="11"/>
        <v>-1.3211672541018071E-3</v>
      </c>
    </row>
    <row r="83" spans="2:24">
      <c r="B83" s="75">
        <v>44312</v>
      </c>
      <c r="C83" s="53">
        <v>19108.30078125</v>
      </c>
      <c r="D83" s="9">
        <f t="shared" si="6"/>
        <v>3.1409828945272444E-4</v>
      </c>
      <c r="E83"/>
      <c r="F83" s="75">
        <v>44312</v>
      </c>
      <c r="G83" s="53">
        <v>215.10850524902301</v>
      </c>
      <c r="H83" s="9">
        <f t="shared" si="7"/>
        <v>6.3948780437852459E-3</v>
      </c>
      <c r="J83" s="75">
        <v>44312</v>
      </c>
      <c r="K83" s="53">
        <v>52.899669647216797</v>
      </c>
      <c r="L83" s="9">
        <f t="shared" si="8"/>
        <v>-1.6244733910022235E-2</v>
      </c>
      <c r="N83" s="75">
        <v>44312</v>
      </c>
      <c r="O83" s="53">
        <v>40.608959197997997</v>
      </c>
      <c r="P83" s="9">
        <f t="shared" si="9"/>
        <v>-1.6735999870948204E-3</v>
      </c>
      <c r="R83" s="75">
        <v>44312</v>
      </c>
      <c r="S83" s="53">
        <v>30.606794357299801</v>
      </c>
      <c r="T83" s="9">
        <f t="shared" si="10"/>
        <v>-2.5330465710521222E-2</v>
      </c>
      <c r="V83" s="75">
        <v>44312</v>
      </c>
      <c r="W83" s="53">
        <v>36.249507904052699</v>
      </c>
      <c r="X83" s="9">
        <f t="shared" si="11"/>
        <v>-1.9030775556495017E-2</v>
      </c>
    </row>
    <row r="84" spans="2:24">
      <c r="B84" s="75">
        <v>44319</v>
      </c>
      <c r="C84" s="53">
        <v>19472.69921875</v>
      </c>
      <c r="D84" s="9">
        <f t="shared" si="6"/>
        <v>1.9070164410305068E-2</v>
      </c>
      <c r="E84"/>
      <c r="F84" s="75">
        <v>44319</v>
      </c>
      <c r="G84" s="53">
        <v>219.305908203125</v>
      </c>
      <c r="H84" s="9">
        <f t="shared" si="7"/>
        <v>1.9512956724992314E-2</v>
      </c>
      <c r="J84" s="75">
        <v>44319</v>
      </c>
      <c r="K84" s="53">
        <v>54.026802062988203</v>
      </c>
      <c r="L84" s="9">
        <f t="shared" si="8"/>
        <v>2.130698401876896E-2</v>
      </c>
      <c r="N84" s="75">
        <v>44319</v>
      </c>
      <c r="O84" s="53">
        <v>40.842350006103501</v>
      </c>
      <c r="P84" s="9">
        <f t="shared" si="9"/>
        <v>5.7472738212165364E-3</v>
      </c>
      <c r="R84" s="75">
        <v>44319</v>
      </c>
      <c r="S84" s="53">
        <v>29.932405471801701</v>
      </c>
      <c r="T84" s="9">
        <f t="shared" si="10"/>
        <v>-2.2033960094787197E-2</v>
      </c>
      <c r="V84" s="75">
        <v>44319</v>
      </c>
      <c r="W84" s="53">
        <v>37.421573638916001</v>
      </c>
      <c r="X84" s="9">
        <f t="shared" si="11"/>
        <v>3.2333286784625992E-2</v>
      </c>
    </row>
    <row r="85" spans="2:24">
      <c r="B85" s="75">
        <v>44326</v>
      </c>
      <c r="C85" s="53">
        <v>19366.69921875</v>
      </c>
      <c r="D85" s="9">
        <f t="shared" si="6"/>
        <v>-5.4435185799991403E-3</v>
      </c>
      <c r="E85"/>
      <c r="F85" s="75">
        <v>44326</v>
      </c>
      <c r="G85" s="53">
        <v>235.10890197753901</v>
      </c>
      <c r="H85" s="9">
        <f t="shared" si="7"/>
        <v>7.2059133763860972E-2</v>
      </c>
      <c r="J85" s="75">
        <v>44326</v>
      </c>
      <c r="K85" s="53">
        <v>54.562183380126903</v>
      </c>
      <c r="L85" s="9">
        <f t="shared" si="8"/>
        <v>9.9095503841688526E-3</v>
      </c>
      <c r="N85" s="75">
        <v>44326</v>
      </c>
      <c r="O85" s="53">
        <v>42.252388000488203</v>
      </c>
      <c r="P85" s="9">
        <f t="shared" si="9"/>
        <v>3.4523919269434433E-2</v>
      </c>
      <c r="R85" s="75">
        <v>44326</v>
      </c>
      <c r="S85" s="53">
        <v>30.4338684082031</v>
      </c>
      <c r="T85" s="9">
        <f t="shared" si="10"/>
        <v>1.6753178653610368E-2</v>
      </c>
      <c r="V85" s="75">
        <v>44326</v>
      </c>
      <c r="W85" s="53">
        <v>37.984157562255803</v>
      </c>
      <c r="X85" s="9">
        <f t="shared" si="11"/>
        <v>1.5033678935264083E-2</v>
      </c>
    </row>
    <row r="86" spans="2:24">
      <c r="B86" s="75">
        <v>44333</v>
      </c>
      <c r="C86" s="53">
        <v>19527.30078125</v>
      </c>
      <c r="D86" s="9">
        <f t="shared" si="6"/>
        <v>8.2926657085948818E-3</v>
      </c>
      <c r="E86"/>
      <c r="F86" s="75">
        <v>44333</v>
      </c>
      <c r="G86" s="53">
        <v>229.58619689941401</v>
      </c>
      <c r="H86" s="9">
        <f t="shared" si="7"/>
        <v>-2.3489987115216104E-2</v>
      </c>
      <c r="J86" s="75">
        <v>44333</v>
      </c>
      <c r="K86" s="53">
        <v>54.346153259277301</v>
      </c>
      <c r="L86" s="9">
        <f t="shared" si="8"/>
        <v>-3.9593379052401678E-3</v>
      </c>
      <c r="N86" s="75">
        <v>44333</v>
      </c>
      <c r="O86" s="53">
        <v>42.884471893310497</v>
      </c>
      <c r="P86" s="9">
        <f t="shared" si="9"/>
        <v>1.4959719976418651E-2</v>
      </c>
      <c r="R86" s="75">
        <v>44333</v>
      </c>
      <c r="S86" s="53">
        <v>31.7221279144287</v>
      </c>
      <c r="T86" s="9">
        <f t="shared" si="10"/>
        <v>4.2329798136288233E-2</v>
      </c>
      <c r="V86" s="75">
        <v>44333</v>
      </c>
      <c r="W86" s="53">
        <v>38.424850463867102</v>
      </c>
      <c r="X86" s="9">
        <f t="shared" si="11"/>
        <v>1.1602018575481265E-2</v>
      </c>
    </row>
    <row r="87" spans="2:24">
      <c r="B87" s="75">
        <v>44340</v>
      </c>
      <c r="C87" s="53">
        <v>19852.19921875</v>
      </c>
      <c r="D87" s="9">
        <f t="shared" si="6"/>
        <v>1.663816423680875E-2</v>
      </c>
      <c r="E87"/>
      <c r="F87" s="75">
        <v>44340</v>
      </c>
      <c r="G87" s="53">
        <v>229.25427246093699</v>
      </c>
      <c r="H87" s="9">
        <f t="shared" si="7"/>
        <v>-1.44575084634746E-3</v>
      </c>
      <c r="J87" s="75">
        <v>44340</v>
      </c>
      <c r="K87" s="53">
        <v>55.1858520507812</v>
      </c>
      <c r="L87" s="9">
        <f t="shared" si="8"/>
        <v>1.5450933343852835E-2</v>
      </c>
      <c r="N87" s="75">
        <v>44340</v>
      </c>
      <c r="O87" s="53">
        <v>43.127574920654297</v>
      </c>
      <c r="P87" s="9">
        <f t="shared" si="9"/>
        <v>5.6687891120263956E-3</v>
      </c>
      <c r="R87" s="75">
        <v>44340</v>
      </c>
      <c r="S87" s="53">
        <v>31.393577575683501</v>
      </c>
      <c r="T87" s="9">
        <f t="shared" si="10"/>
        <v>-1.0357134289082803E-2</v>
      </c>
      <c r="V87" s="75">
        <v>44340</v>
      </c>
      <c r="W87" s="53">
        <v>38.762405395507798</v>
      </c>
      <c r="X87" s="9">
        <f t="shared" si="11"/>
        <v>8.7848079450072447E-3</v>
      </c>
    </row>
    <row r="88" spans="2:24">
      <c r="B88" s="75">
        <v>44347</v>
      </c>
      <c r="C88" s="53">
        <v>20029.19921875</v>
      </c>
      <c r="D88" s="9">
        <f t="shared" si="6"/>
        <v>8.9158887662594832E-3</v>
      </c>
      <c r="E88"/>
      <c r="F88" s="75">
        <v>44347</v>
      </c>
      <c r="G88" s="53">
        <v>229.25427246093699</v>
      </c>
      <c r="H88" s="9">
        <f t="shared" si="7"/>
        <v>0</v>
      </c>
      <c r="J88" s="75">
        <v>44347</v>
      </c>
      <c r="K88" s="53">
        <v>55.091518402099602</v>
      </c>
      <c r="L88" s="9">
        <f t="shared" si="8"/>
        <v>-1.709381031116286E-3</v>
      </c>
      <c r="N88" s="75">
        <v>44347</v>
      </c>
      <c r="O88" s="53">
        <v>43.788833618163999</v>
      </c>
      <c r="P88" s="9">
        <f t="shared" si="9"/>
        <v>1.5332619529993874E-2</v>
      </c>
      <c r="R88" s="75">
        <v>44347</v>
      </c>
      <c r="S88" s="53">
        <v>30.9872226715087</v>
      </c>
      <c r="T88" s="9">
        <f t="shared" si="10"/>
        <v>-1.2943886474714894E-2</v>
      </c>
      <c r="V88" s="75">
        <v>44347</v>
      </c>
      <c r="W88" s="53">
        <v>38.706142425537102</v>
      </c>
      <c r="X88" s="9">
        <f t="shared" si="11"/>
        <v>-1.4514829355046777E-3</v>
      </c>
    </row>
    <row r="89" spans="2:24">
      <c r="B89" s="75">
        <v>44354</v>
      </c>
      <c r="C89" s="53">
        <v>20138.400390625</v>
      </c>
      <c r="D89" s="9">
        <f t="shared" si="6"/>
        <v>5.4520987425583645E-3</v>
      </c>
      <c r="E89"/>
      <c r="F89" s="75">
        <v>44354</v>
      </c>
      <c r="G89" s="53">
        <v>237.10969543457</v>
      </c>
      <c r="H89" s="9">
        <f t="shared" si="7"/>
        <v>3.4265110478896244E-2</v>
      </c>
      <c r="J89" s="75">
        <v>44354</v>
      </c>
      <c r="K89" s="53">
        <v>55.082084655761697</v>
      </c>
      <c r="L89" s="9">
        <f t="shared" si="8"/>
        <v>-1.7123772608784726E-4</v>
      </c>
      <c r="N89" s="75">
        <v>44354</v>
      </c>
      <c r="O89" s="53">
        <v>44.255599975585902</v>
      </c>
      <c r="P89" s="9">
        <f t="shared" si="9"/>
        <v>1.0659483682348814E-2</v>
      </c>
      <c r="R89" s="75">
        <v>44354</v>
      </c>
      <c r="S89" s="53">
        <v>30.485750198364201</v>
      </c>
      <c r="T89" s="9">
        <f t="shared" si="10"/>
        <v>-1.6183201652517853E-2</v>
      </c>
      <c r="V89" s="75">
        <v>44354</v>
      </c>
      <c r="W89" s="53">
        <v>39.240604400634702</v>
      </c>
      <c r="X89" s="9">
        <f t="shared" si="11"/>
        <v>1.3808195330387019E-2</v>
      </c>
    </row>
    <row r="90" spans="2:24">
      <c r="B90" s="75">
        <v>44361</v>
      </c>
      <c r="C90" s="53">
        <v>19999.599609375</v>
      </c>
      <c r="D90" s="9">
        <f t="shared" si="6"/>
        <v>-6.8923439080402771E-3</v>
      </c>
      <c r="E90"/>
      <c r="F90" s="75">
        <v>44361</v>
      </c>
      <c r="G90" s="53">
        <v>244.32887268066401</v>
      </c>
      <c r="H90" s="9">
        <f t="shared" si="7"/>
        <v>3.0446571292088498E-2</v>
      </c>
      <c r="J90" s="75">
        <v>44361</v>
      </c>
      <c r="K90" s="53">
        <v>55.412265777587798</v>
      </c>
      <c r="L90" s="9">
        <f t="shared" si="8"/>
        <v>5.9943468713936632E-3</v>
      </c>
      <c r="N90" s="75">
        <v>44361</v>
      </c>
      <c r="O90" s="53">
        <v>43.730491638183501</v>
      </c>
      <c r="P90" s="9">
        <f t="shared" si="9"/>
        <v>-1.1865353485029706E-2</v>
      </c>
      <c r="R90" s="75">
        <v>44361</v>
      </c>
      <c r="S90" s="53">
        <v>30.2609539031982</v>
      </c>
      <c r="T90" s="9">
        <f t="shared" si="10"/>
        <v>-7.3738154286281388E-3</v>
      </c>
      <c r="V90" s="75">
        <v>44361</v>
      </c>
      <c r="W90" s="53">
        <v>39.174972534179602</v>
      </c>
      <c r="X90" s="9">
        <f t="shared" si="11"/>
        <v>-1.6725498360070645E-3</v>
      </c>
    </row>
    <row r="91" spans="2:24">
      <c r="B91" s="75">
        <v>44368</v>
      </c>
      <c r="C91" s="53">
        <v>20230.30078125</v>
      </c>
      <c r="D91" s="9">
        <f t="shared" si="6"/>
        <v>1.1535289524839065E-2</v>
      </c>
      <c r="E91"/>
      <c r="F91" s="75">
        <v>44368</v>
      </c>
      <c r="G91" s="53">
        <v>244.32887268066401</v>
      </c>
      <c r="H91" s="9">
        <f t="shared" si="7"/>
        <v>0</v>
      </c>
      <c r="J91" s="75">
        <v>44368</v>
      </c>
      <c r="K91" s="53">
        <v>55.440555572509702</v>
      </c>
      <c r="L91" s="9">
        <f t="shared" si="8"/>
        <v>5.105330836940869E-4</v>
      </c>
      <c r="N91" s="75">
        <v>44368</v>
      </c>
      <c r="O91" s="53">
        <v>42.884471893310497</v>
      </c>
      <c r="P91" s="9">
        <f t="shared" si="9"/>
        <v>-1.9346220753079679E-2</v>
      </c>
      <c r="R91" s="75">
        <v>44368</v>
      </c>
      <c r="S91" s="53">
        <v>30.528976440429599</v>
      </c>
      <c r="T91" s="9">
        <f t="shared" si="10"/>
        <v>8.8570419190610039E-3</v>
      </c>
      <c r="V91" s="75">
        <v>44368</v>
      </c>
      <c r="W91" s="53">
        <v>36.240123748779297</v>
      </c>
      <c r="X91" s="9">
        <f t="shared" si="11"/>
        <v>-7.4916422285674633E-2</v>
      </c>
    </row>
    <row r="92" spans="2:24">
      <c r="B92" s="75">
        <v>44375</v>
      </c>
      <c r="C92" s="53">
        <v>20226.099609375</v>
      </c>
      <c r="D92" s="9">
        <f t="shared" si="6"/>
        <v>-2.0766729671628514E-4</v>
      </c>
      <c r="E92"/>
      <c r="F92" s="75">
        <v>44375</v>
      </c>
      <c r="G92" s="53">
        <v>232.96070861816401</v>
      </c>
      <c r="H92" s="9">
        <f t="shared" si="7"/>
        <v>-4.652812390845884E-2</v>
      </c>
      <c r="J92" s="75">
        <v>44375</v>
      </c>
      <c r="K92" s="53">
        <v>56.497108459472599</v>
      </c>
      <c r="L92" s="9">
        <f t="shared" si="8"/>
        <v>1.9057400779129097E-2</v>
      </c>
      <c r="N92" s="75">
        <v>44375</v>
      </c>
      <c r="O92" s="53">
        <v>45.9476509094238</v>
      </c>
      <c r="P92" s="9">
        <f t="shared" si="9"/>
        <v>7.1428628612566047E-2</v>
      </c>
      <c r="R92" s="75">
        <v>44375</v>
      </c>
      <c r="S92" s="53">
        <v>30.978572845458899</v>
      </c>
      <c r="T92" s="9">
        <f t="shared" si="10"/>
        <v>1.472687451236987E-2</v>
      </c>
      <c r="V92" s="75">
        <v>44375</v>
      </c>
      <c r="W92" s="53">
        <v>37.534084320068303</v>
      </c>
      <c r="X92" s="9">
        <f t="shared" si="11"/>
        <v>3.5705191854721319E-2</v>
      </c>
    </row>
    <row r="93" spans="2:24">
      <c r="B93" s="75">
        <v>44382</v>
      </c>
      <c r="C93" s="53">
        <v>20258</v>
      </c>
      <c r="D93" s="9">
        <f t="shared" si="6"/>
        <v>1.577189435486348E-3</v>
      </c>
      <c r="E93"/>
      <c r="F93" s="75">
        <v>44382</v>
      </c>
      <c r="G93" s="53">
        <v>235.10890197753901</v>
      </c>
      <c r="H93" s="9">
        <f t="shared" si="7"/>
        <v>9.2212689947470672E-3</v>
      </c>
      <c r="J93" s="75">
        <v>44382</v>
      </c>
      <c r="K93" s="53">
        <v>57.091415405273402</v>
      </c>
      <c r="L93" s="9">
        <f t="shared" si="8"/>
        <v>1.0519245356195972E-2</v>
      </c>
      <c r="N93" s="75">
        <v>44382</v>
      </c>
      <c r="O93" s="53">
        <v>45.5586738586425</v>
      </c>
      <c r="P93" s="9">
        <f t="shared" si="9"/>
        <v>-8.4656569613991151E-3</v>
      </c>
      <c r="R93" s="75">
        <v>44382</v>
      </c>
      <c r="S93" s="53">
        <v>31.6020107269287</v>
      </c>
      <c r="T93" s="9">
        <f t="shared" si="10"/>
        <v>2.0124809641164365E-2</v>
      </c>
      <c r="V93" s="75">
        <v>44382</v>
      </c>
      <c r="W93" s="53">
        <v>37.374683380126903</v>
      </c>
      <c r="X93" s="9">
        <f t="shared" si="11"/>
        <v>-4.2468317218590235E-3</v>
      </c>
    </row>
    <row r="94" spans="2:24">
      <c r="B94" s="75">
        <v>44389</v>
      </c>
      <c r="C94" s="53">
        <v>19985.5</v>
      </c>
      <c r="D94" s="9">
        <f t="shared" si="6"/>
        <v>-1.3451475960114534E-2</v>
      </c>
      <c r="E94"/>
      <c r="F94" s="75">
        <v>44389</v>
      </c>
      <c r="G94" s="53">
        <v>244.32887268066401</v>
      </c>
      <c r="H94" s="9">
        <f t="shared" si="7"/>
        <v>3.9215744812613806E-2</v>
      </c>
      <c r="J94" s="75">
        <v>44389</v>
      </c>
      <c r="K94" s="53">
        <v>58.751708984375</v>
      </c>
      <c r="L94" s="9">
        <f t="shared" si="8"/>
        <v>2.9081317520606387E-2</v>
      </c>
      <c r="N94" s="75">
        <v>44389</v>
      </c>
      <c r="O94" s="53">
        <v>48.285884857177699</v>
      </c>
      <c r="P94" s="9">
        <f t="shared" si="9"/>
        <v>5.9861509731320872E-2</v>
      </c>
      <c r="R94" s="75">
        <v>44389</v>
      </c>
      <c r="S94" s="53">
        <v>31.505926132202099</v>
      </c>
      <c r="T94" s="9">
        <f t="shared" si="10"/>
        <v>-3.0404582656737844E-3</v>
      </c>
      <c r="V94" s="75">
        <v>44389</v>
      </c>
      <c r="W94" s="53">
        <v>37.6653633117675</v>
      </c>
      <c r="X94" s="9">
        <f t="shared" si="11"/>
        <v>7.7774553615390651E-3</v>
      </c>
    </row>
    <row r="95" spans="2:24">
      <c r="B95" s="75">
        <v>44396</v>
      </c>
      <c r="C95" s="53">
        <v>20188.400390625</v>
      </c>
      <c r="D95" s="9">
        <f t="shared" si="6"/>
        <v>1.0152380006754891E-2</v>
      </c>
      <c r="E95"/>
      <c r="F95" s="75">
        <v>44396</v>
      </c>
      <c r="G95" s="53">
        <v>240.17988586425699</v>
      </c>
      <c r="H95" s="9">
        <f t="shared" si="7"/>
        <v>-1.6981156467044789E-2</v>
      </c>
      <c r="J95" s="75">
        <v>44396</v>
      </c>
      <c r="K95" s="53">
        <v>58.468704223632798</v>
      </c>
      <c r="L95" s="9">
        <f t="shared" si="8"/>
        <v>-4.8169621894312842E-3</v>
      </c>
      <c r="N95" s="75">
        <v>44396</v>
      </c>
      <c r="O95" s="53">
        <v>48.402809143066399</v>
      </c>
      <c r="P95" s="9">
        <f t="shared" si="9"/>
        <v>2.421500325292758E-3</v>
      </c>
      <c r="R95" s="75">
        <v>44396</v>
      </c>
      <c r="S95" s="53">
        <v>31.261363983154201</v>
      </c>
      <c r="T95" s="9">
        <f t="shared" si="10"/>
        <v>-7.762417394800214E-3</v>
      </c>
      <c r="V95" s="75">
        <v>44396</v>
      </c>
      <c r="W95" s="53">
        <v>37.958549499511697</v>
      </c>
      <c r="X95" s="9">
        <f t="shared" si="11"/>
        <v>7.7839734431182084E-3</v>
      </c>
    </row>
    <row r="96" spans="2:24">
      <c r="B96" s="75">
        <v>44403</v>
      </c>
      <c r="C96" s="53">
        <v>20287.80078125</v>
      </c>
      <c r="D96" s="9">
        <f t="shared" si="6"/>
        <v>4.9236387579849605E-3</v>
      </c>
      <c r="E96"/>
      <c r="F96" s="75">
        <v>44403</v>
      </c>
      <c r="G96" s="53">
        <v>230.49896240234301</v>
      </c>
      <c r="H96" s="9">
        <f t="shared" si="7"/>
        <v>-4.0306970032392142E-2</v>
      </c>
      <c r="J96" s="75">
        <v>44403</v>
      </c>
      <c r="K96" s="53">
        <v>61.0346069335937</v>
      </c>
      <c r="L96" s="9">
        <f t="shared" si="8"/>
        <v>4.3885062000805775E-2</v>
      </c>
      <c r="N96" s="75">
        <v>44403</v>
      </c>
      <c r="O96" s="53">
        <v>49.659645080566399</v>
      </c>
      <c r="P96" s="9">
        <f t="shared" si="9"/>
        <v>2.5966177578353289E-2</v>
      </c>
      <c r="R96" s="75">
        <v>44403</v>
      </c>
      <c r="S96" s="53">
        <v>31.759239196777301</v>
      </c>
      <c r="T96" s="9">
        <f t="shared" si="10"/>
        <v>1.5926215308180058E-2</v>
      </c>
      <c r="V96" s="75">
        <v>44403</v>
      </c>
      <c r="W96" s="53">
        <v>38.560916900634702</v>
      </c>
      <c r="X96" s="9">
        <f t="shared" si="11"/>
        <v>1.5869083752285018E-2</v>
      </c>
    </row>
    <row r="97" spans="2:24">
      <c r="B97" s="75">
        <v>44410</v>
      </c>
      <c r="C97" s="53">
        <v>20475.400390625</v>
      </c>
      <c r="D97" s="9">
        <f t="shared" si="6"/>
        <v>9.2469169723108369E-3</v>
      </c>
      <c r="E97"/>
      <c r="F97" s="75">
        <v>44410</v>
      </c>
      <c r="G97" s="53">
        <v>240.80656433105401</v>
      </c>
      <c r="H97" s="9">
        <f t="shared" si="7"/>
        <v>4.4718647846747173E-2</v>
      </c>
      <c r="J97" s="75">
        <v>44410</v>
      </c>
      <c r="K97" s="53">
        <v>60.883670806884702</v>
      </c>
      <c r="L97" s="9">
        <f t="shared" si="8"/>
        <v>-2.4729597566380823E-3</v>
      </c>
      <c r="N97" s="75">
        <v>44410</v>
      </c>
      <c r="O97" s="53">
        <v>50.166271209716797</v>
      </c>
      <c r="P97" s="9">
        <f t="shared" si="9"/>
        <v>1.0201968385566529E-2</v>
      </c>
      <c r="R97" s="75">
        <v>44410</v>
      </c>
      <c r="S97" s="53">
        <v>31.575811386108398</v>
      </c>
      <c r="T97" s="9">
        <f t="shared" si="10"/>
        <v>-5.7755731972167768E-3</v>
      </c>
      <c r="V97" s="75">
        <v>44410</v>
      </c>
      <c r="W97" s="53">
        <v>38.53267288208</v>
      </c>
      <c r="X97" s="9">
        <f t="shared" si="11"/>
        <v>-7.3245194421811544E-4</v>
      </c>
    </row>
    <row r="98" spans="2:24">
      <c r="B98" s="75">
        <v>44417</v>
      </c>
      <c r="C98" s="53">
        <v>20518.099609375</v>
      </c>
      <c r="D98" s="9">
        <f t="shared" si="6"/>
        <v>2.085391149154292E-3</v>
      </c>
      <c r="E98"/>
      <c r="F98" s="75">
        <v>44417</v>
      </c>
      <c r="G98" s="53">
        <v>245.43746948242099</v>
      </c>
      <c r="H98" s="9">
        <f t="shared" si="7"/>
        <v>1.9230809443386176E-2</v>
      </c>
      <c r="J98" s="75">
        <v>44417</v>
      </c>
      <c r="K98" s="53">
        <v>60.251632690429602</v>
      </c>
      <c r="L98" s="9">
        <f t="shared" si="8"/>
        <v>-1.0381077685999607E-2</v>
      </c>
      <c r="N98" s="75">
        <v>44417</v>
      </c>
      <c r="O98" s="53">
        <v>50.010387420654297</v>
      </c>
      <c r="P98" s="9">
        <f t="shared" si="9"/>
        <v>-3.1073425491568996E-3</v>
      </c>
      <c r="R98" s="75">
        <v>44417</v>
      </c>
      <c r="S98" s="53">
        <v>31.6631546020507</v>
      </c>
      <c r="T98" s="9">
        <f t="shared" si="10"/>
        <v>2.7661431997509922E-3</v>
      </c>
      <c r="V98" s="75">
        <v>44417</v>
      </c>
      <c r="W98" s="53">
        <v>38.636207580566399</v>
      </c>
      <c r="X98" s="9">
        <f t="shared" si="11"/>
        <v>2.6869326922438486E-3</v>
      </c>
    </row>
    <row r="99" spans="2:24">
      <c r="B99" s="75">
        <v>44424</v>
      </c>
      <c r="C99" s="53">
        <v>20339</v>
      </c>
      <c r="D99" s="9">
        <f t="shared" si="6"/>
        <v>-8.7288595330323737E-3</v>
      </c>
      <c r="E99"/>
      <c r="F99" s="75">
        <v>44424</v>
      </c>
      <c r="G99" s="53">
        <v>231.915267944335</v>
      </c>
      <c r="H99" s="9">
        <f t="shared" si="7"/>
        <v>-5.5094283552554746E-2</v>
      </c>
      <c r="J99" s="75">
        <v>44424</v>
      </c>
      <c r="K99" s="53">
        <v>60.364833831787102</v>
      </c>
      <c r="L99" s="9">
        <f t="shared" si="8"/>
        <v>1.8788062049559517E-3</v>
      </c>
      <c r="N99" s="75">
        <v>44424</v>
      </c>
      <c r="O99" s="53">
        <v>50.955451965332003</v>
      </c>
      <c r="P99" s="9">
        <f t="shared" si="9"/>
        <v>1.8897364995964727E-2</v>
      </c>
      <c r="R99" s="75">
        <v>44424</v>
      </c>
      <c r="S99" s="53">
        <v>32.169769287109297</v>
      </c>
      <c r="T99" s="9">
        <f t="shared" si="10"/>
        <v>1.6000133007144646E-2</v>
      </c>
      <c r="V99" s="75">
        <v>44424</v>
      </c>
      <c r="W99" s="53">
        <v>38.805629730224602</v>
      </c>
      <c r="X99" s="9">
        <f t="shared" si="11"/>
        <v>4.385061585170158E-3</v>
      </c>
    </row>
    <row r="100" spans="2:24">
      <c r="B100" s="75">
        <v>44431</v>
      </c>
      <c r="C100" s="53">
        <v>20644.599609375</v>
      </c>
      <c r="D100" s="9">
        <f t="shared" si="6"/>
        <v>1.5025301606519603E-2</v>
      </c>
      <c r="E100"/>
      <c r="F100" s="75">
        <v>44431</v>
      </c>
      <c r="G100" s="53">
        <v>239.88040161132801</v>
      </c>
      <c r="H100" s="9">
        <f t="shared" si="7"/>
        <v>3.4345016339781598E-2</v>
      </c>
      <c r="J100" s="75">
        <v>44431</v>
      </c>
      <c r="K100" s="53">
        <v>59.629020690917898</v>
      </c>
      <c r="L100" s="9">
        <f t="shared" si="8"/>
        <v>-1.2189433717644693E-2</v>
      </c>
      <c r="N100" s="75">
        <v>44431</v>
      </c>
      <c r="O100" s="53">
        <v>50.059097290038999</v>
      </c>
      <c r="P100" s="9">
        <f t="shared" si="9"/>
        <v>-1.7590947400542123E-2</v>
      </c>
      <c r="R100" s="75">
        <v>44431</v>
      </c>
      <c r="S100" s="53">
        <v>31.418582916259702</v>
      </c>
      <c r="T100" s="9">
        <f t="shared" si="10"/>
        <v>-2.3350691891676156E-2</v>
      </c>
      <c r="V100" s="75">
        <v>44431</v>
      </c>
      <c r="W100" s="53">
        <v>38.297378540038999</v>
      </c>
      <c r="X100" s="9">
        <f t="shared" si="11"/>
        <v>-1.3097357103053042E-2</v>
      </c>
    </row>
    <row r="101" spans="2:24">
      <c r="B101" s="75">
        <v>44438</v>
      </c>
      <c r="C101" s="53">
        <v>20821.400390625</v>
      </c>
      <c r="D101" s="9">
        <f t="shared" si="6"/>
        <v>8.5640208381523308E-3</v>
      </c>
      <c r="E101"/>
      <c r="F101" s="75">
        <v>44438</v>
      </c>
      <c r="G101" s="53">
        <v>245.43746948242099</v>
      </c>
      <c r="H101" s="9">
        <f t="shared" si="7"/>
        <v>2.3165993694211684E-2</v>
      </c>
      <c r="J101" s="75">
        <v>44438</v>
      </c>
      <c r="K101" s="53">
        <v>60.779911041259702</v>
      </c>
      <c r="L101" s="9">
        <f t="shared" si="8"/>
        <v>1.9300842727358436E-2</v>
      </c>
      <c r="N101" s="75">
        <v>44438</v>
      </c>
      <c r="O101" s="53">
        <v>49.425811767578097</v>
      </c>
      <c r="P101" s="9">
        <f t="shared" si="9"/>
        <v>-1.2650757938995394E-2</v>
      </c>
      <c r="R101" s="75">
        <v>44438</v>
      </c>
      <c r="S101" s="53">
        <v>30.894506454467699</v>
      </c>
      <c r="T101" s="9">
        <f t="shared" si="10"/>
        <v>-1.6680461470487962E-2</v>
      </c>
      <c r="V101" s="75">
        <v>44438</v>
      </c>
      <c r="W101" s="53">
        <v>37.826770782470703</v>
      </c>
      <c r="X101" s="9">
        <f t="shared" si="11"/>
        <v>-1.2288249888338654E-2</v>
      </c>
    </row>
    <row r="102" spans="2:24">
      <c r="B102" s="75">
        <v>44445</v>
      </c>
      <c r="C102" s="53">
        <v>20633.099609375</v>
      </c>
      <c r="D102" s="9">
        <f t="shared" si="6"/>
        <v>-9.0436175145445219E-3</v>
      </c>
      <c r="E102"/>
      <c r="F102" s="75">
        <v>44445</v>
      </c>
      <c r="G102" s="53">
        <v>249.56828308105401</v>
      </c>
      <c r="H102" s="9">
        <f t="shared" si="7"/>
        <v>1.6830411458136796E-2</v>
      </c>
      <c r="J102" s="75">
        <v>44445</v>
      </c>
      <c r="K102" s="53">
        <v>60.117137908935497</v>
      </c>
      <c r="L102" s="9">
        <f t="shared" si="8"/>
        <v>-1.0904476840617461E-2</v>
      </c>
      <c r="N102" s="75">
        <v>44445</v>
      </c>
      <c r="O102" s="53">
        <v>48.773040771484297</v>
      </c>
      <c r="P102" s="9">
        <f t="shared" si="9"/>
        <v>-1.3207087000683293E-2</v>
      </c>
      <c r="R102" s="75">
        <v>44445</v>
      </c>
      <c r="S102" s="53">
        <v>30.946910858154201</v>
      </c>
      <c r="T102" s="9">
        <f t="shared" si="10"/>
        <v>1.6962369592710136E-3</v>
      </c>
      <c r="V102" s="75">
        <v>44445</v>
      </c>
      <c r="W102" s="53">
        <v>36.932640075683501</v>
      </c>
      <c r="X102" s="9">
        <f t="shared" si="11"/>
        <v>-2.3637510902769221E-2</v>
      </c>
    </row>
    <row r="103" spans="2:24">
      <c r="B103" s="75">
        <v>44452</v>
      </c>
      <c r="C103" s="53">
        <v>20490.400390625</v>
      </c>
      <c r="D103" s="9">
        <f t="shared" si="6"/>
        <v>-6.9160340158084255E-3</v>
      </c>
      <c r="E103"/>
      <c r="F103" s="75">
        <v>44452</v>
      </c>
      <c r="G103" s="53">
        <v>245.43746948242099</v>
      </c>
      <c r="H103" s="9">
        <f t="shared" si="7"/>
        <v>-1.6551837227214539E-2</v>
      </c>
      <c r="J103" s="75">
        <v>44452</v>
      </c>
      <c r="K103" s="53">
        <v>56.830959320068303</v>
      </c>
      <c r="L103" s="9">
        <f t="shared" si="8"/>
        <v>-5.4662924802658552E-2</v>
      </c>
      <c r="N103" s="75">
        <v>44452</v>
      </c>
      <c r="O103" s="53">
        <v>47.789005279541001</v>
      </c>
      <c r="P103" s="9">
        <f t="shared" si="9"/>
        <v>-2.0175807708069371E-2</v>
      </c>
      <c r="R103" s="75">
        <v>44452</v>
      </c>
      <c r="S103" s="53">
        <v>30.291814804077099</v>
      </c>
      <c r="T103" s="9">
        <f t="shared" si="10"/>
        <v>-2.1168382753281811E-2</v>
      </c>
      <c r="V103" s="75">
        <v>44452</v>
      </c>
      <c r="W103" s="53">
        <v>36.189102172851499</v>
      </c>
      <c r="X103" s="9">
        <f t="shared" si="11"/>
        <v>-2.0132270569023003E-2</v>
      </c>
    </row>
    <row r="104" spans="2:24">
      <c r="B104" s="75">
        <v>44459</v>
      </c>
      <c r="C104" s="53">
        <v>20402.69921875</v>
      </c>
      <c r="D104" s="9">
        <f t="shared" si="6"/>
        <v>-4.2801102078574571E-3</v>
      </c>
      <c r="E104"/>
      <c r="F104" s="75">
        <v>44459</v>
      </c>
      <c r="G104" s="53">
        <v>238.92643737792901</v>
      </c>
      <c r="H104" s="9">
        <f t="shared" si="7"/>
        <v>-2.6528272631813121E-2</v>
      </c>
      <c r="J104" s="75">
        <v>44459</v>
      </c>
      <c r="K104" s="53">
        <v>56.991958618163999</v>
      </c>
      <c r="L104" s="9">
        <f t="shared" si="8"/>
        <v>2.8329505611361938E-3</v>
      </c>
      <c r="N104" s="75">
        <v>44459</v>
      </c>
      <c r="O104" s="53">
        <v>48.042312622070298</v>
      </c>
      <c r="P104" s="9">
        <f t="shared" si="9"/>
        <v>5.3005359924858109E-3</v>
      </c>
      <c r="R104" s="75">
        <v>44459</v>
      </c>
      <c r="S104" s="53">
        <v>30.204471588134702</v>
      </c>
      <c r="T104" s="9">
        <f t="shared" si="10"/>
        <v>-2.8833933030200098E-3</v>
      </c>
      <c r="V104" s="75">
        <v>44459</v>
      </c>
      <c r="W104" s="53">
        <v>36.866764068603501</v>
      </c>
      <c r="X104" s="9">
        <f t="shared" si="11"/>
        <v>1.8725579112608415E-2</v>
      </c>
    </row>
    <row r="105" spans="2:24">
      <c r="B105" s="75">
        <v>44466</v>
      </c>
      <c r="C105" s="53">
        <v>20150.900390625</v>
      </c>
      <c r="D105" s="9">
        <f t="shared" si="6"/>
        <v>-1.2341446855894334E-2</v>
      </c>
      <c r="E105"/>
      <c r="F105" s="75">
        <v>44466</v>
      </c>
      <c r="G105" s="53">
        <v>231.54479980468699</v>
      </c>
      <c r="H105" s="9">
        <f t="shared" si="7"/>
        <v>-3.0895022142593209E-2</v>
      </c>
      <c r="J105" s="75">
        <v>44466</v>
      </c>
      <c r="K105" s="53">
        <v>57.673809051513601</v>
      </c>
      <c r="L105" s="9">
        <f t="shared" si="8"/>
        <v>1.1963976144737876E-2</v>
      </c>
      <c r="N105" s="75">
        <v>44466</v>
      </c>
      <c r="O105" s="53">
        <v>47.496711730957003</v>
      </c>
      <c r="P105" s="9">
        <f t="shared" si="9"/>
        <v>-1.1356674176060566E-2</v>
      </c>
      <c r="R105" s="75">
        <v>44466</v>
      </c>
      <c r="S105" s="53">
        <v>29.0689601898193</v>
      </c>
      <c r="T105" s="9">
        <f t="shared" si="10"/>
        <v>-3.7594148767080782E-2</v>
      </c>
      <c r="V105" s="75">
        <v>44466</v>
      </c>
      <c r="W105" s="53">
        <v>35.765556335449197</v>
      </c>
      <c r="X105" s="9">
        <f t="shared" si="11"/>
        <v>-2.9869931928528382E-2</v>
      </c>
    </row>
    <row r="106" spans="2:24">
      <c r="B106" s="75">
        <v>44473</v>
      </c>
      <c r="C106" s="53">
        <v>20416.30078125</v>
      </c>
      <c r="D106" s="9">
        <f t="shared" si="6"/>
        <v>1.3170646744324888E-2</v>
      </c>
      <c r="E106"/>
      <c r="F106" s="75">
        <v>44473</v>
      </c>
      <c r="G106" s="53">
        <v>240.80656433105401</v>
      </c>
      <c r="H106" s="9">
        <f t="shared" si="7"/>
        <v>3.9999881380102353E-2</v>
      </c>
      <c r="J106" s="75">
        <v>44473</v>
      </c>
      <c r="K106" s="53">
        <v>58.204151153564403</v>
      </c>
      <c r="L106" s="9">
        <f t="shared" si="8"/>
        <v>9.1955449236429398E-3</v>
      </c>
      <c r="N106" s="75">
        <v>44473</v>
      </c>
      <c r="O106" s="53">
        <v>46.775737762451101</v>
      </c>
      <c r="P106" s="9">
        <f t="shared" si="9"/>
        <v>-1.5179450160462182E-2</v>
      </c>
      <c r="R106" s="75">
        <v>44473</v>
      </c>
      <c r="S106" s="53">
        <v>29.720636367797798</v>
      </c>
      <c r="T106" s="9">
        <f t="shared" si="10"/>
        <v>2.2418283066304223E-2</v>
      </c>
      <c r="V106" s="75">
        <v>44473</v>
      </c>
      <c r="W106" s="53">
        <v>35.765556335449197</v>
      </c>
      <c r="X106" s="9">
        <f t="shared" si="11"/>
        <v>0</v>
      </c>
    </row>
    <row r="107" spans="2:24">
      <c r="B107" s="75">
        <v>44480</v>
      </c>
      <c r="C107" s="53">
        <v>20928.099609375</v>
      </c>
      <c r="D107" s="9">
        <f t="shared" si="6"/>
        <v>2.5068146948296732E-2</v>
      </c>
      <c r="E107"/>
      <c r="F107" s="75">
        <v>44480</v>
      </c>
      <c r="G107" s="53">
        <v>245.43746948242099</v>
      </c>
      <c r="H107" s="9">
        <f t="shared" si="7"/>
        <v>1.9230809443386176E-2</v>
      </c>
      <c r="J107" s="75">
        <v>44480</v>
      </c>
      <c r="K107" s="53">
        <v>58.6871337890625</v>
      </c>
      <c r="L107" s="9">
        <f t="shared" si="8"/>
        <v>8.2980788470534694E-3</v>
      </c>
      <c r="N107" s="75">
        <v>44480</v>
      </c>
      <c r="O107" s="53">
        <v>46.561397552490199</v>
      </c>
      <c r="P107" s="9">
        <f t="shared" si="9"/>
        <v>-4.582294587194391E-3</v>
      </c>
      <c r="R107" s="75">
        <v>44480</v>
      </c>
      <c r="S107" s="53">
        <v>29.853086471557599</v>
      </c>
      <c r="T107" s="9">
        <f t="shared" si="10"/>
        <v>4.4565029537291245E-3</v>
      </c>
      <c r="V107" s="75">
        <v>44480</v>
      </c>
      <c r="W107" s="53">
        <v>35.850261688232401</v>
      </c>
      <c r="X107" s="9">
        <f t="shared" si="11"/>
        <v>2.3683499283149168E-3</v>
      </c>
    </row>
    <row r="108" spans="2:24">
      <c r="B108" s="75">
        <v>44487</v>
      </c>
      <c r="C108" s="53">
        <v>21216.19921875</v>
      </c>
      <c r="D108" s="9">
        <f t="shared" si="6"/>
        <v>1.376616199045344E-2</v>
      </c>
      <c r="E108"/>
      <c r="F108" s="75">
        <v>44487</v>
      </c>
      <c r="G108" s="53">
        <v>250.068359375</v>
      </c>
      <c r="H108" s="9">
        <f t="shared" si="7"/>
        <v>1.8867901068017945E-2</v>
      </c>
      <c r="J108" s="75">
        <v>44487</v>
      </c>
      <c r="K108" s="53">
        <v>59.378459930419901</v>
      </c>
      <c r="L108" s="9">
        <f t="shared" si="8"/>
        <v>1.1779858662755771E-2</v>
      </c>
      <c r="N108" s="75">
        <v>44487</v>
      </c>
      <c r="O108" s="53">
        <v>47.399284362792898</v>
      </c>
      <c r="P108" s="9">
        <f t="shared" si="9"/>
        <v>1.7995310586588875E-2</v>
      </c>
      <c r="R108" s="75">
        <v>44487</v>
      </c>
      <c r="S108" s="53">
        <v>29.455753326416001</v>
      </c>
      <c r="T108" s="9">
        <f t="shared" si="10"/>
        <v>-1.3309616930904489E-2</v>
      </c>
      <c r="V108" s="75">
        <v>44487</v>
      </c>
      <c r="W108" s="53">
        <v>35.292350769042898</v>
      </c>
      <c r="X108" s="9">
        <f t="shared" si="11"/>
        <v>-1.5562255138925063E-2</v>
      </c>
    </row>
    <row r="109" spans="2:24">
      <c r="B109" s="75">
        <v>44494</v>
      </c>
      <c r="C109" s="53">
        <v>21037.099609375</v>
      </c>
      <c r="D109" s="9">
        <f t="shared" si="6"/>
        <v>-8.4416444023922566E-3</v>
      </c>
      <c r="E109"/>
      <c r="F109" s="75">
        <v>44494</v>
      </c>
      <c r="G109" s="53">
        <v>254.699295043945</v>
      </c>
      <c r="H109" s="9">
        <f t="shared" si="7"/>
        <v>1.8518678974497993E-2</v>
      </c>
      <c r="J109" s="75">
        <v>44494</v>
      </c>
      <c r="K109" s="53">
        <v>59.210769653320298</v>
      </c>
      <c r="L109" s="9">
        <f t="shared" si="8"/>
        <v>-2.8240927315410502E-3</v>
      </c>
      <c r="N109" s="75">
        <v>44494</v>
      </c>
      <c r="O109" s="53">
        <v>45.889129638671797</v>
      </c>
      <c r="P109" s="9">
        <f t="shared" si="9"/>
        <v>-3.1860285327567683E-2</v>
      </c>
      <c r="R109" s="75">
        <v>44494</v>
      </c>
      <c r="S109" s="53">
        <v>29.694149017333899</v>
      </c>
      <c r="T109" s="9">
        <f t="shared" si="10"/>
        <v>8.0933489724774876E-3</v>
      </c>
      <c r="V109" s="75">
        <v>44494</v>
      </c>
      <c r="W109" s="53">
        <v>34.961631774902301</v>
      </c>
      <c r="X109" s="9">
        <f t="shared" si="11"/>
        <v>-9.3708406193981908E-3</v>
      </c>
    </row>
    <row r="110" spans="2:24">
      <c r="B110" s="75">
        <v>44501</v>
      </c>
      <c r="C110" s="53">
        <v>21455.80078125</v>
      </c>
      <c r="D110" s="9">
        <f t="shared" si="6"/>
        <v>1.9902989463833176E-2</v>
      </c>
      <c r="E110"/>
      <c r="F110" s="75">
        <v>44501</v>
      </c>
      <c r="G110" s="53">
        <v>256.722412109375</v>
      </c>
      <c r="H110" s="9">
        <f t="shared" si="7"/>
        <v>7.9431592658352201E-3</v>
      </c>
      <c r="J110" s="75">
        <v>44501</v>
      </c>
      <c r="K110" s="53">
        <v>60.988895416259702</v>
      </c>
      <c r="L110" s="9">
        <f t="shared" si="8"/>
        <v>3.0030445024618713E-2</v>
      </c>
      <c r="N110" s="75">
        <v>44501</v>
      </c>
      <c r="O110" s="53">
        <v>48.412548065185497</v>
      </c>
      <c r="P110" s="9">
        <f t="shared" si="9"/>
        <v>5.4989459298595111E-2</v>
      </c>
      <c r="R110" s="75">
        <v>44501</v>
      </c>
      <c r="S110" s="53">
        <v>31.0274333953857</v>
      </c>
      <c r="T110" s="9">
        <f t="shared" si="10"/>
        <v>4.4900575439070556E-2</v>
      </c>
      <c r="V110" s="75">
        <v>44501</v>
      </c>
      <c r="W110" s="53">
        <v>36.492389678955</v>
      </c>
      <c r="X110" s="9">
        <f t="shared" si="11"/>
        <v>4.378393760074939E-2</v>
      </c>
    </row>
    <row r="111" spans="2:24">
      <c r="B111" s="75">
        <v>44508</v>
      </c>
      <c r="C111" s="53">
        <v>21768.5</v>
      </c>
      <c r="D111" s="9">
        <f t="shared" si="6"/>
        <v>1.4574110840144705E-2</v>
      </c>
      <c r="E111"/>
      <c r="F111" s="75">
        <v>44508</v>
      </c>
      <c r="G111" s="53">
        <v>306.950592041015</v>
      </c>
      <c r="H111" s="9">
        <f t="shared" si="7"/>
        <v>0.19565171392297676</v>
      </c>
      <c r="J111" s="75">
        <v>44508</v>
      </c>
      <c r="K111" s="53">
        <v>62.1204414367675</v>
      </c>
      <c r="L111" s="9">
        <f t="shared" si="8"/>
        <v>1.8553312251104126E-2</v>
      </c>
      <c r="N111" s="75">
        <v>44508</v>
      </c>
      <c r="O111" s="53">
        <v>49.123775482177699</v>
      </c>
      <c r="P111" s="9">
        <f t="shared" si="9"/>
        <v>1.4690972597322549E-2</v>
      </c>
      <c r="R111" s="75">
        <v>44508</v>
      </c>
      <c r="S111" s="53">
        <v>31.256999969482401</v>
      </c>
      <c r="T111" s="9">
        <f t="shared" si="10"/>
        <v>7.3988257801189672E-3</v>
      </c>
      <c r="V111" s="75">
        <v>44508</v>
      </c>
      <c r="W111" s="53">
        <v>36.605785369872997</v>
      </c>
      <c r="X111" s="9">
        <f t="shared" si="11"/>
        <v>3.1073791526290417E-3</v>
      </c>
    </row>
    <row r="112" spans="2:24">
      <c r="B112" s="75">
        <v>44515</v>
      </c>
      <c r="C112" s="53">
        <v>21555</v>
      </c>
      <c r="D112" s="9">
        <f t="shared" si="6"/>
        <v>-9.8077497301146677E-3</v>
      </c>
      <c r="E112"/>
      <c r="F112" s="75">
        <v>44515</v>
      </c>
      <c r="G112" s="53">
        <v>277.18572998046801</v>
      </c>
      <c r="H112" s="9">
        <f t="shared" si="7"/>
        <v>-9.6969554163849891E-2</v>
      </c>
      <c r="J112" s="75">
        <v>44515</v>
      </c>
      <c r="K112" s="53">
        <v>59.676689147949197</v>
      </c>
      <c r="L112" s="9">
        <f t="shared" si="8"/>
        <v>-3.9338939522923444E-2</v>
      </c>
      <c r="N112" s="75">
        <v>44515</v>
      </c>
      <c r="O112" s="53">
        <v>49.776557922363203</v>
      </c>
      <c r="P112" s="9">
        <f t="shared" si="9"/>
        <v>1.3288523403954144E-2</v>
      </c>
      <c r="R112" s="75">
        <v>44515</v>
      </c>
      <c r="S112" s="53">
        <v>30.700735092163001</v>
      </c>
      <c r="T112" s="9">
        <f t="shared" si="10"/>
        <v>-1.7796489677912364E-2</v>
      </c>
      <c r="V112" s="75">
        <v>44515</v>
      </c>
      <c r="W112" s="53">
        <v>35.830947875976499</v>
      </c>
      <c r="X112" s="9">
        <f t="shared" si="11"/>
        <v>-2.116707744602031E-2</v>
      </c>
    </row>
    <row r="113" spans="2:24">
      <c r="B113" s="75">
        <v>44522</v>
      </c>
      <c r="C113" s="53">
        <v>21125.900390625</v>
      </c>
      <c r="D113" s="9">
        <f t="shared" si="6"/>
        <v>-1.9907195981210823E-2</v>
      </c>
      <c r="F113" s="75">
        <v>44522</v>
      </c>
      <c r="G113" s="53">
        <v>286.48727416992102</v>
      </c>
      <c r="H113" s="9">
        <f t="shared" si="7"/>
        <v>3.355708170874605E-2</v>
      </c>
      <c r="J113" s="75">
        <v>44522</v>
      </c>
      <c r="K113" s="53">
        <v>58.839927673339801</v>
      </c>
      <c r="L113" s="9">
        <f t="shared" si="8"/>
        <v>-1.4021580060095351E-2</v>
      </c>
      <c r="N113" s="75">
        <v>44522</v>
      </c>
      <c r="O113" s="53">
        <v>45.733245849609297</v>
      </c>
      <c r="P113" s="9">
        <f t="shared" si="9"/>
        <v>-8.1229242067325846E-2</v>
      </c>
      <c r="R113" s="75">
        <v>44522</v>
      </c>
      <c r="S113" s="53">
        <v>30.153291702270501</v>
      </c>
      <c r="T113" s="9">
        <f t="shared" si="10"/>
        <v>-1.7831605277498608E-2</v>
      </c>
      <c r="V113" s="75">
        <v>44522</v>
      </c>
      <c r="W113" s="53">
        <v>35.169517517089801</v>
      </c>
      <c r="X113" s="9">
        <f t="shared" si="11"/>
        <v>-1.8459750525610996E-2</v>
      </c>
    </row>
    <row r="114" spans="2:24">
      <c r="B114" s="75">
        <v>44529</v>
      </c>
      <c r="C114" s="53">
        <v>20633.30078125</v>
      </c>
      <c r="D114" s="9">
        <f t="shared" si="6"/>
        <v>-2.33173308718998E-2</v>
      </c>
      <c r="F114" s="75">
        <v>44529</v>
      </c>
      <c r="G114" s="53">
        <v>306.950592041015</v>
      </c>
      <c r="H114" s="9">
        <f t="shared" si="7"/>
        <v>7.1428365990723997E-2</v>
      </c>
      <c r="J114" s="75">
        <v>44529</v>
      </c>
      <c r="K114" s="53">
        <v>59.771770477294901</v>
      </c>
      <c r="L114" s="9">
        <f t="shared" si="8"/>
        <v>1.5836912803978809E-2</v>
      </c>
      <c r="N114" s="75">
        <v>44529</v>
      </c>
      <c r="O114" s="53">
        <v>46.619846343994098</v>
      </c>
      <c r="P114" s="9">
        <f t="shared" si="9"/>
        <v>1.938634527057892E-2</v>
      </c>
      <c r="R114" s="75">
        <v>44529</v>
      </c>
      <c r="S114" s="53">
        <v>30.541799545288001</v>
      </c>
      <c r="T114" s="9">
        <f t="shared" si="10"/>
        <v>1.2884425582903924E-2</v>
      </c>
      <c r="V114" s="75">
        <v>44529</v>
      </c>
      <c r="W114" s="53">
        <v>35.604179382324197</v>
      </c>
      <c r="X114" s="9">
        <f t="shared" si="11"/>
        <v>1.2359051130661269E-2</v>
      </c>
    </row>
    <row r="115" spans="2:24">
      <c r="B115" s="75">
        <v>44536</v>
      </c>
      <c r="C115" s="53">
        <v>20890.599609375</v>
      </c>
      <c r="D115" s="9">
        <f t="shared" si="6"/>
        <v>1.2470075963745719E-2</v>
      </c>
      <c r="F115" s="75">
        <v>44536</v>
      </c>
      <c r="G115" s="53">
        <v>307.41574096679602</v>
      </c>
      <c r="H115" s="9">
        <f t="shared" si="7"/>
        <v>1.5153869640325279E-3</v>
      </c>
      <c r="J115" s="75">
        <v>44536</v>
      </c>
      <c r="K115" s="53">
        <v>59.933425903320298</v>
      </c>
      <c r="L115" s="9">
        <f t="shared" si="8"/>
        <v>2.7045447162521441E-3</v>
      </c>
      <c r="N115" s="75">
        <v>44536</v>
      </c>
      <c r="O115" s="53">
        <v>48.828907012939403</v>
      </c>
      <c r="P115" s="9">
        <f t="shared" si="9"/>
        <v>4.7384554909196686E-2</v>
      </c>
      <c r="R115" s="75">
        <v>44536</v>
      </c>
      <c r="S115" s="53">
        <v>31.610185623168899</v>
      </c>
      <c r="T115" s="9">
        <f t="shared" si="10"/>
        <v>3.4981110929520609E-2</v>
      </c>
      <c r="V115" s="75">
        <v>44536</v>
      </c>
      <c r="W115" s="53">
        <v>35.547481536865199</v>
      </c>
      <c r="X115" s="9">
        <f t="shared" si="11"/>
        <v>-1.5924491574477173E-3</v>
      </c>
    </row>
    <row r="116" spans="2:24">
      <c r="B116" s="75">
        <v>44543</v>
      </c>
      <c r="C116" s="53">
        <v>20739.19921875</v>
      </c>
      <c r="D116" s="9">
        <f t="shared" si="6"/>
        <v>-7.2472975144790563E-3</v>
      </c>
      <c r="F116" s="75">
        <v>44543</v>
      </c>
      <c r="G116" s="53">
        <v>292.99826049804602</v>
      </c>
      <c r="H116" s="9">
        <f t="shared" si="7"/>
        <v>-4.6898966277420517E-2</v>
      </c>
      <c r="J116" s="75">
        <v>44543</v>
      </c>
      <c r="K116" s="53">
        <v>64.316932678222599</v>
      </c>
      <c r="L116" s="9">
        <f t="shared" si="8"/>
        <v>7.313959962798422E-2</v>
      </c>
      <c r="N116" s="75">
        <v>44543</v>
      </c>
      <c r="O116" s="53">
        <v>46.729259490966797</v>
      </c>
      <c r="P116" s="9">
        <f t="shared" si="9"/>
        <v>-4.3000092576641391E-2</v>
      </c>
      <c r="R116" s="75">
        <v>44543</v>
      </c>
      <c r="S116" s="53">
        <v>31.1422119140625</v>
      </c>
      <c r="T116" s="9">
        <f t="shared" si="10"/>
        <v>-1.4804522652451468E-2</v>
      </c>
      <c r="V116" s="75">
        <v>44543</v>
      </c>
      <c r="W116" s="53">
        <v>37.664077758788999</v>
      </c>
      <c r="X116" s="9">
        <f t="shared" si="11"/>
        <v>5.9542789824048148E-2</v>
      </c>
    </row>
    <row r="117" spans="2:24">
      <c r="B117" s="75">
        <v>44550</v>
      </c>
      <c r="C117" s="53">
        <v>21229.69921875</v>
      </c>
      <c r="D117" s="9">
        <f t="shared" si="6"/>
        <v>2.3650864955120587E-2</v>
      </c>
      <c r="F117" s="75">
        <v>44550</v>
      </c>
      <c r="G117" s="53">
        <v>304.06719970703102</v>
      </c>
      <c r="H117" s="9">
        <f t="shared" si="7"/>
        <v>3.7778173802703652E-2</v>
      </c>
      <c r="J117" s="75">
        <v>44550</v>
      </c>
      <c r="K117" s="53">
        <v>64.202842712402301</v>
      </c>
      <c r="L117" s="9">
        <f t="shared" si="8"/>
        <v>-1.7738713752269986E-3</v>
      </c>
      <c r="N117" s="75">
        <v>44550</v>
      </c>
      <c r="O117" s="53">
        <v>51.221523284912102</v>
      </c>
      <c r="P117" s="9">
        <f t="shared" si="9"/>
        <v>9.6133853668571412E-2</v>
      </c>
      <c r="R117" s="75">
        <v>44550</v>
      </c>
      <c r="S117" s="53">
        <v>30.250417709350501</v>
      </c>
      <c r="T117" s="9">
        <f t="shared" si="10"/>
        <v>-2.8636187023995618E-2</v>
      </c>
      <c r="V117" s="75">
        <v>44550</v>
      </c>
      <c r="W117" s="53">
        <v>36.719169616699197</v>
      </c>
      <c r="X117" s="9">
        <f t="shared" si="11"/>
        <v>-2.5087781204713111E-2</v>
      </c>
    </row>
    <row r="118" spans="2:24">
      <c r="B118" s="75">
        <v>44557</v>
      </c>
      <c r="C118" s="53">
        <v>21222.80078125</v>
      </c>
      <c r="D118" s="9">
        <f t="shared" si="6"/>
        <v>-3.2494278081474093E-4</v>
      </c>
      <c r="F118" s="75">
        <v>44557</v>
      </c>
      <c r="G118" s="53">
        <v>318.326416015625</v>
      </c>
      <c r="H118" s="9">
        <f t="shared" si="7"/>
        <v>4.6894950597541341E-2</v>
      </c>
      <c r="J118" s="75">
        <v>44557</v>
      </c>
      <c r="K118" s="53">
        <v>64.012657165527301</v>
      </c>
      <c r="L118" s="9">
        <f t="shared" si="8"/>
        <v>-2.9622605299104432E-3</v>
      </c>
      <c r="N118" s="75">
        <v>44557</v>
      </c>
      <c r="O118" s="53">
        <v>51.758640289306598</v>
      </c>
      <c r="P118" s="9">
        <f t="shared" si="9"/>
        <v>1.0486158355870412E-2</v>
      </c>
      <c r="R118" s="75">
        <v>44557</v>
      </c>
      <c r="S118" s="53">
        <v>30.232759475708001</v>
      </c>
      <c r="T118" s="9">
        <f t="shared" si="10"/>
        <v>-5.8373520035859272E-4</v>
      </c>
      <c r="V118" s="75">
        <v>44557</v>
      </c>
      <c r="W118" s="53">
        <v>36.416797637939403</v>
      </c>
      <c r="X118" s="9">
        <f t="shared" si="11"/>
        <v>-8.2347172312491335E-3</v>
      </c>
    </row>
    <row r="119" spans="2:24">
      <c r="B119" s="75">
        <v>44564</v>
      </c>
      <c r="C119" s="53">
        <v>21084.5</v>
      </c>
      <c r="D119" s="9">
        <f t="shared" si="6"/>
        <v>-6.516613083989653E-3</v>
      </c>
      <c r="F119" s="75">
        <v>44564</v>
      </c>
      <c r="G119" s="53">
        <v>302.30914306640602</v>
      </c>
      <c r="H119" s="9">
        <f t="shared" si="7"/>
        <v>-5.0317134059124968E-2</v>
      </c>
      <c r="J119" s="75">
        <v>44564</v>
      </c>
      <c r="K119" s="53">
        <v>64.012657165527301</v>
      </c>
      <c r="L119" s="9">
        <f t="shared" si="8"/>
        <v>0</v>
      </c>
      <c r="N119" s="75">
        <v>44564</v>
      </c>
      <c r="O119" s="53">
        <v>49.0242309570312</v>
      </c>
      <c r="P119" s="9">
        <f t="shared" si="9"/>
        <v>-5.2830007067251494E-2</v>
      </c>
      <c r="R119" s="75">
        <v>44564</v>
      </c>
      <c r="S119" s="53">
        <v>30.969629287719702</v>
      </c>
      <c r="T119" s="9">
        <f t="shared" si="10"/>
        <v>2.4373223774157182E-2</v>
      </c>
      <c r="V119" s="75">
        <v>44564</v>
      </c>
      <c r="W119" s="53">
        <v>36.303409576416001</v>
      </c>
      <c r="X119" s="9">
        <f t="shared" si="11"/>
        <v>-3.1136197820226252E-3</v>
      </c>
    </row>
    <row r="120" spans="2:24">
      <c r="B120" s="75">
        <v>44571</v>
      </c>
      <c r="C120" s="53">
        <v>21357.599609375</v>
      </c>
      <c r="D120" s="9">
        <f t="shared" si="6"/>
        <v>1.2952624410111691E-2</v>
      </c>
      <c r="F120" s="75">
        <v>44571</v>
      </c>
      <c r="G120" s="53">
        <v>301.36968994140602</v>
      </c>
      <c r="H120" s="9">
        <f t="shared" si="7"/>
        <v>-3.1075908438324973E-3</v>
      </c>
      <c r="J120" s="75">
        <v>44571</v>
      </c>
      <c r="K120" s="53">
        <v>63.489673614501903</v>
      </c>
      <c r="L120" s="9">
        <f t="shared" si="8"/>
        <v>-8.1700022180463128E-3</v>
      </c>
      <c r="N120" s="75">
        <v>44571</v>
      </c>
      <c r="O120" s="53">
        <v>50.176582336425703</v>
      </c>
      <c r="P120" s="9">
        <f t="shared" si="9"/>
        <v>2.3505751276435394E-2</v>
      </c>
      <c r="R120" s="75">
        <v>44571</v>
      </c>
      <c r="S120" s="53">
        <v>31.032096862792901</v>
      </c>
      <c r="T120" s="9">
        <f t="shared" si="10"/>
        <v>2.0170591805557248E-3</v>
      </c>
      <c r="V120" s="75">
        <v>44571</v>
      </c>
      <c r="W120" s="53">
        <v>35.613624572753899</v>
      </c>
      <c r="X120" s="9">
        <f t="shared" si="11"/>
        <v>-1.9000557019586695E-2</v>
      </c>
    </row>
    <row r="121" spans="2:24">
      <c r="B121" s="75">
        <v>44578</v>
      </c>
      <c r="C121" s="53">
        <v>20621.400390625</v>
      </c>
      <c r="D121" s="9">
        <f t="shared" si="6"/>
        <v>-3.4470129238064917E-2</v>
      </c>
      <c r="F121" s="75">
        <v>44578</v>
      </c>
      <c r="G121" s="53">
        <v>302.30914306640602</v>
      </c>
      <c r="H121" s="9">
        <f t="shared" si="7"/>
        <v>3.1172780686161694E-3</v>
      </c>
      <c r="J121" s="75">
        <v>44578</v>
      </c>
      <c r="K121" s="53">
        <v>60.437389373779297</v>
      </c>
      <c r="L121" s="9">
        <f t="shared" si="8"/>
        <v>-4.8075286372639692E-2</v>
      </c>
      <c r="N121" s="75">
        <v>44578</v>
      </c>
      <c r="O121" s="53">
        <v>47.432399749755803</v>
      </c>
      <c r="P121" s="9">
        <f t="shared" si="9"/>
        <v>-5.4690504193183331E-2</v>
      </c>
      <c r="R121" s="75">
        <v>44578</v>
      </c>
      <c r="S121" s="53">
        <v>30.255628585815401</v>
      </c>
      <c r="T121" s="9">
        <f t="shared" si="10"/>
        <v>-2.5021456990503177E-2</v>
      </c>
      <c r="V121" s="75">
        <v>44578</v>
      </c>
      <c r="W121" s="53">
        <v>35.383899688720703</v>
      </c>
      <c r="X121" s="9">
        <f t="shared" si="11"/>
        <v>-6.4504775009321946E-3</v>
      </c>
    </row>
    <row r="122" spans="2:24">
      <c r="B122" s="75">
        <v>44585</v>
      </c>
      <c r="C122" s="53">
        <v>20741.80078125</v>
      </c>
      <c r="D122" s="9">
        <f t="shared" si="6"/>
        <v>5.8386136898702645E-3</v>
      </c>
      <c r="F122" s="75">
        <v>44585</v>
      </c>
      <c r="G122" s="53">
        <v>302.48596191406199</v>
      </c>
      <c r="H122" s="9">
        <f t="shared" si="7"/>
        <v>5.8489414465756617E-4</v>
      </c>
      <c r="J122" s="75">
        <v>44585</v>
      </c>
      <c r="K122" s="53">
        <v>64.145790100097599</v>
      </c>
      <c r="L122" s="9">
        <f t="shared" si="8"/>
        <v>6.1359379760489663E-2</v>
      </c>
      <c r="N122" s="75">
        <v>44585</v>
      </c>
      <c r="O122" s="53">
        <v>48.574996948242102</v>
      </c>
      <c r="P122" s="9">
        <f t="shared" si="9"/>
        <v>2.4088960383923608E-2</v>
      </c>
      <c r="R122" s="75">
        <v>44585</v>
      </c>
      <c r="S122" s="53">
        <v>31.005327224731399</v>
      </c>
      <c r="T122" s="9">
        <f t="shared" si="10"/>
        <v>2.4778815511619312E-2</v>
      </c>
      <c r="V122" s="75">
        <v>44585</v>
      </c>
      <c r="W122" s="53">
        <v>36.873256683349602</v>
      </c>
      <c r="X122" s="9">
        <f t="shared" si="11"/>
        <v>4.2091375109331475E-2</v>
      </c>
    </row>
    <row r="123" spans="2:24">
      <c r="B123" s="75">
        <v>44592</v>
      </c>
      <c r="C123" s="53">
        <v>21271.900390625</v>
      </c>
      <c r="D123" s="9">
        <f t="shared" si="6"/>
        <v>2.5557067824804935E-2</v>
      </c>
      <c r="F123" s="75">
        <v>44592</v>
      </c>
      <c r="G123" s="53">
        <v>302.67269897460898</v>
      </c>
      <c r="H123" s="9">
        <f t="shared" si="7"/>
        <v>6.1734124574042148E-4</v>
      </c>
      <c r="J123" s="75">
        <v>44592</v>
      </c>
      <c r="K123" s="53">
        <v>64.687782287597599</v>
      </c>
      <c r="L123" s="9">
        <f t="shared" si="8"/>
        <v>8.449380491755365E-3</v>
      </c>
      <c r="N123" s="75">
        <v>44592</v>
      </c>
      <c r="O123" s="53">
        <v>52.129741668701101</v>
      </c>
      <c r="P123" s="9">
        <f t="shared" si="9"/>
        <v>7.3180544390906821E-2</v>
      </c>
      <c r="R123" s="75">
        <v>44592</v>
      </c>
      <c r="S123" s="53">
        <v>31.710391998291001</v>
      </c>
      <c r="T123" s="9">
        <f t="shared" si="10"/>
        <v>2.2740117156293316E-2</v>
      </c>
      <c r="V123" s="75">
        <v>44592</v>
      </c>
      <c r="W123" s="53">
        <v>37.556270599365199</v>
      </c>
      <c r="X123" s="9">
        <f t="shared" si="11"/>
        <v>1.8523286995802968E-2</v>
      </c>
    </row>
    <row r="124" spans="2:24">
      <c r="B124" s="75">
        <v>44599</v>
      </c>
      <c r="C124" s="53">
        <v>21548.80078125</v>
      </c>
      <c r="D124" s="9">
        <f t="shared" si="6"/>
        <v>1.3017191014444318E-2</v>
      </c>
      <c r="F124" s="75">
        <v>44599</v>
      </c>
      <c r="G124" s="53">
        <v>303.70001220703102</v>
      </c>
      <c r="H124" s="9">
        <f t="shared" si="7"/>
        <v>3.3941390680505279E-3</v>
      </c>
      <c r="J124" s="75">
        <v>44599</v>
      </c>
      <c r="K124" s="53">
        <v>64.469085693359304</v>
      </c>
      <c r="L124" s="9">
        <f t="shared" si="8"/>
        <v>-3.380802162392671E-3</v>
      </c>
      <c r="N124" s="75">
        <v>44599</v>
      </c>
      <c r="O124" s="53">
        <v>52.393424987792898</v>
      </c>
      <c r="P124" s="9">
        <f t="shared" si="9"/>
        <v>5.0582126565594798E-3</v>
      </c>
      <c r="R124" s="75">
        <v>44599</v>
      </c>
      <c r="S124" s="53">
        <v>31.6568489074707</v>
      </c>
      <c r="T124" s="9">
        <f t="shared" si="10"/>
        <v>-1.688502962157834E-3</v>
      </c>
      <c r="V124" s="75">
        <v>44599</v>
      </c>
      <c r="W124" s="53">
        <v>37.328598022460902</v>
      </c>
      <c r="X124" s="9">
        <f t="shared" si="11"/>
        <v>-6.062172129203458E-3</v>
      </c>
    </row>
    <row r="125" spans="2:24">
      <c r="B125" s="75">
        <v>44606</v>
      </c>
      <c r="C125" s="53">
        <v>21008.19921875</v>
      </c>
      <c r="D125" s="9">
        <f t="shared" si="6"/>
        <v>-2.5087315437543389E-2</v>
      </c>
      <c r="F125" s="75">
        <v>44606</v>
      </c>
      <c r="G125" s="53">
        <v>310.98425292968699</v>
      </c>
      <c r="H125" s="9">
        <f t="shared" si="7"/>
        <v>2.3984986598190705E-2</v>
      </c>
      <c r="J125" s="75">
        <v>44606</v>
      </c>
      <c r="K125" s="53">
        <v>63.900508880615199</v>
      </c>
      <c r="L125" s="9">
        <f t="shared" si="8"/>
        <v>-8.8193714340619733E-3</v>
      </c>
      <c r="N125" s="75">
        <v>44606</v>
      </c>
      <c r="O125" s="53">
        <v>48.496871948242102</v>
      </c>
      <c r="P125" s="9">
        <f t="shared" si="9"/>
        <v>-7.4371031106644558E-2</v>
      </c>
      <c r="R125" s="75">
        <v>44606</v>
      </c>
      <c r="S125" s="53">
        <v>31.424800872802699</v>
      </c>
      <c r="T125" s="9">
        <f t="shared" si="10"/>
        <v>-7.330105259252151E-3</v>
      </c>
      <c r="V125" s="75">
        <v>44606</v>
      </c>
      <c r="W125" s="53">
        <v>37.404491424560497</v>
      </c>
      <c r="X125" s="9">
        <f t="shared" si="11"/>
        <v>2.0331168626779306E-3</v>
      </c>
    </row>
    <row r="126" spans="2:24">
      <c r="B126" s="75">
        <v>44613</v>
      </c>
      <c r="C126" s="53">
        <v>21106</v>
      </c>
      <c r="D126" s="9">
        <f t="shared" si="6"/>
        <v>4.6553624245295744E-3</v>
      </c>
      <c r="F126" s="75">
        <v>44613</v>
      </c>
      <c r="G126" s="53">
        <v>296.294189453125</v>
      </c>
      <c r="H126" s="9">
        <f t="shared" si="7"/>
        <v>-4.7237322591647035E-2</v>
      </c>
      <c r="J126" s="75">
        <v>44613</v>
      </c>
      <c r="K126" s="53">
        <v>64.215576171875</v>
      </c>
      <c r="L126" s="9">
        <f t="shared" si="8"/>
        <v>4.9305912703832E-3</v>
      </c>
      <c r="N126" s="75">
        <v>44613</v>
      </c>
      <c r="O126" s="53">
        <v>50.010574340820298</v>
      </c>
      <c r="P126" s="9">
        <f t="shared" si="9"/>
        <v>3.1212371680253481E-2</v>
      </c>
      <c r="R126" s="75">
        <v>44613</v>
      </c>
      <c r="S126" s="53">
        <v>32.201271057128899</v>
      </c>
      <c r="T126" s="9">
        <f t="shared" si="10"/>
        <v>2.4708833875164204E-2</v>
      </c>
      <c r="V126" s="75">
        <v>44613</v>
      </c>
      <c r="W126" s="53">
        <v>37.6985664367675</v>
      </c>
      <c r="X126" s="9">
        <f t="shared" si="11"/>
        <v>7.8620240780471473E-3</v>
      </c>
    </row>
    <row r="127" spans="2:24">
      <c r="B127" s="75">
        <v>44620</v>
      </c>
      <c r="C127" s="53">
        <v>21402.400390625</v>
      </c>
      <c r="D127" s="9">
        <f t="shared" si="6"/>
        <v>1.4043418488818293E-2</v>
      </c>
      <c r="F127" s="75">
        <v>44620</v>
      </c>
      <c r="G127" s="53">
        <v>291.51272583007801</v>
      </c>
      <c r="H127" s="9">
        <f t="shared" si="7"/>
        <v>-1.6137554475409099E-2</v>
      </c>
      <c r="J127" s="75">
        <v>44620</v>
      </c>
      <c r="K127" s="53">
        <v>66.497398376464801</v>
      </c>
      <c r="L127" s="9">
        <f t="shared" si="8"/>
        <v>3.5533780752545763E-2</v>
      </c>
      <c r="N127" s="75">
        <v>44620</v>
      </c>
      <c r="O127" s="53">
        <v>47.383579254150298</v>
      </c>
      <c r="P127" s="9">
        <f t="shared" si="9"/>
        <v>-5.2528792586286288E-2</v>
      </c>
      <c r="R127" s="75">
        <v>44620</v>
      </c>
      <c r="S127" s="53">
        <v>33.638195037841797</v>
      </c>
      <c r="T127" s="9">
        <f t="shared" si="10"/>
        <v>4.4623206896511114E-2</v>
      </c>
      <c r="V127" s="75">
        <v>44620</v>
      </c>
      <c r="W127" s="53">
        <v>40.070144653320298</v>
      </c>
      <c r="X127" s="9">
        <f t="shared" si="11"/>
        <v>6.2908976141856421E-2</v>
      </c>
    </row>
    <row r="128" spans="2:24">
      <c r="B128" s="75">
        <v>44627</v>
      </c>
      <c r="C128" s="53">
        <v>21461.80078125</v>
      </c>
      <c r="D128" s="9">
        <f t="shared" si="6"/>
        <v>2.7754078767268098E-3</v>
      </c>
      <c r="F128" s="75">
        <v>44627</v>
      </c>
      <c r="G128" s="53">
        <v>303.51315307617102</v>
      </c>
      <c r="H128" s="9">
        <f t="shared" si="7"/>
        <v>4.116604931027279E-2</v>
      </c>
      <c r="J128" s="75">
        <v>44627</v>
      </c>
      <c r="K128" s="53">
        <v>68.4927978515625</v>
      </c>
      <c r="L128" s="9">
        <f t="shared" si="8"/>
        <v>3.0007181090018653E-2</v>
      </c>
      <c r="N128" s="75">
        <v>44627</v>
      </c>
      <c r="O128" s="53">
        <v>47.696075439453097</v>
      </c>
      <c r="P128" s="9">
        <f t="shared" si="9"/>
        <v>6.5950312370171016E-3</v>
      </c>
      <c r="R128" s="75">
        <v>44627</v>
      </c>
      <c r="S128" s="53">
        <v>33.299041748046797</v>
      </c>
      <c r="T128" s="9">
        <f t="shared" si="10"/>
        <v>-1.0082386686130596E-2</v>
      </c>
      <c r="V128" s="75">
        <v>44627</v>
      </c>
      <c r="W128" s="53">
        <v>42.195068359375</v>
      </c>
      <c r="X128" s="9">
        <f t="shared" si="11"/>
        <v>5.3030098205014253E-2</v>
      </c>
    </row>
    <row r="129" spans="2:24">
      <c r="B129" s="75">
        <v>44634</v>
      </c>
      <c r="C129" s="53">
        <v>21818.5</v>
      </c>
      <c r="D129" s="9">
        <f t="shared" si="6"/>
        <v>1.6620190560226789E-2</v>
      </c>
      <c r="F129" s="75">
        <v>44634</v>
      </c>
      <c r="G129" s="53">
        <v>306.31488037109301</v>
      </c>
      <c r="H129" s="9">
        <f t="shared" si="7"/>
        <v>9.2309913640509222E-3</v>
      </c>
      <c r="J129" s="75">
        <v>44634</v>
      </c>
      <c r="K129" s="53">
        <v>66.277793884277301</v>
      </c>
      <c r="L129" s="9">
        <f t="shared" si="8"/>
        <v>-3.2339224513583953E-2</v>
      </c>
      <c r="N129" s="75">
        <v>44634</v>
      </c>
      <c r="O129" s="53">
        <v>51.846534729003899</v>
      </c>
      <c r="P129" s="9">
        <f t="shared" si="9"/>
        <v>8.7018884705085009E-2</v>
      </c>
      <c r="R129" s="75">
        <v>44634</v>
      </c>
      <c r="S129" s="53">
        <v>33.343673706054602</v>
      </c>
      <c r="T129" s="9">
        <f t="shared" si="10"/>
        <v>1.34033760927732E-3</v>
      </c>
      <c r="V129" s="75">
        <v>44634</v>
      </c>
      <c r="W129" s="53">
        <v>40.9903144836425</v>
      </c>
      <c r="X129" s="9">
        <f t="shared" si="11"/>
        <v>-2.8552006729118729E-2</v>
      </c>
    </row>
    <row r="130" spans="2:24">
      <c r="B130" s="75">
        <v>44641</v>
      </c>
      <c r="C130" s="53">
        <v>22005.900390625</v>
      </c>
      <c r="D130" s="9">
        <f t="shared" si="6"/>
        <v>8.5890593131974224E-3</v>
      </c>
      <c r="F130" s="75">
        <v>44641</v>
      </c>
      <c r="G130" s="53">
        <v>322.20025634765602</v>
      </c>
      <c r="H130" s="9">
        <f t="shared" si="7"/>
        <v>5.1859628749730602E-2</v>
      </c>
      <c r="J130" s="75">
        <v>44641</v>
      </c>
      <c r="K130" s="53">
        <v>67.137069702148395</v>
      </c>
      <c r="L130" s="9">
        <f t="shared" si="8"/>
        <v>1.2964761913641931E-2</v>
      </c>
      <c r="N130" s="75">
        <v>44641</v>
      </c>
      <c r="O130" s="53">
        <v>53.028190612792898</v>
      </c>
      <c r="P130" s="9">
        <f t="shared" si="9"/>
        <v>2.2791414893307493E-2</v>
      </c>
      <c r="R130" s="75">
        <v>44641</v>
      </c>
      <c r="S130" s="53">
        <v>33.432914733886697</v>
      </c>
      <c r="T130" s="9">
        <f t="shared" si="10"/>
        <v>2.676400585574612E-3</v>
      </c>
      <c r="V130" s="75">
        <v>44641</v>
      </c>
      <c r="W130" s="53">
        <v>40.914424896240199</v>
      </c>
      <c r="X130" s="9">
        <f t="shared" si="11"/>
        <v>-1.851402907205979E-3</v>
      </c>
    </row>
    <row r="131" spans="2:24">
      <c r="B131" s="75">
        <v>44648</v>
      </c>
      <c r="C131" s="53">
        <v>21953</v>
      </c>
      <c r="D131" s="9">
        <f t="shared" si="6"/>
        <v>-2.4039184803152924E-3</v>
      </c>
      <c r="F131" s="75">
        <v>44648</v>
      </c>
      <c r="G131" s="53">
        <v>337.60003662109301</v>
      </c>
      <c r="H131" s="9">
        <f t="shared" si="7"/>
        <v>4.7795679767618005E-2</v>
      </c>
      <c r="J131" s="75">
        <v>44648</v>
      </c>
      <c r="K131" s="53">
        <v>68.330497741699205</v>
      </c>
      <c r="L131" s="9">
        <f t="shared" si="8"/>
        <v>1.777599238163674E-2</v>
      </c>
      <c r="N131" s="75">
        <v>44648</v>
      </c>
      <c r="O131" s="53">
        <v>54.371978759765597</v>
      </c>
      <c r="P131" s="9">
        <f t="shared" si="9"/>
        <v>2.5341014495193992E-2</v>
      </c>
      <c r="R131" s="75">
        <v>44648</v>
      </c>
      <c r="S131" s="53">
        <v>33.932708740234297</v>
      </c>
      <c r="T131" s="9">
        <f t="shared" si="10"/>
        <v>1.4949160440415277E-2</v>
      </c>
      <c r="V131" s="75">
        <v>44648</v>
      </c>
      <c r="W131" s="53">
        <v>41.417194366455</v>
      </c>
      <c r="X131" s="9">
        <f t="shared" si="11"/>
        <v>1.228831815404563E-2</v>
      </c>
    </row>
    <row r="132" spans="2:24">
      <c r="B132" s="75">
        <v>44655</v>
      </c>
      <c r="C132" s="53">
        <v>21874.400390625</v>
      </c>
      <c r="D132" s="9">
        <f t="shared" si="6"/>
        <v>-3.5803584646745268E-3</v>
      </c>
      <c r="F132" s="75">
        <v>44655</v>
      </c>
      <c r="G132" s="53">
        <v>350.20751953125</v>
      </c>
      <c r="H132" s="9">
        <f t="shared" si="7"/>
        <v>3.7344435848823743E-2</v>
      </c>
      <c r="J132" s="75">
        <v>44655</v>
      </c>
      <c r="K132" s="53">
        <v>69.504829406738196</v>
      </c>
      <c r="L132" s="9">
        <f t="shared" si="8"/>
        <v>1.7186054600072831E-2</v>
      </c>
      <c r="N132" s="75">
        <v>44655</v>
      </c>
      <c r="O132" s="53">
        <v>56.192207336425703</v>
      </c>
      <c r="P132" s="9">
        <f t="shared" si="9"/>
        <v>3.3477328178592058E-2</v>
      </c>
      <c r="R132" s="75">
        <v>44655</v>
      </c>
      <c r="S132" s="53">
        <v>35.628448486328097</v>
      </c>
      <c r="T132" s="9">
        <f t="shared" si="10"/>
        <v>4.9973603907522701E-2</v>
      </c>
      <c r="V132" s="75">
        <v>44655</v>
      </c>
      <c r="W132" s="53">
        <v>43.048839569091797</v>
      </c>
      <c r="X132" s="9">
        <f t="shared" si="11"/>
        <v>3.939535807761807E-2</v>
      </c>
    </row>
    <row r="133" spans="2:24">
      <c r="B133" s="75">
        <v>44662</v>
      </c>
      <c r="C133" s="53">
        <v>21855.69921875</v>
      </c>
      <c r="D133" s="9">
        <f t="shared" si="6"/>
        <v>-8.5493414864135087E-4</v>
      </c>
      <c r="F133" s="75">
        <v>44662</v>
      </c>
      <c r="G133" s="53">
        <v>350.20751953125</v>
      </c>
      <c r="H133" s="9">
        <f t="shared" si="7"/>
        <v>0</v>
      </c>
      <c r="J133" s="75">
        <v>44662</v>
      </c>
      <c r="K133" s="53">
        <v>68.674186706542898</v>
      </c>
      <c r="L133" s="9">
        <f t="shared" si="8"/>
        <v>-1.1950863088008301E-2</v>
      </c>
      <c r="N133" s="75">
        <v>44662</v>
      </c>
      <c r="O133" s="53">
        <v>55.213581085205</v>
      </c>
      <c r="P133" s="9">
        <f t="shared" si="9"/>
        <v>-1.7415693342701655E-2</v>
      </c>
      <c r="R133" s="75">
        <v>44662</v>
      </c>
      <c r="S133" s="53">
        <v>32.727848052978501</v>
      </c>
      <c r="T133" s="9">
        <f t="shared" si="10"/>
        <v>-8.1412482344345061E-2</v>
      </c>
      <c r="V133" s="75">
        <v>44662</v>
      </c>
      <c r="W133" s="53">
        <v>41.711273193359297</v>
      </c>
      <c r="X133" s="9">
        <f t="shared" si="11"/>
        <v>-3.1070904329157489E-2</v>
      </c>
    </row>
    <row r="134" spans="2:24">
      <c r="B134" s="75">
        <v>44669</v>
      </c>
      <c r="C134" s="53">
        <v>21186.400390625</v>
      </c>
      <c r="D134" s="9">
        <f t="shared" si="6"/>
        <v>-3.0623537660639522E-2</v>
      </c>
      <c r="F134" s="75">
        <v>44669</v>
      </c>
      <c r="G134" s="53">
        <v>350.20751953125</v>
      </c>
      <c r="H134" s="9">
        <f t="shared" si="7"/>
        <v>0</v>
      </c>
      <c r="J134" s="75">
        <v>44669</v>
      </c>
      <c r="K134" s="53">
        <v>66.659698486328097</v>
      </c>
      <c r="L134" s="9">
        <f t="shared" si="8"/>
        <v>-2.933399457387198E-2</v>
      </c>
      <c r="N134" s="75">
        <v>44669</v>
      </c>
      <c r="O134" s="53">
        <v>55.468029022216797</v>
      </c>
      <c r="P134" s="9">
        <f t="shared" si="9"/>
        <v>4.6084302450719594E-3</v>
      </c>
      <c r="R134" s="75">
        <v>44669</v>
      </c>
      <c r="S134" s="53">
        <v>31.8799724578857</v>
      </c>
      <c r="T134" s="9">
        <f t="shared" si="10"/>
        <v>-2.5906854423190184E-2</v>
      </c>
      <c r="V134" s="75">
        <v>44669</v>
      </c>
      <c r="W134" s="53">
        <v>40.203884124755803</v>
      </c>
      <c r="X134" s="9">
        <f t="shared" si="11"/>
        <v>-3.6138649175625703E-2</v>
      </c>
    </row>
    <row r="135" spans="2:24">
      <c r="B135" s="75">
        <v>44676</v>
      </c>
      <c r="C135" s="53">
        <v>20762</v>
      </c>
      <c r="D135" s="9">
        <f t="shared" si="6"/>
        <v>-2.0031736529098954E-2</v>
      </c>
      <c r="F135" s="75">
        <v>44676</v>
      </c>
      <c r="G135" s="53">
        <v>350.20751953125</v>
      </c>
      <c r="H135" s="9">
        <f t="shared" si="7"/>
        <v>0</v>
      </c>
      <c r="J135" s="75">
        <v>44676</v>
      </c>
      <c r="K135" s="53">
        <v>67.413948059082003</v>
      </c>
      <c r="L135" s="9">
        <f t="shared" si="8"/>
        <v>1.1314926258008784E-2</v>
      </c>
      <c r="N135" s="75">
        <v>44676</v>
      </c>
      <c r="O135" s="53">
        <v>55.9671211242675</v>
      </c>
      <c r="P135" s="9">
        <f t="shared" si="9"/>
        <v>8.9978337223917126E-3</v>
      </c>
      <c r="R135" s="75">
        <v>44676</v>
      </c>
      <c r="S135" s="53">
        <v>32.297927856445298</v>
      </c>
      <c r="T135" s="9">
        <f t="shared" si="10"/>
        <v>1.3110281042799876E-2</v>
      </c>
      <c r="V135" s="75">
        <v>44676</v>
      </c>
      <c r="W135" s="53">
        <v>40.384731292724602</v>
      </c>
      <c r="X135" s="9">
        <f t="shared" si="11"/>
        <v>4.4982511492575039E-3</v>
      </c>
    </row>
    <row r="136" spans="2:24">
      <c r="B136" s="75">
        <v>44683</v>
      </c>
      <c r="C136" s="53">
        <v>20633.30078125</v>
      </c>
      <c r="D136" s="9">
        <f t="shared" si="6"/>
        <v>-6.1987871471920197E-3</v>
      </c>
      <c r="F136" s="75">
        <v>44683</v>
      </c>
      <c r="G136" s="53">
        <v>398.28256225585898</v>
      </c>
      <c r="H136" s="9">
        <f t="shared" si="7"/>
        <v>0.13727587228554383</v>
      </c>
      <c r="J136" s="75">
        <v>44683</v>
      </c>
      <c r="K136" s="53">
        <v>65.848167419433594</v>
      </c>
      <c r="L136" s="9">
        <f t="shared" si="8"/>
        <v>-2.3226360192940332E-2</v>
      </c>
      <c r="N136" s="75">
        <v>44683</v>
      </c>
      <c r="O136" s="53">
        <v>54.029468536376903</v>
      </c>
      <c r="P136" s="9">
        <f t="shared" si="9"/>
        <v>-3.4621266003450502E-2</v>
      </c>
      <c r="R136" s="75">
        <v>44683</v>
      </c>
      <c r="S136" s="53">
        <v>32.090599060058501</v>
      </c>
      <c r="T136" s="9">
        <f t="shared" si="10"/>
        <v>-6.4192600004654432E-3</v>
      </c>
      <c r="V136" s="75">
        <v>44683</v>
      </c>
      <c r="W136" s="53">
        <v>40.023044586181598</v>
      </c>
      <c r="X136" s="9">
        <f t="shared" si="11"/>
        <v>-8.9560260763246191E-3</v>
      </c>
    </row>
    <row r="137" spans="2:24">
      <c r="B137" s="75">
        <v>44690</v>
      </c>
      <c r="C137" s="53">
        <v>20099.80078125</v>
      </c>
      <c r="D137" s="9">
        <f t="shared" si="6"/>
        <v>-2.5856260501218697E-2</v>
      </c>
      <c r="F137" s="75">
        <v>44690</v>
      </c>
      <c r="G137" s="53">
        <v>390.18566894531199</v>
      </c>
      <c r="H137" s="9">
        <f t="shared" si="7"/>
        <v>-2.0329519988739775E-2</v>
      </c>
      <c r="J137" s="75">
        <v>44690</v>
      </c>
      <c r="K137" s="53">
        <v>66.545127868652301</v>
      </c>
      <c r="L137" s="9">
        <f t="shared" si="8"/>
        <v>1.0584356050173271E-2</v>
      </c>
      <c r="N137" s="75">
        <v>44690</v>
      </c>
      <c r="O137" s="53">
        <v>57.190395355224602</v>
      </c>
      <c r="P137" s="9">
        <f t="shared" si="9"/>
        <v>5.8503755533325652E-2</v>
      </c>
      <c r="R137" s="75">
        <v>44690</v>
      </c>
      <c r="S137" s="53">
        <v>31.621864318847599</v>
      </c>
      <c r="T137" s="9">
        <f t="shared" si="10"/>
        <v>-1.4606606138254152E-2</v>
      </c>
      <c r="V137" s="75">
        <v>44690</v>
      </c>
      <c r="W137" s="53">
        <v>39.670883178710902</v>
      </c>
      <c r="X137" s="9">
        <f t="shared" si="11"/>
        <v>-8.7989659735252523E-3</v>
      </c>
    </row>
    <row r="138" spans="2:24">
      <c r="B138" s="75">
        <v>44697</v>
      </c>
      <c r="C138" s="53">
        <v>20197.599609375</v>
      </c>
      <c r="D138" s="9">
        <f t="shared" ref="D138:D201" si="12">C138/C137-1</f>
        <v>4.8656615649758095E-3</v>
      </c>
      <c r="F138" s="75">
        <v>44697</v>
      </c>
      <c r="G138" s="53">
        <v>371.10565185546801</v>
      </c>
      <c r="H138" s="9">
        <f t="shared" ref="H138:H201" si="13">G138/G137-1</f>
        <v>-4.8899840789688787E-2</v>
      </c>
      <c r="J138" s="75">
        <v>44697</v>
      </c>
      <c r="K138" s="53">
        <v>64.203765869140597</v>
      </c>
      <c r="L138" s="9">
        <f t="shared" ref="L138:L201" si="14">K138/K137-1</f>
        <v>-3.5184574355813347E-2</v>
      </c>
      <c r="N138" s="75">
        <v>44697</v>
      </c>
      <c r="O138" s="53">
        <v>54.420913696288999</v>
      </c>
      <c r="P138" s="9">
        <f t="shared" ref="P138:P201" si="15">O138/O137-1</f>
        <v>-4.8425642832745308E-2</v>
      </c>
      <c r="R138" s="75">
        <v>44697</v>
      </c>
      <c r="S138" s="53">
        <v>30.702413558959901</v>
      </c>
      <c r="T138" s="9">
        <f t="shared" ref="T138:T201" si="16">S138/S137-1</f>
        <v>-2.9076424799523215E-2</v>
      </c>
      <c r="V138" s="75">
        <v>44697</v>
      </c>
      <c r="W138" s="53">
        <v>38.947509765625</v>
      </c>
      <c r="X138" s="9">
        <f t="shared" ref="X138:X201" si="17">W138/W137-1</f>
        <v>-1.8234366243555011E-2</v>
      </c>
    </row>
    <row r="139" spans="2:24">
      <c r="B139" s="75">
        <v>44704</v>
      </c>
      <c r="C139" s="53">
        <v>20748.599609375</v>
      </c>
      <c r="D139" s="9">
        <f t="shared" si="12"/>
        <v>2.7280469494218806E-2</v>
      </c>
      <c r="F139" s="75">
        <v>44704</v>
      </c>
      <c r="G139" s="53">
        <v>362.67144775390602</v>
      </c>
      <c r="H139" s="9">
        <f t="shared" si="13"/>
        <v>-2.2727231610169096E-2</v>
      </c>
      <c r="J139" s="75">
        <v>44704</v>
      </c>
      <c r="K139" s="53">
        <v>66.973983764648395</v>
      </c>
      <c r="L139" s="9">
        <f t="shared" si="14"/>
        <v>4.3147280506162566E-2</v>
      </c>
      <c r="N139" s="75">
        <v>44704</v>
      </c>
      <c r="O139" s="53">
        <v>55.810543060302699</v>
      </c>
      <c r="P139" s="9">
        <f t="shared" si="15"/>
        <v>2.5534840737311271E-2</v>
      </c>
      <c r="R139" s="75">
        <v>44704</v>
      </c>
      <c r="S139" s="53">
        <v>32.090599060058501</v>
      </c>
      <c r="T139" s="9">
        <f t="shared" si="16"/>
        <v>4.5214214134428721E-2</v>
      </c>
      <c r="V139" s="75">
        <v>44704</v>
      </c>
      <c r="W139" s="53">
        <v>38.995113372802699</v>
      </c>
      <c r="X139" s="9">
        <f t="shared" si="17"/>
        <v>1.2222503431968956E-3</v>
      </c>
    </row>
    <row r="140" spans="2:24">
      <c r="B140" s="75">
        <v>44711</v>
      </c>
      <c r="C140" s="53">
        <v>20790.69921875</v>
      </c>
      <c r="D140" s="9">
        <f t="shared" si="12"/>
        <v>2.02903377421082E-3</v>
      </c>
      <c r="F140" s="75">
        <v>44711</v>
      </c>
      <c r="G140" s="53">
        <v>363.13998413085898</v>
      </c>
      <c r="H140" s="9">
        <f t="shared" si="13"/>
        <v>1.2919031256932723E-3</v>
      </c>
      <c r="J140" s="75">
        <v>44711</v>
      </c>
      <c r="K140" s="53">
        <v>68.641838073730398</v>
      </c>
      <c r="L140" s="9">
        <f t="shared" si="14"/>
        <v>2.4903017788862059E-2</v>
      </c>
      <c r="N140" s="75">
        <v>44711</v>
      </c>
      <c r="O140" s="53">
        <v>56.466220855712798</v>
      </c>
      <c r="P140" s="9">
        <f t="shared" si="15"/>
        <v>1.1748278362058606E-2</v>
      </c>
      <c r="R140" s="75">
        <v>44711</v>
      </c>
      <c r="S140" s="53">
        <v>31.883275985717699</v>
      </c>
      <c r="T140" s="9">
        <f t="shared" si="16"/>
        <v>-6.4605548170911797E-3</v>
      </c>
      <c r="V140" s="75">
        <v>44711</v>
      </c>
      <c r="W140" s="53">
        <v>39.2235298156738</v>
      </c>
      <c r="X140" s="9">
        <f t="shared" si="17"/>
        <v>5.8575658105513018E-3</v>
      </c>
    </row>
    <row r="141" spans="2:24">
      <c r="B141" s="75">
        <v>44718</v>
      </c>
      <c r="C141" s="53">
        <v>20274.80078125</v>
      </c>
      <c r="D141" s="9">
        <f t="shared" si="12"/>
        <v>-2.4813905105930179E-2</v>
      </c>
      <c r="F141" s="75">
        <v>44718</v>
      </c>
      <c r="G141" s="53">
        <v>353.88107299804602</v>
      </c>
      <c r="H141" s="9">
        <f t="shared" si="13"/>
        <v>-2.5496809873397086E-2</v>
      </c>
      <c r="J141" s="75">
        <v>44718</v>
      </c>
      <c r="K141" s="53">
        <v>66.255065917968693</v>
      </c>
      <c r="L141" s="9">
        <f t="shared" si="14"/>
        <v>-3.4771390492165932E-2</v>
      </c>
      <c r="N141" s="75">
        <v>44718</v>
      </c>
      <c r="O141" s="53">
        <v>53.530376434326101</v>
      </c>
      <c r="P141" s="9">
        <f t="shared" si="15"/>
        <v>-5.1992932710843376E-2</v>
      </c>
      <c r="R141" s="75">
        <v>44718</v>
      </c>
      <c r="S141" s="53">
        <v>32.135673522949197</v>
      </c>
      <c r="T141" s="9">
        <f t="shared" si="16"/>
        <v>7.9162987311769406E-3</v>
      </c>
      <c r="V141" s="75">
        <v>44718</v>
      </c>
      <c r="W141" s="53">
        <v>38.909446716308501</v>
      </c>
      <c r="X141" s="9">
        <f t="shared" si="17"/>
        <v>-8.007517447850665E-3</v>
      </c>
    </row>
    <row r="142" spans="2:24">
      <c r="B142" s="75">
        <v>44725</v>
      </c>
      <c r="C142" s="53">
        <v>18930.5</v>
      </c>
      <c r="D142" s="9">
        <f t="shared" si="12"/>
        <v>-6.630401924803131E-2</v>
      </c>
      <c r="F142" s="75">
        <v>44725</v>
      </c>
      <c r="G142" s="53">
        <v>299.88333129882801</v>
      </c>
      <c r="H142" s="9">
        <f t="shared" si="13"/>
        <v>-0.15258725549166674</v>
      </c>
      <c r="J142" s="75">
        <v>44725</v>
      </c>
      <c r="K142" s="53">
        <v>64.510498046875</v>
      </c>
      <c r="L142" s="9">
        <f t="shared" si="14"/>
        <v>-2.6331086490105737E-2</v>
      </c>
      <c r="N142" s="75">
        <v>44725</v>
      </c>
      <c r="O142" s="53">
        <v>51.905864715576101</v>
      </c>
      <c r="P142" s="9">
        <f t="shared" si="15"/>
        <v>-3.0347474218550219E-2</v>
      </c>
      <c r="R142" s="75">
        <v>44725</v>
      </c>
      <c r="S142" s="53">
        <v>30.260717391967699</v>
      </c>
      <c r="T142" s="9">
        <f t="shared" si="16"/>
        <v>-5.8345008068448556E-2</v>
      </c>
      <c r="V142" s="75">
        <v>44725</v>
      </c>
      <c r="W142" s="53">
        <v>38.443065643310497</v>
      </c>
      <c r="X142" s="9">
        <f t="shared" si="17"/>
        <v>-1.1986319836373438E-2</v>
      </c>
    </row>
    <row r="143" spans="2:24">
      <c r="B143" s="75">
        <v>44732</v>
      </c>
      <c r="C143" s="53">
        <v>19062.900390625</v>
      </c>
      <c r="D143" s="9">
        <f t="shared" si="12"/>
        <v>6.9940250191489195E-3</v>
      </c>
      <c r="F143" s="75">
        <v>44732</v>
      </c>
      <c r="G143" s="53">
        <v>299.88333129882801</v>
      </c>
      <c r="H143" s="9">
        <f t="shared" si="13"/>
        <v>0</v>
      </c>
      <c r="J143" s="75">
        <v>44732</v>
      </c>
      <c r="K143" s="53">
        <v>66.025009155273395</v>
      </c>
      <c r="L143" s="9">
        <f t="shared" si="14"/>
        <v>2.3476971256645829E-2</v>
      </c>
      <c r="N143" s="75">
        <v>44732</v>
      </c>
      <c r="O143" s="53">
        <v>53.9903144836425</v>
      </c>
      <c r="P143" s="9">
        <f t="shared" si="15"/>
        <v>4.0158270736618595E-2</v>
      </c>
      <c r="R143" s="75">
        <v>44732</v>
      </c>
      <c r="S143" s="53">
        <v>30.882692337036101</v>
      </c>
      <c r="T143" s="9">
        <f t="shared" si="16"/>
        <v>2.055387309599932E-2</v>
      </c>
      <c r="V143" s="75">
        <v>44732</v>
      </c>
      <c r="W143" s="53">
        <v>37.967166900634702</v>
      </c>
      <c r="X143" s="9">
        <f t="shared" si="17"/>
        <v>-1.2379313010345339E-2</v>
      </c>
    </row>
    <row r="144" spans="2:24">
      <c r="B144" s="75">
        <v>44739</v>
      </c>
      <c r="C144" s="53">
        <v>18861.400390625</v>
      </c>
      <c r="D144" s="9">
        <f t="shared" si="12"/>
        <v>-1.057026978429243E-2</v>
      </c>
      <c r="F144" s="75">
        <v>44739</v>
      </c>
      <c r="G144" s="53">
        <v>299.88333129882801</v>
      </c>
      <c r="H144" s="9">
        <f t="shared" si="13"/>
        <v>0</v>
      </c>
      <c r="J144" s="75">
        <v>44739</v>
      </c>
      <c r="K144" s="53">
        <v>66.226303100585895</v>
      </c>
      <c r="L144" s="9">
        <f t="shared" si="14"/>
        <v>3.0487530087137671E-3</v>
      </c>
      <c r="N144" s="75">
        <v>44739</v>
      </c>
      <c r="O144" s="53">
        <v>49.136375427246001</v>
      </c>
      <c r="P144" s="9">
        <f t="shared" si="15"/>
        <v>-8.9903885591685162E-2</v>
      </c>
      <c r="R144" s="75">
        <v>44739</v>
      </c>
      <c r="S144" s="53">
        <v>30.008317947387599</v>
      </c>
      <c r="T144" s="9">
        <f t="shared" si="16"/>
        <v>-2.8312764318151995E-2</v>
      </c>
      <c r="V144" s="75">
        <v>44739</v>
      </c>
      <c r="W144" s="53">
        <v>37.738739013671797</v>
      </c>
      <c r="X144" s="9">
        <f t="shared" si="17"/>
        <v>-6.0164585775054347E-3</v>
      </c>
    </row>
    <row r="145" spans="2:24">
      <c r="B145" s="75">
        <v>44746</v>
      </c>
      <c r="C145" s="53">
        <v>19022.900390625</v>
      </c>
      <c r="D145" s="9">
        <f t="shared" si="12"/>
        <v>8.5624607216479021E-3</v>
      </c>
      <c r="F145" s="75">
        <v>44746</v>
      </c>
      <c r="G145" s="53">
        <v>254.29171752929599</v>
      </c>
      <c r="H145" s="9">
        <f t="shared" si="13"/>
        <v>-0.15203117016230838</v>
      </c>
      <c r="J145" s="75">
        <v>44746</v>
      </c>
      <c r="K145" s="53">
        <v>68.210502624511705</v>
      </c>
      <c r="L145" s="9">
        <f t="shared" si="14"/>
        <v>2.996089817835923E-2</v>
      </c>
      <c r="N145" s="75">
        <v>44746</v>
      </c>
      <c r="O145" s="53">
        <v>51.719924926757798</v>
      </c>
      <c r="P145" s="9">
        <f t="shared" si="15"/>
        <v>5.2579163136221574E-2</v>
      </c>
      <c r="R145" s="75">
        <v>44746</v>
      </c>
      <c r="S145" s="53">
        <v>31.2088508605957</v>
      </c>
      <c r="T145" s="9">
        <f t="shared" si="16"/>
        <v>4.0006671327361465E-2</v>
      </c>
      <c r="V145" s="75">
        <v>44746</v>
      </c>
      <c r="W145" s="53">
        <v>38.481136322021399</v>
      </c>
      <c r="X145" s="9">
        <f t="shared" si="17"/>
        <v>1.9672022111831833E-2</v>
      </c>
    </row>
    <row r="146" spans="2:24">
      <c r="B146" s="75">
        <v>44753</v>
      </c>
      <c r="C146" s="53">
        <v>18394.5</v>
      </c>
      <c r="D146" s="9">
        <f t="shared" si="12"/>
        <v>-3.3033889560536878E-2</v>
      </c>
      <c r="F146" s="75">
        <v>44753</v>
      </c>
      <c r="G146" s="53">
        <v>265.15310668945301</v>
      </c>
      <c r="H146" s="9">
        <f t="shared" si="13"/>
        <v>4.2712319794315334E-2</v>
      </c>
      <c r="J146" s="75">
        <v>44753</v>
      </c>
      <c r="K146" s="53">
        <v>67.271125793457003</v>
      </c>
      <c r="L146" s="9">
        <f t="shared" si="14"/>
        <v>-1.3771733016333609E-2</v>
      </c>
      <c r="N146" s="75">
        <v>44753</v>
      </c>
      <c r="O146" s="53">
        <v>51.419795989990199</v>
      </c>
      <c r="P146" s="9">
        <f t="shared" si="15"/>
        <v>-5.802965437258889E-3</v>
      </c>
      <c r="R146" s="75">
        <v>44753</v>
      </c>
      <c r="S146" s="53">
        <v>30.516126632690401</v>
      </c>
      <c r="T146" s="9">
        <f t="shared" si="16"/>
        <v>-2.2196402905046764E-2</v>
      </c>
      <c r="V146" s="75">
        <v>44753</v>
      </c>
      <c r="W146" s="53">
        <v>37.624507904052699</v>
      </c>
      <c r="X146" s="9">
        <f t="shared" si="17"/>
        <v>-2.2260995901996816E-2</v>
      </c>
    </row>
    <row r="147" spans="2:24">
      <c r="B147" s="75">
        <v>44760</v>
      </c>
      <c r="C147" s="53">
        <v>18982.900390625</v>
      </c>
      <c r="D147" s="9">
        <f t="shared" si="12"/>
        <v>3.1987843682894423E-2</v>
      </c>
      <c r="F147" s="75">
        <v>44760</v>
      </c>
      <c r="G147" s="53">
        <v>264.17849731445301</v>
      </c>
      <c r="H147" s="9">
        <f t="shared" si="13"/>
        <v>-3.6756475802542932E-3</v>
      </c>
      <c r="J147" s="75">
        <v>44760</v>
      </c>
      <c r="K147" s="53">
        <v>66.763084411621094</v>
      </c>
      <c r="L147" s="9">
        <f t="shared" si="14"/>
        <v>-7.5521462714293053E-3</v>
      </c>
      <c r="N147" s="75">
        <v>44760</v>
      </c>
      <c r="O147" s="53">
        <v>52.675125122070298</v>
      </c>
      <c r="P147" s="9">
        <f t="shared" si="15"/>
        <v>2.4413343303121504E-2</v>
      </c>
      <c r="R147" s="75">
        <v>44760</v>
      </c>
      <c r="S147" s="53">
        <v>30.862489700317301</v>
      </c>
      <c r="T147" s="9">
        <f t="shared" si="16"/>
        <v>1.1350164842213628E-2</v>
      </c>
      <c r="V147" s="75">
        <v>44760</v>
      </c>
      <c r="W147" s="53">
        <v>37.808334350585902</v>
      </c>
      <c r="X147" s="9">
        <f t="shared" si="17"/>
        <v>4.8858166331897657E-3</v>
      </c>
    </row>
    <row r="148" spans="2:24">
      <c r="B148" s="75">
        <v>44767</v>
      </c>
      <c r="C148" s="53">
        <v>19692.900390625</v>
      </c>
      <c r="D148" s="9">
        <f t="shared" si="12"/>
        <v>3.7402082157616201E-2</v>
      </c>
      <c r="F148" s="75">
        <v>44767</v>
      </c>
      <c r="G148" s="53">
        <v>283.01486206054602</v>
      </c>
      <c r="H148" s="9">
        <f t="shared" si="13"/>
        <v>7.1301657544338148E-2</v>
      </c>
      <c r="J148" s="75">
        <v>44767</v>
      </c>
      <c r="K148" s="53">
        <v>67.970870971679602</v>
      </c>
      <c r="L148" s="9">
        <f t="shared" si="14"/>
        <v>1.809063452808779E-2</v>
      </c>
      <c r="N148" s="75">
        <v>44767</v>
      </c>
      <c r="O148" s="53">
        <v>56.107688903808501</v>
      </c>
      <c r="P148" s="9">
        <f t="shared" si="15"/>
        <v>6.516479597881375E-2</v>
      </c>
      <c r="R148" s="75">
        <v>44767</v>
      </c>
      <c r="S148" s="53">
        <v>31.4276008605957</v>
      </c>
      <c r="T148" s="9">
        <f t="shared" si="16"/>
        <v>1.831061478726359E-2</v>
      </c>
      <c r="V148" s="75">
        <v>44767</v>
      </c>
      <c r="W148" s="53">
        <v>37.139331817626903</v>
      </c>
      <c r="X148" s="9">
        <f t="shared" si="17"/>
        <v>-1.7694578310579079E-2</v>
      </c>
    </row>
    <row r="149" spans="2:24">
      <c r="B149" s="75">
        <v>44774</v>
      </c>
      <c r="C149" s="53">
        <v>19620.099609375</v>
      </c>
      <c r="D149" s="9">
        <f t="shared" si="12"/>
        <v>-3.6968034066052757E-3</v>
      </c>
      <c r="F149" s="75">
        <v>44774</v>
      </c>
      <c r="G149" s="53">
        <v>261.13885498046801</v>
      </c>
      <c r="H149" s="9">
        <f t="shared" si="13"/>
        <v>-7.7296319072452158E-2</v>
      </c>
      <c r="J149" s="75">
        <v>44774</v>
      </c>
      <c r="K149" s="53">
        <v>67.386161804199205</v>
      </c>
      <c r="L149" s="9">
        <f t="shared" si="14"/>
        <v>-8.6023491993212353E-3</v>
      </c>
      <c r="N149" s="75">
        <v>44774</v>
      </c>
      <c r="O149" s="53">
        <v>56.195957183837798</v>
      </c>
      <c r="P149" s="9">
        <f t="shared" si="15"/>
        <v>1.5731940087682084E-3</v>
      </c>
      <c r="R149" s="75">
        <v>44774</v>
      </c>
      <c r="S149" s="53">
        <v>30.616386413574201</v>
      </c>
      <c r="T149" s="9">
        <f t="shared" si="16"/>
        <v>-2.5812165892644012E-2</v>
      </c>
      <c r="V149" s="75">
        <v>44774</v>
      </c>
      <c r="W149" s="53">
        <v>36.565891265869098</v>
      </c>
      <c r="X149" s="9">
        <f t="shared" si="17"/>
        <v>-1.5440249560053743E-2</v>
      </c>
    </row>
    <row r="150" spans="2:24">
      <c r="B150" s="75">
        <v>44781</v>
      </c>
      <c r="C150" s="53">
        <v>20179.80078125</v>
      </c>
      <c r="D150" s="9">
        <f t="shared" si="12"/>
        <v>2.8526928151147546E-2</v>
      </c>
      <c r="F150" s="75">
        <v>44781</v>
      </c>
      <c r="G150" s="53">
        <v>261.13885498046801</v>
      </c>
      <c r="H150" s="9">
        <f t="shared" si="13"/>
        <v>0</v>
      </c>
      <c r="J150" s="75">
        <v>44781</v>
      </c>
      <c r="K150" s="53">
        <v>67.712059020996094</v>
      </c>
      <c r="L150" s="9">
        <f t="shared" si="14"/>
        <v>4.8362632337457523E-3</v>
      </c>
      <c r="N150" s="75">
        <v>44781</v>
      </c>
      <c r="O150" s="53">
        <v>58.343765258788999</v>
      </c>
      <c r="P150" s="9">
        <f t="shared" si="15"/>
        <v>3.8219974933871637E-2</v>
      </c>
      <c r="R150" s="75">
        <v>44781</v>
      </c>
      <c r="S150" s="53">
        <v>32.220584869384702</v>
      </c>
      <c r="T150" s="9">
        <f t="shared" si="16"/>
        <v>5.2396727495549911E-2</v>
      </c>
      <c r="V150" s="75">
        <v>44781</v>
      </c>
      <c r="W150" s="53">
        <v>37.416488647460902</v>
      </c>
      <c r="X150" s="9">
        <f t="shared" si="17"/>
        <v>2.3262044275282223E-2</v>
      </c>
    </row>
    <row r="151" spans="2:24">
      <c r="B151" s="75">
        <v>44788</v>
      </c>
      <c r="C151" s="53">
        <v>20111.400390625</v>
      </c>
      <c r="D151" s="9">
        <f t="shared" si="12"/>
        <v>-3.3895473680074506E-3</v>
      </c>
      <c r="F151" s="75">
        <v>44788</v>
      </c>
      <c r="G151" s="53">
        <v>267.97366333007801</v>
      </c>
      <c r="H151" s="9">
        <f t="shared" si="13"/>
        <v>2.6173080793056247E-2</v>
      </c>
      <c r="J151" s="75">
        <v>44788</v>
      </c>
      <c r="K151" s="53">
        <v>69.370353698730398</v>
      </c>
      <c r="L151" s="9">
        <f t="shared" si="14"/>
        <v>2.4490389181934358E-2</v>
      </c>
      <c r="N151" s="75">
        <v>44788</v>
      </c>
      <c r="O151" s="53">
        <v>57.922050476074197</v>
      </c>
      <c r="P151" s="9">
        <f t="shared" si="15"/>
        <v>-7.2281036515940977E-3</v>
      </c>
      <c r="R151" s="75">
        <v>44788</v>
      </c>
      <c r="S151" s="53">
        <v>32.922416687011697</v>
      </c>
      <c r="T151" s="9">
        <f t="shared" si="16"/>
        <v>2.1782094287613685E-2</v>
      </c>
      <c r="V151" s="75">
        <v>44788</v>
      </c>
      <c r="W151" s="53">
        <v>38.1237182617187</v>
      </c>
      <c r="X151" s="9">
        <f t="shared" si="17"/>
        <v>1.8901549552694075E-2</v>
      </c>
    </row>
    <row r="152" spans="2:24">
      <c r="B152" s="75">
        <v>44795</v>
      </c>
      <c r="C152" s="53">
        <v>19873.30078125</v>
      </c>
      <c r="D152" s="9">
        <f t="shared" si="12"/>
        <v>-1.1839036802528735E-2</v>
      </c>
      <c r="F152" s="75">
        <v>44795</v>
      </c>
      <c r="G152" s="53">
        <v>249.82597351074199</v>
      </c>
      <c r="H152" s="9">
        <f t="shared" si="13"/>
        <v>-6.7721915630874929E-2</v>
      </c>
      <c r="J152" s="75">
        <v>44795</v>
      </c>
      <c r="K152" s="53">
        <v>67.156089782714801</v>
      </c>
      <c r="L152" s="9">
        <f t="shared" si="14"/>
        <v>-3.1919455472750768E-2</v>
      </c>
      <c r="N152" s="75">
        <v>44795</v>
      </c>
      <c r="O152" s="53">
        <v>55.872318267822202</v>
      </c>
      <c r="P152" s="9">
        <f t="shared" si="15"/>
        <v>-3.5387770139433838E-2</v>
      </c>
      <c r="R152" s="75">
        <v>44795</v>
      </c>
      <c r="S152" s="53">
        <v>31.5825500488281</v>
      </c>
      <c r="T152" s="9">
        <f t="shared" si="16"/>
        <v>-4.0697700017635396E-2</v>
      </c>
      <c r="V152" s="75">
        <v>44795</v>
      </c>
      <c r="W152" s="53">
        <v>36.709255218505803</v>
      </c>
      <c r="X152" s="9">
        <f t="shared" si="17"/>
        <v>-3.7101917328803857E-2</v>
      </c>
    </row>
    <row r="153" spans="2:24">
      <c r="B153" s="75">
        <v>44802</v>
      </c>
      <c r="C153" s="53">
        <v>19270.900390625</v>
      </c>
      <c r="D153" s="9">
        <f t="shared" si="12"/>
        <v>-3.0312045153231493E-2</v>
      </c>
      <c r="F153" s="75">
        <v>44802</v>
      </c>
      <c r="G153" s="53">
        <v>254.53965759277301</v>
      </c>
      <c r="H153" s="9">
        <f t="shared" si="13"/>
        <v>1.8867870365081751E-2</v>
      </c>
      <c r="J153" s="75">
        <v>44802</v>
      </c>
      <c r="K153" s="53">
        <v>67.836669921875</v>
      </c>
      <c r="L153" s="9">
        <f t="shared" si="14"/>
        <v>1.0134302657617944E-2</v>
      </c>
      <c r="N153" s="75">
        <v>44802</v>
      </c>
      <c r="O153" s="53">
        <v>58.314334869384702</v>
      </c>
      <c r="P153" s="9">
        <f t="shared" si="15"/>
        <v>4.3707092837221628E-2</v>
      </c>
      <c r="R153" s="75">
        <v>44802</v>
      </c>
      <c r="S153" s="53">
        <v>31.518756866455</v>
      </c>
      <c r="T153" s="9">
        <f t="shared" si="16"/>
        <v>-2.0198870032493987E-3</v>
      </c>
      <c r="V153" s="75">
        <v>44802</v>
      </c>
      <c r="W153" s="53">
        <v>36.3269653320312</v>
      </c>
      <c r="X153" s="9">
        <f t="shared" si="17"/>
        <v>-1.0413991899293151E-2</v>
      </c>
    </row>
    <row r="154" spans="2:24">
      <c r="B154" s="75">
        <v>44809</v>
      </c>
      <c r="C154" s="53">
        <v>19773.30078125</v>
      </c>
      <c r="D154" s="9">
        <f t="shared" si="12"/>
        <v>2.607041603875504E-2</v>
      </c>
      <c r="F154" s="75">
        <v>44809</v>
      </c>
      <c r="G154" s="53">
        <v>254.53965759277301</v>
      </c>
      <c r="H154" s="9">
        <f t="shared" si="13"/>
        <v>0</v>
      </c>
      <c r="J154" s="75">
        <v>44809</v>
      </c>
      <c r="K154" s="53">
        <v>69.462966918945298</v>
      </c>
      <c r="L154" s="9">
        <f t="shared" si="14"/>
        <v>2.3973715085708669E-2</v>
      </c>
      <c r="N154" s="75">
        <v>44809</v>
      </c>
      <c r="O154" s="53">
        <v>58.275100708007798</v>
      </c>
      <c r="P154" s="9">
        <f t="shared" si="15"/>
        <v>-6.7280474800546219E-4</v>
      </c>
      <c r="R154" s="75">
        <v>44809</v>
      </c>
      <c r="S154" s="53">
        <v>30.625503540038999</v>
      </c>
      <c r="T154" s="9">
        <f t="shared" si="16"/>
        <v>-2.8340373010290909E-2</v>
      </c>
      <c r="V154" s="75">
        <v>44809</v>
      </c>
      <c r="W154" s="53">
        <v>36.202720642089801</v>
      </c>
      <c r="X154" s="9">
        <f t="shared" si="17"/>
        <v>-3.4201780634796064E-3</v>
      </c>
    </row>
    <row r="155" spans="2:24">
      <c r="B155" s="75">
        <v>44816</v>
      </c>
      <c r="C155" s="53">
        <v>19385.900390625</v>
      </c>
      <c r="D155" s="9">
        <f t="shared" si="12"/>
        <v>-1.959209516462479E-2</v>
      </c>
      <c r="F155" s="75">
        <v>44816</v>
      </c>
      <c r="G155" s="53">
        <v>286.48913574218699</v>
      </c>
      <c r="H155" s="9">
        <f t="shared" si="13"/>
        <v>0.1255186655453453</v>
      </c>
      <c r="J155" s="75">
        <v>44816</v>
      </c>
      <c r="K155" s="53">
        <v>68.596832275390597</v>
      </c>
      <c r="L155" s="9">
        <f t="shared" si="14"/>
        <v>-1.246901308671966E-2</v>
      </c>
      <c r="N155" s="75">
        <v>44816</v>
      </c>
      <c r="O155" s="53">
        <v>58.050285339355398</v>
      </c>
      <c r="P155" s="9">
        <f t="shared" si="15"/>
        <v>-3.8578289169993729E-3</v>
      </c>
      <c r="R155" s="75">
        <v>44816</v>
      </c>
      <c r="S155" s="53">
        <v>29.759607315063398</v>
      </c>
      <c r="T155" s="9">
        <f t="shared" si="16"/>
        <v>-2.8273697568549361E-2</v>
      </c>
      <c r="V155" s="75">
        <v>44816</v>
      </c>
      <c r="W155" s="53">
        <v>35.027183532714801</v>
      </c>
      <c r="X155" s="9">
        <f t="shared" si="17"/>
        <v>-3.2470960428545914E-2</v>
      </c>
    </row>
    <row r="156" spans="2:24">
      <c r="B156" s="75">
        <v>44823</v>
      </c>
      <c r="C156" s="53">
        <v>18481</v>
      </c>
      <c r="D156" s="9">
        <f t="shared" si="12"/>
        <v>-4.6678275055132779E-2</v>
      </c>
      <c r="F156" s="75">
        <v>44823</v>
      </c>
      <c r="G156" s="53">
        <v>256.51947021484301</v>
      </c>
      <c r="H156" s="9">
        <f t="shared" si="13"/>
        <v>-0.1046101292801338</v>
      </c>
      <c r="J156" s="75">
        <v>44823</v>
      </c>
      <c r="K156" s="53">
        <v>67.211051940917898</v>
      </c>
      <c r="L156" s="9">
        <f t="shared" si="14"/>
        <v>-2.0201812365173266E-2</v>
      </c>
      <c r="N156" s="75">
        <v>44823</v>
      </c>
      <c r="O156" s="53">
        <v>53.579574584960902</v>
      </c>
      <c r="P156" s="9">
        <f t="shared" si="15"/>
        <v>-7.701444925307821E-2</v>
      </c>
      <c r="R156" s="75">
        <v>44823</v>
      </c>
      <c r="S156" s="53">
        <v>29.294754028320298</v>
      </c>
      <c r="T156" s="9">
        <f t="shared" si="16"/>
        <v>-1.562027622951212E-2</v>
      </c>
      <c r="V156" s="75">
        <v>44823</v>
      </c>
      <c r="W156" s="53">
        <v>33.994998931884702</v>
      </c>
      <c r="X156" s="9">
        <f t="shared" si="17"/>
        <v>-2.9468101535085056E-2</v>
      </c>
    </row>
    <row r="157" spans="2:24">
      <c r="B157" s="75">
        <v>44830</v>
      </c>
      <c r="C157" s="53">
        <v>18444.19921875</v>
      </c>
      <c r="D157" s="9">
        <f t="shared" si="12"/>
        <v>-1.9912765137167776E-3</v>
      </c>
      <c r="F157" s="75">
        <v>44830</v>
      </c>
      <c r="G157" s="53">
        <v>251.63607788085901</v>
      </c>
      <c r="H157" s="9">
        <f t="shared" si="13"/>
        <v>-1.9037121548294178E-2</v>
      </c>
      <c r="J157" s="75">
        <v>44830</v>
      </c>
      <c r="K157" s="53">
        <v>66.566253662109304</v>
      </c>
      <c r="L157" s="9">
        <f t="shared" si="14"/>
        <v>-9.5936346804302852E-3</v>
      </c>
      <c r="N157" s="75">
        <v>44830</v>
      </c>
      <c r="O157" s="53">
        <v>54.640754699707003</v>
      </c>
      <c r="P157" s="9">
        <f t="shared" si="15"/>
        <v>1.9805683844379862E-2</v>
      </c>
      <c r="R157" s="75">
        <v>44830</v>
      </c>
      <c r="S157" s="53">
        <v>29.158033370971602</v>
      </c>
      <c r="T157" s="9">
        <f t="shared" si="16"/>
        <v>-4.6670696472318474E-3</v>
      </c>
      <c r="V157" s="75">
        <v>44830</v>
      </c>
      <c r="W157" s="53">
        <v>32.838581085205</v>
      </c>
      <c r="X157" s="9">
        <f t="shared" si="17"/>
        <v>-3.4017293220005684E-2</v>
      </c>
    </row>
    <row r="158" spans="2:24">
      <c r="B158" s="75">
        <v>44837</v>
      </c>
      <c r="C158" s="53">
        <v>18583.099609375</v>
      </c>
      <c r="D158" s="9">
        <f t="shared" si="12"/>
        <v>7.5308441953823024E-3</v>
      </c>
      <c r="F158" s="75">
        <v>44837</v>
      </c>
      <c r="G158" s="53">
        <v>281.77545166015602</v>
      </c>
      <c r="H158" s="9">
        <f t="shared" si="13"/>
        <v>0.11977365898051784</v>
      </c>
      <c r="J158" s="75">
        <v>44837</v>
      </c>
      <c r="K158" s="53">
        <v>65.0361328125</v>
      </c>
      <c r="L158" s="9">
        <f t="shared" si="14"/>
        <v>-2.2986434798872857E-2</v>
      </c>
      <c r="N158" s="75">
        <v>44837</v>
      </c>
      <c r="O158" s="53">
        <v>54.807788848876903</v>
      </c>
      <c r="P158" s="9">
        <f t="shared" si="15"/>
        <v>3.0569517219862785E-3</v>
      </c>
      <c r="R158" s="75">
        <v>44837</v>
      </c>
      <c r="S158" s="53">
        <v>30.620042800903299</v>
      </c>
      <c r="T158" s="9">
        <f t="shared" si="16"/>
        <v>5.0140879233206759E-2</v>
      </c>
      <c r="V158" s="75">
        <v>44837</v>
      </c>
      <c r="W158" s="53">
        <v>31.9210891723632</v>
      </c>
      <c r="X158" s="9">
        <f t="shared" si="17"/>
        <v>-2.793945056460323E-2</v>
      </c>
    </row>
    <row r="159" spans="2:24">
      <c r="B159" s="75">
        <v>44844</v>
      </c>
      <c r="C159" s="53">
        <v>18326.400390625</v>
      </c>
      <c r="D159" s="9">
        <f t="shared" si="12"/>
        <v>-1.381358460891513E-2</v>
      </c>
      <c r="F159" s="75">
        <v>44844</v>
      </c>
      <c r="G159" s="53">
        <v>248.42135620117099</v>
      </c>
      <c r="H159" s="9">
        <f t="shared" si="13"/>
        <v>-0.11837118976287819</v>
      </c>
      <c r="J159" s="75">
        <v>44844</v>
      </c>
      <c r="K159" s="53">
        <v>66.489265441894503</v>
      </c>
      <c r="L159" s="9">
        <f t="shared" si="14"/>
        <v>2.2343466109584043E-2</v>
      </c>
      <c r="N159" s="75">
        <v>44844</v>
      </c>
      <c r="O159" s="53">
        <v>56.645198822021399</v>
      </c>
      <c r="P159" s="9">
        <f t="shared" si="15"/>
        <v>3.3524614142176778E-2</v>
      </c>
      <c r="R159" s="75">
        <v>44844</v>
      </c>
      <c r="S159" s="53">
        <v>32.584526062011697</v>
      </c>
      <c r="T159" s="9">
        <f t="shared" si="16"/>
        <v>6.4156777111051166E-2</v>
      </c>
      <c r="V159" s="75">
        <v>44844</v>
      </c>
      <c r="W159" s="53">
        <v>33.0010566711425</v>
      </c>
      <c r="X159" s="9">
        <f t="shared" si="17"/>
        <v>3.3832413829861352E-2</v>
      </c>
    </row>
    <row r="160" spans="2:24">
      <c r="B160" s="75">
        <v>44851</v>
      </c>
      <c r="C160" s="53">
        <v>18861</v>
      </c>
      <c r="D160" s="9">
        <f t="shared" si="12"/>
        <v>2.9171010017246868E-2</v>
      </c>
      <c r="F160" s="75">
        <v>44851</v>
      </c>
      <c r="G160" s="53">
        <v>271.29214477539</v>
      </c>
      <c r="H160" s="9">
        <f t="shared" si="13"/>
        <v>9.2064502520863289E-2</v>
      </c>
      <c r="J160" s="75">
        <v>44851</v>
      </c>
      <c r="K160" s="53">
        <v>67.923187255859304</v>
      </c>
      <c r="L160" s="9">
        <f t="shared" si="14"/>
        <v>2.1566215304603009E-2</v>
      </c>
      <c r="N160" s="75">
        <v>44851</v>
      </c>
      <c r="O160" s="53">
        <v>57.175785064697202</v>
      </c>
      <c r="P160" s="9">
        <f t="shared" si="15"/>
        <v>9.3668352077445061E-3</v>
      </c>
      <c r="R160" s="75">
        <v>44851</v>
      </c>
      <c r="S160" s="53">
        <v>32.510730743408203</v>
      </c>
      <c r="T160" s="9">
        <f t="shared" si="16"/>
        <v>-2.2647350605331518E-3</v>
      </c>
      <c r="V160" s="75">
        <v>44851</v>
      </c>
      <c r="W160" s="53">
        <v>32.249435424804602</v>
      </c>
      <c r="X160" s="9">
        <f t="shared" si="17"/>
        <v>-2.2775672119467183E-2</v>
      </c>
    </row>
    <row r="161" spans="2:24">
      <c r="B161" s="75">
        <v>44858</v>
      </c>
      <c r="C161" s="53">
        <v>19471.19921875</v>
      </c>
      <c r="D161" s="9">
        <f t="shared" si="12"/>
        <v>3.2352431936270687E-2</v>
      </c>
      <c r="F161" s="75">
        <v>44858</v>
      </c>
      <c r="G161" s="53">
        <v>259.25338745117102</v>
      </c>
      <c r="H161" s="9">
        <f t="shared" si="13"/>
        <v>-4.4375620732351795E-2</v>
      </c>
      <c r="J161" s="75">
        <v>44858</v>
      </c>
      <c r="K161" s="53">
        <v>69.584945678710895</v>
      </c>
      <c r="L161" s="9">
        <f t="shared" si="14"/>
        <v>2.4465259802840533E-2</v>
      </c>
      <c r="N161" s="75">
        <v>44858</v>
      </c>
      <c r="O161" s="53">
        <v>60.378974914550703</v>
      </c>
      <c r="P161" s="9">
        <f t="shared" si="15"/>
        <v>5.6023539444695514E-2</v>
      </c>
      <c r="R161" s="75">
        <v>44858</v>
      </c>
      <c r="S161" s="53">
        <v>33.248565673828097</v>
      </c>
      <c r="T161" s="9">
        <f t="shared" si="16"/>
        <v>2.2695119843453293E-2</v>
      </c>
      <c r="V161" s="75">
        <v>44858</v>
      </c>
      <c r="W161" s="53">
        <v>34.170196533203097</v>
      </c>
      <c r="X161" s="9">
        <f t="shared" si="17"/>
        <v>5.9559526642787075E-2</v>
      </c>
    </row>
    <row r="162" spans="2:24">
      <c r="B162" s="75">
        <v>44865</v>
      </c>
      <c r="C162" s="53">
        <v>19449.80078125</v>
      </c>
      <c r="D162" s="9">
        <f t="shared" si="12"/>
        <v>-1.0989789205891887E-3</v>
      </c>
      <c r="F162" s="75">
        <v>44865</v>
      </c>
      <c r="G162" s="53">
        <v>273.12286376953102</v>
      </c>
      <c r="H162" s="9">
        <f t="shared" si="13"/>
        <v>5.3497763152553723E-2</v>
      </c>
      <c r="J162" s="75">
        <v>44865</v>
      </c>
      <c r="K162" s="53">
        <v>69.768531799316406</v>
      </c>
      <c r="L162" s="9">
        <f t="shared" si="14"/>
        <v>2.6383022766616193E-3</v>
      </c>
      <c r="N162" s="75">
        <v>44865</v>
      </c>
      <c r="O162" s="53">
        <v>60.575485229492102</v>
      </c>
      <c r="P162" s="9">
        <f t="shared" si="15"/>
        <v>3.2546149585928053E-3</v>
      </c>
      <c r="R162" s="75">
        <v>44865</v>
      </c>
      <c r="S162" s="53">
        <v>32.2063789367675</v>
      </c>
      <c r="T162" s="9">
        <f t="shared" si="16"/>
        <v>-3.1345314179401229E-2</v>
      </c>
      <c r="V162" s="75">
        <v>44865</v>
      </c>
      <c r="W162" s="53">
        <v>33.382678985595703</v>
      </c>
      <c r="X162" s="9">
        <f t="shared" si="17"/>
        <v>-2.3046913026741445E-2</v>
      </c>
    </row>
    <row r="163" spans="2:24">
      <c r="B163" s="75">
        <v>44872</v>
      </c>
      <c r="C163" s="53">
        <v>20111.5</v>
      </c>
      <c r="D163" s="9">
        <f t="shared" si="12"/>
        <v>3.4020873848121358E-2</v>
      </c>
      <c r="F163" s="75">
        <v>44872</v>
      </c>
      <c r="G163" s="53">
        <v>254.15602111816401</v>
      </c>
      <c r="H163" s="9">
        <f t="shared" si="13"/>
        <v>-6.9444360642658576E-2</v>
      </c>
      <c r="J163" s="75">
        <v>44872</v>
      </c>
      <c r="K163" s="53">
        <v>69.662254333496094</v>
      </c>
      <c r="L163" s="9">
        <f t="shared" si="14"/>
        <v>-1.5232865459461342E-3</v>
      </c>
      <c r="N163" s="75">
        <v>44872</v>
      </c>
      <c r="O163" s="53">
        <v>61.803695678710902</v>
      </c>
      <c r="P163" s="9">
        <f t="shared" si="15"/>
        <v>2.0275701375988664E-2</v>
      </c>
      <c r="R163" s="75">
        <v>44872</v>
      </c>
      <c r="S163" s="53">
        <v>32.9442138671875</v>
      </c>
      <c r="T163" s="9">
        <f t="shared" si="16"/>
        <v>2.2909589801096031E-2</v>
      </c>
      <c r="V163" s="75">
        <v>44872</v>
      </c>
      <c r="W163" s="53">
        <v>32.768043518066399</v>
      </c>
      <c r="X163" s="9">
        <f t="shared" si="17"/>
        <v>-1.8411807746002484E-2</v>
      </c>
    </row>
    <row r="164" spans="2:24">
      <c r="B164" s="75">
        <v>44879</v>
      </c>
      <c r="C164" s="53">
        <v>19980.900390625</v>
      </c>
      <c r="D164" s="9">
        <f t="shared" si="12"/>
        <v>-6.4937776583049445E-3</v>
      </c>
      <c r="F164" s="75">
        <v>44879</v>
      </c>
      <c r="G164" s="53">
        <v>246.56930541992099</v>
      </c>
      <c r="H164" s="9">
        <f t="shared" si="13"/>
        <v>-2.985062350624279E-2</v>
      </c>
      <c r="J164" s="75">
        <v>44879</v>
      </c>
      <c r="K164" s="53">
        <v>74.077751159667898</v>
      </c>
      <c r="L164" s="9">
        <f t="shared" si="14"/>
        <v>6.3384351660992433E-2</v>
      </c>
      <c r="N164" s="75">
        <v>44879</v>
      </c>
      <c r="O164" s="53">
        <v>60.644260406494098</v>
      </c>
      <c r="P164" s="9">
        <f t="shared" si="15"/>
        <v>-1.8759966689438357E-2</v>
      </c>
      <c r="R164" s="75">
        <v>44879</v>
      </c>
      <c r="S164" s="53">
        <v>33.691265106201101</v>
      </c>
      <c r="T164" s="9">
        <f t="shared" si="16"/>
        <v>2.2676250282531951E-2</v>
      </c>
      <c r="V164" s="75">
        <v>44879</v>
      </c>
      <c r="W164" s="53">
        <v>33.401893615722599</v>
      </c>
      <c r="X164" s="9">
        <f t="shared" si="17"/>
        <v>1.9343544185258743E-2</v>
      </c>
    </row>
    <row r="165" spans="2:24">
      <c r="B165" s="75">
        <v>44886</v>
      </c>
      <c r="C165" s="53">
        <v>20383.80078125</v>
      </c>
      <c r="D165" s="9">
        <f t="shared" si="12"/>
        <v>2.0164276021016558E-2</v>
      </c>
      <c r="F165" s="75">
        <v>44886</v>
      </c>
      <c r="G165" s="53">
        <v>253.20768737792901</v>
      </c>
      <c r="H165" s="9">
        <f t="shared" si="13"/>
        <v>2.6922986000639693E-2</v>
      </c>
      <c r="J165" s="75">
        <v>44886</v>
      </c>
      <c r="K165" s="53">
        <v>74.647796630859304</v>
      </c>
      <c r="L165" s="9">
        <f t="shared" si="14"/>
        <v>7.6952318647298679E-3</v>
      </c>
      <c r="N165" s="75">
        <v>44886</v>
      </c>
      <c r="O165" s="53">
        <v>59.818904876708899</v>
      </c>
      <c r="P165" s="9">
        <f t="shared" si="15"/>
        <v>-1.3609788036871073E-2</v>
      </c>
      <c r="R165" s="75">
        <v>44886</v>
      </c>
      <c r="S165" s="53">
        <v>34.502883911132798</v>
      </c>
      <c r="T165" s="9">
        <f t="shared" si="16"/>
        <v>2.4089888057730269E-2</v>
      </c>
      <c r="V165" s="75">
        <v>44886</v>
      </c>
      <c r="W165" s="53">
        <v>34.429492950439403</v>
      </c>
      <c r="X165" s="9">
        <f t="shared" si="17"/>
        <v>3.0764702939868771E-2</v>
      </c>
    </row>
    <row r="166" spans="2:24">
      <c r="B166" s="75">
        <v>44893</v>
      </c>
      <c r="C166" s="53">
        <v>20485.69921875</v>
      </c>
      <c r="D166" s="9">
        <f t="shared" si="12"/>
        <v>4.9989910416379235E-3</v>
      </c>
      <c r="F166" s="75">
        <v>44893</v>
      </c>
      <c r="G166" s="53">
        <v>279.69488525390602</v>
      </c>
      <c r="H166" s="9">
        <f t="shared" si="13"/>
        <v>0.1046066102900074</v>
      </c>
      <c r="J166" s="75">
        <v>44893</v>
      </c>
      <c r="K166" s="53">
        <v>75.043922424316406</v>
      </c>
      <c r="L166" s="9">
        <f t="shared" si="14"/>
        <v>5.306597265234636E-3</v>
      </c>
      <c r="N166" s="75">
        <v>44893</v>
      </c>
      <c r="O166" s="53">
        <v>60.310192108154297</v>
      </c>
      <c r="P166" s="9">
        <f t="shared" si="15"/>
        <v>8.212909154020398E-3</v>
      </c>
      <c r="R166" s="75">
        <v>44893</v>
      </c>
      <c r="S166" s="53">
        <v>34.493659973144503</v>
      </c>
      <c r="T166" s="9">
        <f t="shared" si="16"/>
        <v>-2.6733817416690897E-4</v>
      </c>
      <c r="V166" s="75">
        <v>44893</v>
      </c>
      <c r="W166" s="53">
        <v>34.410289764404297</v>
      </c>
      <c r="X166" s="9">
        <f t="shared" si="17"/>
        <v>-5.5775396003510114E-4</v>
      </c>
    </row>
    <row r="167" spans="2:24">
      <c r="B167" s="75">
        <v>44900</v>
      </c>
      <c r="C167" s="53">
        <v>19947.099609375</v>
      </c>
      <c r="D167" s="9">
        <f t="shared" si="12"/>
        <v>-2.6291492598018551E-2</v>
      </c>
      <c r="F167" s="75">
        <v>44900</v>
      </c>
      <c r="G167" s="53">
        <v>262.69110107421801</v>
      </c>
      <c r="H167" s="9">
        <f t="shared" si="13"/>
        <v>-6.0794047643209614E-2</v>
      </c>
      <c r="J167" s="75">
        <v>44900</v>
      </c>
      <c r="K167" s="53">
        <v>75.729919433593693</v>
      </c>
      <c r="L167" s="9">
        <f t="shared" si="14"/>
        <v>9.141273365196545E-3</v>
      </c>
      <c r="N167" s="75">
        <v>44900</v>
      </c>
      <c r="O167" s="53">
        <v>60.84228515625</v>
      </c>
      <c r="P167" s="9">
        <f t="shared" si="15"/>
        <v>8.8226057569424921E-3</v>
      </c>
      <c r="R167" s="75">
        <v>44900</v>
      </c>
      <c r="S167" s="53">
        <v>34.770347595214801</v>
      </c>
      <c r="T167" s="9">
        <f t="shared" si="16"/>
        <v>8.0214051592586433E-3</v>
      </c>
      <c r="V167" s="75">
        <v>44900</v>
      </c>
      <c r="W167" s="53">
        <v>35.505119323730398</v>
      </c>
      <c r="X167" s="9">
        <f t="shared" si="17"/>
        <v>3.1816923566236444E-2</v>
      </c>
    </row>
    <row r="168" spans="2:24">
      <c r="B168" s="75">
        <v>44907</v>
      </c>
      <c r="C168" s="53">
        <v>19443.30078125</v>
      </c>
      <c r="D168" s="9">
        <f t="shared" si="12"/>
        <v>-2.525674599269645E-2</v>
      </c>
      <c r="F168" s="75">
        <v>44907</v>
      </c>
      <c r="G168" s="53">
        <v>251.31100463867099</v>
      </c>
      <c r="H168" s="9">
        <f t="shared" si="13"/>
        <v>-4.3321210307507907E-2</v>
      </c>
      <c r="J168" s="75">
        <v>44907</v>
      </c>
      <c r="K168" s="53">
        <v>74.097068786621094</v>
      </c>
      <c r="L168" s="9">
        <f t="shared" si="14"/>
        <v>-2.1561499856135757E-2</v>
      </c>
      <c r="N168" s="75">
        <v>44907</v>
      </c>
      <c r="O168" s="53">
        <v>60.320327758788999</v>
      </c>
      <c r="P168" s="9">
        <f t="shared" si="15"/>
        <v>-8.5788591950574089E-3</v>
      </c>
      <c r="R168" s="75">
        <v>44907</v>
      </c>
      <c r="S168" s="53">
        <v>33.460689544677699</v>
      </c>
      <c r="T168" s="9">
        <f t="shared" si="16"/>
        <v>-3.7665946449075505E-2</v>
      </c>
      <c r="V168" s="75">
        <v>44907</v>
      </c>
      <c r="W168" s="53">
        <v>34.33345413208</v>
      </c>
      <c r="X168" s="9">
        <f t="shared" si="17"/>
        <v>-3.2999894493166759E-2</v>
      </c>
    </row>
    <row r="169" spans="2:24">
      <c r="B169" s="75">
        <v>44914</v>
      </c>
      <c r="C169" s="53">
        <v>19506.69921875</v>
      </c>
      <c r="D169" s="9">
        <f t="shared" si="12"/>
        <v>3.260682854895558E-3</v>
      </c>
      <c r="F169" s="75">
        <v>44914</v>
      </c>
      <c r="G169" s="53">
        <v>251.31100463867099</v>
      </c>
      <c r="H169" s="9">
        <f t="shared" si="13"/>
        <v>0</v>
      </c>
      <c r="J169" s="75">
        <v>44914</v>
      </c>
      <c r="K169" s="53">
        <v>73.913482666015597</v>
      </c>
      <c r="L169" s="9">
        <f t="shared" si="14"/>
        <v>-2.4776434967241912E-3</v>
      </c>
      <c r="N169" s="75">
        <v>44914</v>
      </c>
      <c r="O169" s="53">
        <v>58.823398590087798</v>
      </c>
      <c r="P169" s="9">
        <f t="shared" si="15"/>
        <v>-2.4816330154689648E-2</v>
      </c>
      <c r="R169" s="75">
        <v>44914</v>
      </c>
      <c r="S169" s="53">
        <v>33.562145233154297</v>
      </c>
      <c r="T169" s="9">
        <f t="shared" si="16"/>
        <v>3.0320860047170495E-3</v>
      </c>
      <c r="V169" s="75">
        <v>44914</v>
      </c>
      <c r="W169" s="53">
        <v>34.775230407714801</v>
      </c>
      <c r="X169" s="9">
        <f t="shared" si="17"/>
        <v>1.2867224891946361E-2</v>
      </c>
    </row>
    <row r="170" spans="2:24">
      <c r="B170" s="75">
        <v>44921</v>
      </c>
      <c r="C170" s="53">
        <v>19384.900390625</v>
      </c>
      <c r="D170" s="9">
        <f t="shared" si="12"/>
        <v>-6.2439486434447966E-3</v>
      </c>
      <c r="F170" s="75">
        <v>44921</v>
      </c>
      <c r="G170" s="53">
        <v>237.076400756835</v>
      </c>
      <c r="H170" s="9">
        <f t="shared" si="13"/>
        <v>-5.6641387042728919E-2</v>
      </c>
      <c r="J170" s="75">
        <v>44921</v>
      </c>
      <c r="K170" s="53">
        <v>72.435226440429602</v>
      </c>
      <c r="L170" s="9">
        <f t="shared" si="14"/>
        <v>-1.999981833173281E-2</v>
      </c>
      <c r="N170" s="75">
        <v>44921</v>
      </c>
      <c r="O170" s="53">
        <v>58.596889495849602</v>
      </c>
      <c r="P170" s="9">
        <f t="shared" si="15"/>
        <v>-3.8506631658029589E-3</v>
      </c>
      <c r="R170" s="75">
        <v>44921</v>
      </c>
      <c r="S170" s="53">
        <v>32.805866241455</v>
      </c>
      <c r="T170" s="9">
        <f t="shared" si="16"/>
        <v>-2.2533690455287303E-2</v>
      </c>
      <c r="V170" s="75">
        <v>44921</v>
      </c>
      <c r="W170" s="53">
        <v>34.247020721435497</v>
      </c>
      <c r="X170" s="9">
        <f t="shared" si="17"/>
        <v>-1.5189250512115171E-2</v>
      </c>
    </row>
    <row r="171" spans="2:24">
      <c r="B171" s="75">
        <v>44928</v>
      </c>
      <c r="C171" s="53">
        <v>19814.5</v>
      </c>
      <c r="D171" s="9">
        <f t="shared" si="12"/>
        <v>2.2161558776064849E-2</v>
      </c>
      <c r="F171" s="75">
        <v>44928</v>
      </c>
      <c r="G171" s="53">
        <v>256.05267333984301</v>
      </c>
      <c r="H171" s="9">
        <f t="shared" si="13"/>
        <v>8.0042857586958283E-2</v>
      </c>
      <c r="J171" s="75">
        <v>44928</v>
      </c>
      <c r="K171" s="53">
        <v>72.280624389648395</v>
      </c>
      <c r="L171" s="9">
        <f t="shared" si="14"/>
        <v>-2.1343489677408956E-3</v>
      </c>
      <c r="N171" s="75">
        <v>44928</v>
      </c>
      <c r="O171" s="53">
        <v>60.930915832519503</v>
      </c>
      <c r="P171" s="9">
        <f t="shared" si="15"/>
        <v>3.9831915256102857E-2</v>
      </c>
      <c r="R171" s="75">
        <v>44928</v>
      </c>
      <c r="S171" s="53">
        <v>33.4922065734863</v>
      </c>
      <c r="T171" s="9">
        <f t="shared" si="16"/>
        <v>2.0921268378641722E-2</v>
      </c>
      <c r="V171" s="75">
        <v>44928</v>
      </c>
      <c r="W171" s="53">
        <v>35.053737640380803</v>
      </c>
      <c r="X171" s="9">
        <f t="shared" si="17"/>
        <v>2.3555827688111153E-2</v>
      </c>
    </row>
    <row r="172" spans="2:24">
      <c r="B172" s="75">
        <v>44935</v>
      </c>
      <c r="C172" s="53">
        <v>20360.099609375</v>
      </c>
      <c r="D172" s="9">
        <f t="shared" si="12"/>
        <v>2.7535371035100509E-2</v>
      </c>
      <c r="F172" s="75">
        <v>44935</v>
      </c>
      <c r="G172" s="53">
        <v>275.01959228515602</v>
      </c>
      <c r="H172" s="9">
        <f t="shared" si="13"/>
        <v>7.4074285958105834E-2</v>
      </c>
      <c r="J172" s="75">
        <v>44935</v>
      </c>
      <c r="K172" s="53">
        <v>71.555984497070298</v>
      </c>
      <c r="L172" s="9">
        <f t="shared" si="14"/>
        <v>-1.0025368467650897E-2</v>
      </c>
      <c r="N172" s="75">
        <v>44935</v>
      </c>
      <c r="O172" s="53">
        <v>62.024070739746001</v>
      </c>
      <c r="P172" s="9">
        <f t="shared" si="15"/>
        <v>1.7940890798872067E-2</v>
      </c>
      <c r="R172" s="75">
        <v>44935</v>
      </c>
      <c r="S172" s="53">
        <v>33.687957763671797</v>
      </c>
      <c r="T172" s="9">
        <f t="shared" si="16"/>
        <v>5.8446788137411776E-3</v>
      </c>
      <c r="V172" s="75">
        <v>44935</v>
      </c>
      <c r="W172" s="53">
        <v>34.371868133544901</v>
      </c>
      <c r="X172" s="9">
        <f t="shared" si="17"/>
        <v>-1.9452119880374985E-2</v>
      </c>
    </row>
    <row r="173" spans="2:24">
      <c r="B173" s="75">
        <v>44942</v>
      </c>
      <c r="C173" s="53">
        <v>20503.19921875</v>
      </c>
      <c r="D173" s="9">
        <f t="shared" si="12"/>
        <v>7.0284336580115347E-3</v>
      </c>
      <c r="F173" s="75">
        <v>44942</v>
      </c>
      <c r="G173" s="53">
        <v>265.53616333007801</v>
      </c>
      <c r="H173" s="9">
        <f t="shared" si="13"/>
        <v>-3.448273948877445E-2</v>
      </c>
      <c r="J173" s="75">
        <v>44942</v>
      </c>
      <c r="K173" s="53">
        <v>71.942459106445298</v>
      </c>
      <c r="L173" s="9">
        <f t="shared" si="14"/>
        <v>5.4010103011135069E-3</v>
      </c>
      <c r="N173" s="75">
        <v>44942</v>
      </c>
      <c r="O173" s="53">
        <v>61.226360321044901</v>
      </c>
      <c r="P173" s="9">
        <f t="shared" si="15"/>
        <v>-1.2861303832318649E-2</v>
      </c>
      <c r="R173" s="75">
        <v>44942</v>
      </c>
      <c r="S173" s="53">
        <v>33.566776275634702</v>
      </c>
      <c r="T173" s="9">
        <f t="shared" si="16"/>
        <v>-3.5971752543507707E-3</v>
      </c>
      <c r="V173" s="75">
        <v>44942</v>
      </c>
      <c r="W173" s="53">
        <v>35.242923736572202</v>
      </c>
      <c r="X173" s="9">
        <f t="shared" si="17"/>
        <v>2.5342108250939077E-2</v>
      </c>
    </row>
    <row r="174" spans="2:24">
      <c r="B174" s="75">
        <v>44949</v>
      </c>
      <c r="C174" s="53">
        <v>20714.5</v>
      </c>
      <c r="D174" s="9">
        <f t="shared" si="12"/>
        <v>1.0305746873725319E-2</v>
      </c>
      <c r="F174" s="75">
        <v>44949</v>
      </c>
      <c r="G174" s="53">
        <v>268.47607421875</v>
      </c>
      <c r="H174" s="9">
        <f t="shared" si="13"/>
        <v>1.1071602646519629E-2</v>
      </c>
      <c r="J174" s="75">
        <v>44949</v>
      </c>
      <c r="K174" s="53">
        <v>70.570465087890597</v>
      </c>
      <c r="L174" s="9">
        <f t="shared" si="14"/>
        <v>-1.9070713395058059E-2</v>
      </c>
      <c r="N174" s="75">
        <v>44949</v>
      </c>
      <c r="O174" s="53">
        <v>58.764308929443303</v>
      </c>
      <c r="P174" s="9">
        <f t="shared" si="15"/>
        <v>-4.021227750092693E-2</v>
      </c>
      <c r="R174" s="75">
        <v>44949</v>
      </c>
      <c r="S174" s="53">
        <v>33.883708953857401</v>
      </c>
      <c r="T174" s="9">
        <f t="shared" si="16"/>
        <v>9.4418563051810178E-3</v>
      </c>
      <c r="V174" s="75">
        <v>44949</v>
      </c>
      <c r="W174" s="53">
        <v>36.5357055664062</v>
      </c>
      <c r="X174" s="9">
        <f t="shared" si="17"/>
        <v>3.6682025574752641E-2</v>
      </c>
    </row>
    <row r="175" spans="2:24">
      <c r="B175" s="75">
        <v>44956</v>
      </c>
      <c r="C175" s="53">
        <v>20758.30078125</v>
      </c>
      <c r="D175" s="9">
        <f t="shared" si="12"/>
        <v>2.1144986000145582E-3</v>
      </c>
      <c r="F175" s="75">
        <v>44956</v>
      </c>
      <c r="G175" s="53">
        <v>270.27783203125</v>
      </c>
      <c r="H175" s="9">
        <f t="shared" si="13"/>
        <v>6.7110554180405124E-3</v>
      </c>
      <c r="J175" s="75">
        <v>44956</v>
      </c>
      <c r="K175" s="53">
        <v>67.633247375488196</v>
      </c>
      <c r="L175" s="9">
        <f t="shared" si="14"/>
        <v>-4.1621062136182663E-2</v>
      </c>
      <c r="N175" s="75">
        <v>44956</v>
      </c>
      <c r="O175" s="53">
        <v>59.414299011230398</v>
      </c>
      <c r="P175" s="9">
        <f t="shared" si="15"/>
        <v>1.1060966998991173E-2</v>
      </c>
      <c r="R175" s="75">
        <v>44956</v>
      </c>
      <c r="S175" s="53">
        <v>33.5947456359863</v>
      </c>
      <c r="T175" s="9">
        <f t="shared" si="16"/>
        <v>-8.5280899521539277E-3</v>
      </c>
      <c r="V175" s="75">
        <v>44956</v>
      </c>
      <c r="W175" s="53">
        <v>35.841079711913999</v>
      </c>
      <c r="X175" s="9">
        <f t="shared" si="17"/>
        <v>-1.9012246888996609E-2</v>
      </c>
    </row>
    <row r="176" spans="2:24">
      <c r="B176" s="75">
        <v>44963</v>
      </c>
      <c r="C176" s="53">
        <v>20612.099609375</v>
      </c>
      <c r="D176" s="9">
        <f t="shared" si="12"/>
        <v>-7.0430221344059962E-3</v>
      </c>
      <c r="F176" s="75">
        <v>44963</v>
      </c>
      <c r="G176" s="53">
        <v>286.24725341796801</v>
      </c>
      <c r="H176" s="9">
        <f t="shared" si="13"/>
        <v>5.9085206014496849E-2</v>
      </c>
      <c r="J176" s="75">
        <v>44963</v>
      </c>
      <c r="K176" s="53">
        <v>68.444847106933594</v>
      </c>
      <c r="L176" s="9">
        <f t="shared" si="14"/>
        <v>1.2000011280539846E-2</v>
      </c>
      <c r="N176" s="75">
        <v>44963</v>
      </c>
      <c r="O176" s="53">
        <v>61.610446929931598</v>
      </c>
      <c r="P176" s="9">
        <f t="shared" si="15"/>
        <v>3.6963289229181795E-2</v>
      </c>
      <c r="R176" s="75">
        <v>44963</v>
      </c>
      <c r="S176" s="53">
        <v>33.231208801269503</v>
      </c>
      <c r="T176" s="9">
        <f t="shared" si="16"/>
        <v>-1.082124087665004E-2</v>
      </c>
      <c r="V176" s="75">
        <v>44963</v>
      </c>
      <c r="W176" s="53">
        <v>35.136795043945298</v>
      </c>
      <c r="X176" s="9">
        <f t="shared" si="17"/>
        <v>-1.9650207907508599E-2</v>
      </c>
    </row>
    <row r="177" spans="2:24">
      <c r="B177" s="75">
        <v>44970</v>
      </c>
      <c r="C177" s="53">
        <v>20515.19921875</v>
      </c>
      <c r="D177" s="9">
        <f t="shared" si="12"/>
        <v>-4.7011411967428085E-3</v>
      </c>
      <c r="F177" s="75">
        <v>44970</v>
      </c>
      <c r="G177" s="53">
        <v>320.59683227539</v>
      </c>
      <c r="H177" s="9">
        <f t="shared" si="13"/>
        <v>0.11999968016205198</v>
      </c>
      <c r="J177" s="75">
        <v>44970</v>
      </c>
      <c r="K177" s="53">
        <v>69.775245666503906</v>
      </c>
      <c r="L177" s="9">
        <f t="shared" si="14"/>
        <v>1.9437526940366823E-2</v>
      </c>
      <c r="N177" s="75">
        <v>44970</v>
      </c>
      <c r="O177" s="53">
        <v>64.594459533691406</v>
      </c>
      <c r="P177" s="9">
        <f t="shared" si="15"/>
        <v>4.843354905627395E-2</v>
      </c>
      <c r="R177" s="75">
        <v>44970</v>
      </c>
      <c r="S177" s="53">
        <v>34.4802856445312</v>
      </c>
      <c r="T177" s="9">
        <f t="shared" si="16"/>
        <v>3.758746336106733E-2</v>
      </c>
      <c r="V177" s="75">
        <v>44970</v>
      </c>
      <c r="W177" s="53">
        <v>35.551643371582003</v>
      </c>
      <c r="X177" s="9">
        <f t="shared" si="17"/>
        <v>1.1806663843923593E-2</v>
      </c>
    </row>
    <row r="178" spans="2:24">
      <c r="B178" s="75">
        <v>44977</v>
      </c>
      <c r="C178" s="53">
        <v>20219.19921875</v>
      </c>
      <c r="D178" s="9">
        <f t="shared" si="12"/>
        <v>-1.4428326863600183E-2</v>
      </c>
      <c r="F178" s="75">
        <v>44977</v>
      </c>
      <c r="G178" s="53">
        <v>309.62411499023398</v>
      </c>
      <c r="H178" s="9">
        <f t="shared" si="13"/>
        <v>-3.4225906747982315E-2</v>
      </c>
      <c r="J178" s="75">
        <v>44977</v>
      </c>
      <c r="K178" s="53">
        <v>69.309425354003906</v>
      </c>
      <c r="L178" s="9">
        <f t="shared" si="14"/>
        <v>-6.6760110702643871E-3</v>
      </c>
      <c r="N178" s="75">
        <v>44977</v>
      </c>
      <c r="O178" s="53">
        <v>63.314189910888601</v>
      </c>
      <c r="P178" s="9">
        <f t="shared" si="15"/>
        <v>-1.9820115100352198E-2</v>
      </c>
      <c r="R178" s="75">
        <v>44977</v>
      </c>
      <c r="S178" s="53">
        <v>33.548133850097599</v>
      </c>
      <c r="T178" s="9">
        <f t="shared" si="16"/>
        <v>-2.7034340841704863E-2</v>
      </c>
      <c r="V178" s="75">
        <v>44977</v>
      </c>
      <c r="W178" s="53">
        <v>35.667423248291001</v>
      </c>
      <c r="X178" s="9">
        <f t="shared" si="17"/>
        <v>3.2566673641181154E-3</v>
      </c>
    </row>
    <row r="179" spans="2:24">
      <c r="B179" s="75">
        <v>44984</v>
      </c>
      <c r="C179" s="53">
        <v>20581.599609375</v>
      </c>
      <c r="D179" s="9">
        <f t="shared" si="12"/>
        <v>1.7923577818498959E-2</v>
      </c>
      <c r="F179" s="75">
        <v>44984</v>
      </c>
      <c r="G179" s="53">
        <v>309.62411499023398</v>
      </c>
      <c r="H179" s="9">
        <f t="shared" si="13"/>
        <v>0</v>
      </c>
      <c r="J179" s="75">
        <v>44984</v>
      </c>
      <c r="K179" s="53">
        <v>68.164299011230398</v>
      </c>
      <c r="L179" s="9">
        <f t="shared" si="14"/>
        <v>-1.6521942534145628E-2</v>
      </c>
      <c r="N179" s="75">
        <v>44984</v>
      </c>
      <c r="O179" s="53">
        <v>64.308853149414006</v>
      </c>
      <c r="P179" s="9">
        <f t="shared" si="15"/>
        <v>1.5709957592845214E-2</v>
      </c>
      <c r="R179" s="75">
        <v>44984</v>
      </c>
      <c r="S179" s="53">
        <v>32.979526519775298</v>
      </c>
      <c r="T179" s="9">
        <f t="shared" si="16"/>
        <v>-1.6949000289047333E-2</v>
      </c>
      <c r="V179" s="75">
        <v>44984</v>
      </c>
      <c r="W179" s="53">
        <v>34.866661071777301</v>
      </c>
      <c r="X179" s="9">
        <f t="shared" si="17"/>
        <v>-2.245079973788322E-2</v>
      </c>
    </row>
    <row r="180" spans="2:24">
      <c r="B180" s="75">
        <v>44991</v>
      </c>
      <c r="C180" s="53">
        <v>19774.900390625</v>
      </c>
      <c r="D180" s="9">
        <f t="shared" si="12"/>
        <v>-3.9195166267958381E-2</v>
      </c>
      <c r="F180" s="75">
        <v>44991</v>
      </c>
      <c r="G180" s="53">
        <v>310.10113525390602</v>
      </c>
      <c r="H180" s="9">
        <f t="shared" si="13"/>
        <v>1.5406431236375528E-3</v>
      </c>
      <c r="J180" s="75">
        <v>44991</v>
      </c>
      <c r="K180" s="53">
        <v>66.621276855468693</v>
      </c>
      <c r="L180" s="9">
        <f t="shared" si="14"/>
        <v>-2.2636808096676564E-2</v>
      </c>
      <c r="N180" s="75">
        <v>44991</v>
      </c>
      <c r="O180" s="53">
        <v>61.945285797119098</v>
      </c>
      <c r="P180" s="9">
        <f t="shared" si="15"/>
        <v>-3.6753374326291222E-2</v>
      </c>
      <c r="R180" s="75">
        <v>44991</v>
      </c>
      <c r="S180" s="53">
        <v>32.494808197021399</v>
      </c>
      <c r="T180" s="9">
        <f t="shared" si="16"/>
        <v>-1.4697552509228773E-2</v>
      </c>
      <c r="V180" s="75">
        <v>44991</v>
      </c>
      <c r="W180" s="53">
        <v>33.506336212158203</v>
      </c>
      <c r="X180" s="9">
        <f t="shared" si="17"/>
        <v>-3.901505959571816E-2</v>
      </c>
    </row>
    <row r="181" spans="2:24">
      <c r="B181" s="75">
        <v>44998</v>
      </c>
      <c r="C181" s="53">
        <v>19387.69921875</v>
      </c>
      <c r="D181" s="9">
        <f t="shared" si="12"/>
        <v>-1.9580436018710179E-2</v>
      </c>
      <c r="F181" s="75">
        <v>44998</v>
      </c>
      <c r="G181" s="53">
        <v>293.88046264648398</v>
      </c>
      <c r="H181" s="9">
        <f t="shared" si="13"/>
        <v>-5.2307685343172983E-2</v>
      </c>
      <c r="J181" s="75">
        <v>44998</v>
      </c>
      <c r="K181" s="53">
        <v>67.882865905761705</v>
      </c>
      <c r="L181" s="9">
        <f t="shared" si="14"/>
        <v>1.8936728772550593E-2</v>
      </c>
      <c r="N181" s="75">
        <v>44998</v>
      </c>
      <c r="O181" s="53">
        <v>60.6551704406738</v>
      </c>
      <c r="P181" s="9">
        <f t="shared" si="15"/>
        <v>-2.0826691488205151E-2</v>
      </c>
      <c r="R181" s="75">
        <v>44998</v>
      </c>
      <c r="S181" s="53">
        <v>33.389671325683501</v>
      </c>
      <c r="T181" s="9">
        <f t="shared" si="16"/>
        <v>2.7538649350887123E-2</v>
      </c>
      <c r="V181" s="75">
        <v>44998</v>
      </c>
      <c r="W181" s="53">
        <v>32.956424713134702</v>
      </c>
      <c r="X181" s="9">
        <f t="shared" si="17"/>
        <v>-1.6412164419933206E-2</v>
      </c>
    </row>
    <row r="182" spans="2:24">
      <c r="B182" s="75">
        <v>45005</v>
      </c>
      <c r="C182" s="53">
        <v>19501.5</v>
      </c>
      <c r="D182" s="9">
        <f t="shared" si="12"/>
        <v>5.8697414255293179E-3</v>
      </c>
      <c r="F182" s="75">
        <v>45005</v>
      </c>
      <c r="G182" s="53">
        <v>312.00949096679602</v>
      </c>
      <c r="H182" s="9">
        <f t="shared" si="13"/>
        <v>6.1688443515620417E-2</v>
      </c>
      <c r="J182" s="75">
        <v>45005</v>
      </c>
      <c r="K182" s="53">
        <v>68.649513244628906</v>
      </c>
      <c r="L182" s="9">
        <f t="shared" si="14"/>
        <v>1.1293679614698293E-2</v>
      </c>
      <c r="N182" s="75">
        <v>45005</v>
      </c>
      <c r="O182" s="53">
        <v>63.678573608398402</v>
      </c>
      <c r="P182" s="9">
        <f t="shared" si="15"/>
        <v>4.9845761635139763E-2</v>
      </c>
      <c r="R182" s="75">
        <v>45005</v>
      </c>
      <c r="S182" s="53">
        <v>33.781173706054602</v>
      </c>
      <c r="T182" s="9">
        <f t="shared" si="16"/>
        <v>1.1725254092871396E-2</v>
      </c>
      <c r="V182" s="75">
        <v>45005</v>
      </c>
      <c r="W182" s="53">
        <v>32.715232849121001</v>
      </c>
      <c r="X182" s="9">
        <f t="shared" si="17"/>
        <v>-7.3185081850694056E-3</v>
      </c>
    </row>
    <row r="183" spans="2:24">
      <c r="B183" s="75">
        <v>45012</v>
      </c>
      <c r="C183" s="53">
        <v>20099.900390625</v>
      </c>
      <c r="D183" s="9">
        <f t="shared" si="12"/>
        <v>3.0684839146988718E-2</v>
      </c>
      <c r="F183" s="75">
        <v>45012</v>
      </c>
      <c r="G183" s="53">
        <v>312.00949096679602</v>
      </c>
      <c r="H183" s="9">
        <f t="shared" si="13"/>
        <v>0</v>
      </c>
      <c r="J183" s="75">
        <v>45012</v>
      </c>
      <c r="K183" s="53">
        <v>72.143135070800696</v>
      </c>
      <c r="L183" s="9">
        <f t="shared" si="14"/>
        <v>5.0890700618989815E-2</v>
      </c>
      <c r="N183" s="75">
        <v>45012</v>
      </c>
      <c r="O183" s="53">
        <v>67.068077087402301</v>
      </c>
      <c r="P183" s="9">
        <f t="shared" si="15"/>
        <v>5.3228319777515631E-2</v>
      </c>
      <c r="R183" s="75">
        <v>45012</v>
      </c>
      <c r="S183" s="53">
        <v>35.2260131835937</v>
      </c>
      <c r="T183" s="9">
        <f t="shared" si="16"/>
        <v>4.2770552915399218E-2</v>
      </c>
      <c r="V183" s="75">
        <v>45012</v>
      </c>
      <c r="W183" s="53">
        <v>34.953487396240199</v>
      </c>
      <c r="X183" s="9">
        <f t="shared" si="17"/>
        <v>6.8416280496665705E-2</v>
      </c>
    </row>
    <row r="184" spans="2:24">
      <c r="B184" s="75">
        <v>45019</v>
      </c>
      <c r="C184" s="53">
        <v>20196.69921875</v>
      </c>
      <c r="D184" s="9">
        <f t="shared" si="12"/>
        <v>4.8158859618103733E-3</v>
      </c>
      <c r="F184" s="75">
        <v>45019</v>
      </c>
      <c r="G184" s="53">
        <v>298.99472045898398</v>
      </c>
      <c r="H184" s="9">
        <f t="shared" si="13"/>
        <v>-4.171273914612128E-2</v>
      </c>
      <c r="J184" s="75">
        <v>45019</v>
      </c>
      <c r="K184" s="53">
        <v>73.705558776855398</v>
      </c>
      <c r="L184" s="9">
        <f t="shared" si="14"/>
        <v>2.165727486782143E-2</v>
      </c>
      <c r="N184" s="75">
        <v>45019</v>
      </c>
      <c r="O184" s="53">
        <v>66.229110717773395</v>
      </c>
      <c r="P184" s="9">
        <f t="shared" si="15"/>
        <v>-1.2509175841370457E-2</v>
      </c>
      <c r="R184" s="75">
        <v>45019</v>
      </c>
      <c r="S184" s="53">
        <v>36.801342010497997</v>
      </c>
      <c r="T184" s="9">
        <f t="shared" si="16"/>
        <v>4.4720610836482599E-2</v>
      </c>
      <c r="V184" s="75">
        <v>45019</v>
      </c>
      <c r="W184" s="53">
        <v>35.619174957275298</v>
      </c>
      <c r="X184" s="9">
        <f t="shared" si="17"/>
        <v>1.9044954041029571E-2</v>
      </c>
    </row>
    <row r="185" spans="2:24">
      <c r="B185" s="75">
        <v>45026</v>
      </c>
      <c r="C185" s="53">
        <v>20579.900390625</v>
      </c>
      <c r="D185" s="9">
        <f t="shared" si="12"/>
        <v>1.8973455401031458E-2</v>
      </c>
      <c r="F185" s="75">
        <v>45026</v>
      </c>
      <c r="G185" s="53">
        <v>311.03622436523398</v>
      </c>
      <c r="H185" s="9">
        <f t="shared" si="13"/>
        <v>4.0273299434067544E-2</v>
      </c>
      <c r="J185" s="75">
        <v>45026</v>
      </c>
      <c r="K185" s="53">
        <v>73.2979736328125</v>
      </c>
      <c r="L185" s="9">
        <f t="shared" si="14"/>
        <v>-5.5299105088785216E-3</v>
      </c>
      <c r="N185" s="75">
        <v>45026</v>
      </c>
      <c r="O185" s="53">
        <v>67.068077087402301</v>
      </c>
      <c r="P185" s="9">
        <f t="shared" si="15"/>
        <v>1.2667637546939892E-2</v>
      </c>
      <c r="R185" s="75">
        <v>45026</v>
      </c>
      <c r="S185" s="53">
        <v>36.652202606201101</v>
      </c>
      <c r="T185" s="9">
        <f t="shared" si="16"/>
        <v>-4.052553416512672E-3</v>
      </c>
      <c r="V185" s="75">
        <v>45026</v>
      </c>
      <c r="W185" s="53">
        <v>35.1560859680175</v>
      </c>
      <c r="X185" s="9">
        <f t="shared" si="17"/>
        <v>-1.3001114984085627E-2</v>
      </c>
    </row>
    <row r="186" spans="2:24">
      <c r="B186" s="75">
        <v>45033</v>
      </c>
      <c r="C186" s="53">
        <v>20693.19921875</v>
      </c>
      <c r="D186" s="9">
        <f t="shared" si="12"/>
        <v>5.5053146990260426E-3</v>
      </c>
      <c r="F186" s="75">
        <v>45033</v>
      </c>
      <c r="G186" s="53">
        <v>310.10113525390602</v>
      </c>
      <c r="H186" s="9">
        <f t="shared" si="13"/>
        <v>-3.0063672269565744E-3</v>
      </c>
      <c r="J186" s="75">
        <v>45033</v>
      </c>
      <c r="K186" s="53">
        <v>74.025810241699205</v>
      </c>
      <c r="L186" s="9">
        <f t="shared" si="14"/>
        <v>9.9298326108279156E-3</v>
      </c>
      <c r="N186" s="75">
        <v>45033</v>
      </c>
      <c r="O186" s="53">
        <v>66.821311950683594</v>
      </c>
      <c r="P186" s="9">
        <f t="shared" si="15"/>
        <v>-3.6793232702515555E-3</v>
      </c>
      <c r="R186" s="75">
        <v>45033</v>
      </c>
      <c r="S186" s="53">
        <v>37.315555572509702</v>
      </c>
      <c r="T186" s="9">
        <f t="shared" si="16"/>
        <v>1.8098583963310544E-2</v>
      </c>
      <c r="V186" s="75">
        <v>45033</v>
      </c>
      <c r="W186" s="53">
        <v>35.536846160888601</v>
      </c>
      <c r="X186" s="9">
        <f t="shared" si="17"/>
        <v>1.0830562686002354E-2</v>
      </c>
    </row>
    <row r="187" spans="2:24">
      <c r="B187" s="75">
        <v>45040</v>
      </c>
      <c r="C187" s="53">
        <v>20636.5</v>
      </c>
      <c r="D187" s="9">
        <f t="shared" si="12"/>
        <v>-2.7399928909312976E-3</v>
      </c>
      <c r="F187" s="75">
        <v>45040</v>
      </c>
      <c r="G187" s="53">
        <v>296.74298095703102</v>
      </c>
      <c r="H187" s="9">
        <f t="shared" si="13"/>
        <v>-4.3076766829433066E-2</v>
      </c>
      <c r="J187" s="75">
        <v>45040</v>
      </c>
      <c r="K187" s="53">
        <v>74.938026428222599</v>
      </c>
      <c r="L187" s="9">
        <f t="shared" si="14"/>
        <v>1.2322947679261453E-2</v>
      </c>
      <c r="N187" s="75">
        <v>45040</v>
      </c>
      <c r="O187" s="53">
        <v>66.742370605468693</v>
      </c>
      <c r="P187" s="9">
        <f t="shared" si="15"/>
        <v>-1.1813797561047723E-3</v>
      </c>
      <c r="R187" s="75">
        <v>45040</v>
      </c>
      <c r="S187" s="53">
        <v>37.400257110595703</v>
      </c>
      <c r="T187" s="9">
        <f t="shared" si="16"/>
        <v>2.2698720891725088E-3</v>
      </c>
      <c r="V187" s="75">
        <v>45040</v>
      </c>
      <c r="W187" s="53">
        <v>35.255813598632798</v>
      </c>
      <c r="X187" s="9">
        <f t="shared" si="17"/>
        <v>-7.9082021230433286E-3</v>
      </c>
    </row>
    <row r="188" spans="2:24">
      <c r="B188" s="75">
        <v>45047</v>
      </c>
      <c r="C188" s="53">
        <v>20542</v>
      </c>
      <c r="D188" s="9">
        <f t="shared" si="12"/>
        <v>-4.5792648947253767E-3</v>
      </c>
      <c r="F188" s="75">
        <v>45047</v>
      </c>
      <c r="G188" s="53">
        <v>303.12261962890602</v>
      </c>
      <c r="H188" s="9">
        <f t="shared" si="13"/>
        <v>2.1498869665930842E-2</v>
      </c>
      <c r="J188" s="75">
        <v>45047</v>
      </c>
      <c r="K188" s="53">
        <v>74.724525451660099</v>
      </c>
      <c r="L188" s="9">
        <f t="shared" si="14"/>
        <v>-2.849033884912866E-3</v>
      </c>
      <c r="N188" s="75">
        <v>45047</v>
      </c>
      <c r="O188" s="53">
        <v>66.337684631347599</v>
      </c>
      <c r="P188" s="9">
        <f t="shared" si="15"/>
        <v>-6.0634042580431924E-3</v>
      </c>
      <c r="R188" s="75">
        <v>45047</v>
      </c>
      <c r="S188" s="53">
        <v>35.433311462402301</v>
      </c>
      <c r="T188" s="9">
        <f t="shared" si="16"/>
        <v>-5.2591768082689283E-2</v>
      </c>
      <c r="V188" s="75">
        <v>45047</v>
      </c>
      <c r="W188" s="53">
        <v>34.054130554199197</v>
      </c>
      <c r="X188" s="9">
        <f t="shared" si="17"/>
        <v>-3.408467772475976E-2</v>
      </c>
    </row>
    <row r="189" spans="2:24">
      <c r="B189" s="75">
        <v>45054</v>
      </c>
      <c r="C189" s="53">
        <v>20419.599609375</v>
      </c>
      <c r="D189" s="9">
        <f t="shared" si="12"/>
        <v>-5.9585430155291164E-3</v>
      </c>
      <c r="F189" s="75">
        <v>45054</v>
      </c>
      <c r="G189" s="53">
        <v>306.95959472656199</v>
      </c>
      <c r="H189" s="9">
        <f t="shared" si="13"/>
        <v>1.2658161579473415E-2</v>
      </c>
      <c r="J189" s="75">
        <v>45054</v>
      </c>
      <c r="K189" s="53">
        <v>76.238426208496094</v>
      </c>
      <c r="L189" s="9">
        <f t="shared" si="14"/>
        <v>2.0259757391371425E-2</v>
      </c>
      <c r="N189" s="75">
        <v>45054</v>
      </c>
      <c r="O189" s="53">
        <v>65.814567565917898</v>
      </c>
      <c r="P189" s="9">
        <f t="shared" si="15"/>
        <v>-7.885669636146786E-3</v>
      </c>
      <c r="R189" s="75">
        <v>45054</v>
      </c>
      <c r="S189" s="53">
        <v>35.800346374511697</v>
      </c>
      <c r="T189" s="9">
        <f t="shared" si="16"/>
        <v>1.0358470517181306E-2</v>
      </c>
      <c r="V189" s="75">
        <v>45054</v>
      </c>
      <c r="W189" s="53">
        <v>34.4417724609375</v>
      </c>
      <c r="X189" s="9">
        <f t="shared" si="17"/>
        <v>1.1383109785209289E-2</v>
      </c>
    </row>
    <row r="190" spans="2:24">
      <c r="B190" s="75">
        <v>45061</v>
      </c>
      <c r="C190" s="53">
        <v>20351.099609375</v>
      </c>
      <c r="D190" s="9">
        <f t="shared" si="12"/>
        <v>-3.3546201350858063E-3</v>
      </c>
      <c r="F190" s="75">
        <v>45061</v>
      </c>
      <c r="G190" s="53">
        <v>312.61917114257801</v>
      </c>
      <c r="H190" s="9">
        <f t="shared" si="13"/>
        <v>1.8437528955749238E-2</v>
      </c>
      <c r="J190" s="75">
        <v>45061</v>
      </c>
      <c r="K190" s="53">
        <v>73.265121459960895</v>
      </c>
      <c r="L190" s="9">
        <f t="shared" si="14"/>
        <v>-3.9000080358477462E-2</v>
      </c>
      <c r="N190" s="75">
        <v>45061</v>
      </c>
      <c r="O190" s="53">
        <v>65.153251647949205</v>
      </c>
      <c r="P190" s="9">
        <f t="shared" si="15"/>
        <v>-1.0048169310029054E-2</v>
      </c>
      <c r="R190" s="75">
        <v>45061</v>
      </c>
      <c r="S190" s="53">
        <v>35.988571166992102</v>
      </c>
      <c r="T190" s="9">
        <f t="shared" si="16"/>
        <v>5.2576248986913043E-3</v>
      </c>
      <c r="V190" s="75">
        <v>45061</v>
      </c>
      <c r="W190" s="53">
        <v>34.3836250305175</v>
      </c>
      <c r="X190" s="9">
        <f t="shared" si="17"/>
        <v>-1.6882821720615171E-3</v>
      </c>
    </row>
    <row r="191" spans="2:24">
      <c r="B191" s="75">
        <v>45068</v>
      </c>
      <c r="C191" s="53">
        <v>19920.30078125</v>
      </c>
      <c r="D191" s="9">
        <f t="shared" si="12"/>
        <v>-2.1168331755722303E-2</v>
      </c>
      <c r="F191" s="75">
        <v>45068</v>
      </c>
      <c r="G191" s="53">
        <v>298.45104980468699</v>
      </c>
      <c r="H191" s="9">
        <f t="shared" si="13"/>
        <v>-4.5320705336491574E-2</v>
      </c>
      <c r="J191" s="75">
        <v>45068</v>
      </c>
      <c r="K191" s="53">
        <v>71.618621826171804</v>
      </c>
      <c r="L191" s="9">
        <f t="shared" si="14"/>
        <v>-2.2473171421532379E-2</v>
      </c>
      <c r="N191" s="75">
        <v>45068</v>
      </c>
      <c r="O191" s="53">
        <v>66.515342712402301</v>
      </c>
      <c r="P191" s="9">
        <f t="shared" si="15"/>
        <v>2.0905956801865466E-2</v>
      </c>
      <c r="R191" s="75">
        <v>45068</v>
      </c>
      <c r="S191" s="53">
        <v>35.9979858398437</v>
      </c>
      <c r="T191" s="9">
        <f t="shared" si="16"/>
        <v>2.6160174039446815E-4</v>
      </c>
      <c r="V191" s="75">
        <v>45068</v>
      </c>
      <c r="W191" s="53">
        <v>34.354549407958899</v>
      </c>
      <c r="X191" s="9">
        <f t="shared" si="17"/>
        <v>-8.4562411708466456E-4</v>
      </c>
    </row>
    <row r="192" spans="2:24">
      <c r="B192" s="75">
        <v>45075</v>
      </c>
      <c r="C192" s="53">
        <v>20024.599609375</v>
      </c>
      <c r="D192" s="9">
        <f t="shared" si="12"/>
        <v>5.2358058881907255E-3</v>
      </c>
      <c r="F192" s="75">
        <v>45075</v>
      </c>
      <c r="G192" s="53">
        <v>300.88757324218699</v>
      </c>
      <c r="H192" s="9">
        <f t="shared" si="13"/>
        <v>8.1638963545094256E-3</v>
      </c>
      <c r="J192" s="75">
        <v>45075</v>
      </c>
      <c r="K192" s="53">
        <v>70.069519042968693</v>
      </c>
      <c r="L192" s="9">
        <f t="shared" si="14"/>
        <v>-2.1629888200906722E-2</v>
      </c>
      <c r="N192" s="75">
        <v>45075</v>
      </c>
      <c r="O192" s="53">
        <v>66.791709899902301</v>
      </c>
      <c r="P192" s="9">
        <f t="shared" si="15"/>
        <v>4.1549389393504832E-3</v>
      </c>
      <c r="R192" s="75">
        <v>45075</v>
      </c>
      <c r="S192" s="53">
        <v>36.299140930175703</v>
      </c>
      <c r="T192" s="9">
        <f t="shared" si="16"/>
        <v>8.365887238020786E-3</v>
      </c>
      <c r="V192" s="75">
        <v>45075</v>
      </c>
      <c r="W192" s="53">
        <v>33.627727508544901</v>
      </c>
      <c r="X192" s="9">
        <f t="shared" si="17"/>
        <v>-2.1156496357528032E-2</v>
      </c>
    </row>
    <row r="193" spans="2:24">
      <c r="B193" s="75">
        <v>45082</v>
      </c>
      <c r="C193" s="53">
        <v>19892.099609375</v>
      </c>
      <c r="D193" s="9">
        <f t="shared" si="12"/>
        <v>-6.6168613897261697E-3</v>
      </c>
      <c r="F193" s="75">
        <v>45082</v>
      </c>
      <c r="G193" s="53">
        <v>276.34033203125</v>
      </c>
      <c r="H193" s="9">
        <f t="shared" si="13"/>
        <v>-8.1582768428853369E-2</v>
      </c>
      <c r="J193" s="75">
        <v>45082</v>
      </c>
      <c r="K193" s="53">
        <v>68.354804992675696</v>
      </c>
      <c r="L193" s="9">
        <f t="shared" si="14"/>
        <v>-2.4471611532562165E-2</v>
      </c>
      <c r="N193" s="75">
        <v>45082</v>
      </c>
      <c r="O193" s="53">
        <v>63.7418212890625</v>
      </c>
      <c r="P193" s="9">
        <f t="shared" si="15"/>
        <v>-4.5662682021624046E-2</v>
      </c>
      <c r="R193" s="75">
        <v>45082</v>
      </c>
      <c r="S193" s="53">
        <v>32.534648895263601</v>
      </c>
      <c r="T193" s="9">
        <f t="shared" si="16"/>
        <v>-0.10370746905976103</v>
      </c>
      <c r="V193" s="75">
        <v>45082</v>
      </c>
      <c r="W193" s="53">
        <v>32.862136840820298</v>
      </c>
      <c r="X193" s="9">
        <f t="shared" si="17"/>
        <v>-2.2766648966394243E-2</v>
      </c>
    </row>
    <row r="194" spans="2:24">
      <c r="B194" s="75">
        <v>45089</v>
      </c>
      <c r="C194" s="53">
        <v>19975.400390625</v>
      </c>
      <c r="D194" s="9">
        <f t="shared" si="12"/>
        <v>4.187631415777826E-3</v>
      </c>
      <c r="F194" s="75">
        <v>45089</v>
      </c>
      <c r="G194" s="53">
        <v>276.34033203125</v>
      </c>
      <c r="H194" s="9">
        <f t="shared" si="13"/>
        <v>0</v>
      </c>
      <c r="J194" s="75">
        <v>45089</v>
      </c>
      <c r="K194" s="53">
        <v>69.309585571289006</v>
      </c>
      <c r="L194" s="9">
        <f t="shared" si="14"/>
        <v>1.3968009691719852E-2</v>
      </c>
      <c r="N194" s="75">
        <v>45089</v>
      </c>
      <c r="O194" s="53">
        <v>63.889873504638601</v>
      </c>
      <c r="P194" s="9">
        <f t="shared" si="15"/>
        <v>2.3226856807980756E-3</v>
      </c>
      <c r="R194" s="75">
        <v>45089</v>
      </c>
      <c r="S194" s="53">
        <v>30.360649108886701</v>
      </c>
      <c r="T194" s="9">
        <f t="shared" si="16"/>
        <v>-6.6821061858558739E-2</v>
      </c>
      <c r="V194" s="75">
        <v>45089</v>
      </c>
      <c r="W194" s="53">
        <v>33.763397216796797</v>
      </c>
      <c r="X194" s="9">
        <f t="shared" si="17"/>
        <v>2.742549519351356E-2</v>
      </c>
    </row>
    <row r="195" spans="2:24">
      <c r="B195" s="75">
        <v>45096</v>
      </c>
      <c r="C195" s="53">
        <v>19418.19921875</v>
      </c>
      <c r="D195" s="9">
        <f t="shared" si="12"/>
        <v>-2.7894368121727853E-2</v>
      </c>
      <c r="F195" s="75">
        <v>45096</v>
      </c>
      <c r="G195" s="53">
        <v>276.34033203125</v>
      </c>
      <c r="H195" s="9">
        <f t="shared" si="13"/>
        <v>0</v>
      </c>
      <c r="J195" s="75">
        <v>45096</v>
      </c>
      <c r="K195" s="53">
        <v>70.059783935546804</v>
      </c>
      <c r="L195" s="9">
        <f t="shared" si="14"/>
        <v>1.0823876063811966E-2</v>
      </c>
      <c r="N195" s="75">
        <v>45096</v>
      </c>
      <c r="O195" s="53">
        <v>62.656097412109297</v>
      </c>
      <c r="P195" s="9">
        <f t="shared" si="15"/>
        <v>-1.9310980361226249E-2</v>
      </c>
      <c r="R195" s="75">
        <v>45096</v>
      </c>
      <c r="S195" s="53">
        <v>29.34423828125</v>
      </c>
      <c r="T195" s="9">
        <f t="shared" si="16"/>
        <v>-3.3477901740223137E-2</v>
      </c>
      <c r="V195" s="75">
        <v>45096</v>
      </c>
      <c r="W195" s="53">
        <v>34.412693023681598</v>
      </c>
      <c r="X195" s="9">
        <f t="shared" si="17"/>
        <v>1.9230760539753478E-2</v>
      </c>
    </row>
    <row r="196" spans="2:24">
      <c r="B196" s="75">
        <v>45103</v>
      </c>
      <c r="C196" s="53">
        <v>20155.30078125</v>
      </c>
      <c r="D196" s="9">
        <f t="shared" si="12"/>
        <v>3.7959316113528319E-2</v>
      </c>
      <c r="F196" s="75">
        <v>45103</v>
      </c>
      <c r="G196" s="53">
        <v>276.26364135742102</v>
      </c>
      <c r="H196" s="9">
        <f t="shared" si="13"/>
        <v>-2.7752255078095089E-4</v>
      </c>
      <c r="J196" s="75">
        <v>45103</v>
      </c>
      <c r="K196" s="53">
        <v>72.894912719726506</v>
      </c>
      <c r="L196" s="9">
        <f t="shared" si="14"/>
        <v>4.0467278443050203E-2</v>
      </c>
      <c r="N196" s="75">
        <v>45103</v>
      </c>
      <c r="O196" s="53">
        <v>67.048347473144503</v>
      </c>
      <c r="P196" s="9">
        <f t="shared" si="15"/>
        <v>7.010091982183253E-2</v>
      </c>
      <c r="R196" s="75">
        <v>45103</v>
      </c>
      <c r="S196" s="53">
        <v>29.551284790038999</v>
      </c>
      <c r="T196" s="9">
        <f t="shared" si="16"/>
        <v>7.055780654606103E-3</v>
      </c>
      <c r="V196" s="75">
        <v>45103</v>
      </c>
      <c r="W196" s="53">
        <v>36.467185974121001</v>
      </c>
      <c r="X196" s="9">
        <f t="shared" si="17"/>
        <v>5.9701603388772062E-2</v>
      </c>
    </row>
    <row r="197" spans="2:24">
      <c r="B197" s="75">
        <v>45110</v>
      </c>
      <c r="C197" s="53">
        <v>19831</v>
      </c>
      <c r="D197" s="9">
        <f t="shared" si="12"/>
        <v>-1.6090098816669118E-2</v>
      </c>
      <c r="F197" s="75">
        <v>45110</v>
      </c>
      <c r="G197" s="53">
        <v>253.34716796875</v>
      </c>
      <c r="H197" s="9">
        <f t="shared" si="13"/>
        <v>-8.2951463594959418E-2</v>
      </c>
      <c r="J197" s="75">
        <v>45110</v>
      </c>
      <c r="K197" s="53">
        <v>71.209411621093693</v>
      </c>
      <c r="L197" s="9">
        <f t="shared" si="14"/>
        <v>-2.3122341954278647E-2</v>
      </c>
      <c r="N197" s="75">
        <v>45110</v>
      </c>
      <c r="O197" s="53">
        <v>64.413002014160099</v>
      </c>
      <c r="P197" s="9">
        <f t="shared" si="15"/>
        <v>-3.9305151555598883E-2</v>
      </c>
      <c r="R197" s="75">
        <v>45110</v>
      </c>
      <c r="S197" s="53">
        <v>29.362482070922798</v>
      </c>
      <c r="T197" s="9">
        <f t="shared" si="16"/>
        <v>-6.3889851306850876E-3</v>
      </c>
      <c r="V197" s="75">
        <v>45110</v>
      </c>
      <c r="W197" s="53">
        <v>35.720985412597599</v>
      </c>
      <c r="X197" s="9">
        <f t="shared" si="17"/>
        <v>-2.0462246855376898E-2</v>
      </c>
    </row>
    <row r="198" spans="2:24">
      <c r="B198" s="75">
        <v>45117</v>
      </c>
      <c r="C198" s="53">
        <v>20262.099609375</v>
      </c>
      <c r="D198" s="9">
        <f t="shared" si="12"/>
        <v>2.1738672249256297E-2</v>
      </c>
      <c r="F198" s="75">
        <v>45117</v>
      </c>
      <c r="G198" s="53">
        <v>283.93765258789</v>
      </c>
      <c r="H198" s="9">
        <f t="shared" si="13"/>
        <v>0.12074531901976227</v>
      </c>
      <c r="J198" s="75">
        <v>45117</v>
      </c>
      <c r="K198" s="53">
        <v>72.232398986816406</v>
      </c>
      <c r="L198" s="9">
        <f t="shared" si="14"/>
        <v>1.4365901113830848E-2</v>
      </c>
      <c r="N198" s="75">
        <v>45117</v>
      </c>
      <c r="O198" s="53">
        <v>66.148155212402301</v>
      </c>
      <c r="P198" s="9">
        <f t="shared" si="15"/>
        <v>2.6937934019295673E-2</v>
      </c>
      <c r="R198" s="75">
        <v>45117</v>
      </c>
      <c r="S198" s="53">
        <v>30.391405105590799</v>
      </c>
      <c r="T198" s="9">
        <f t="shared" si="16"/>
        <v>3.5042100057574022E-2</v>
      </c>
      <c r="V198" s="75">
        <v>45117</v>
      </c>
      <c r="W198" s="53">
        <v>35.517467498779297</v>
      </c>
      <c r="X198" s="9">
        <f t="shared" si="17"/>
        <v>-5.6974327966475835E-3</v>
      </c>
    </row>
    <row r="199" spans="2:24">
      <c r="B199" s="75">
        <v>45124</v>
      </c>
      <c r="C199" s="53">
        <v>20547.5</v>
      </c>
      <c r="D199" s="9">
        <f t="shared" si="12"/>
        <v>1.4085430243021335E-2</v>
      </c>
      <c r="F199" s="75">
        <v>45124</v>
      </c>
      <c r="G199" s="53">
        <v>282.97836303710898</v>
      </c>
      <c r="H199" s="9">
        <f t="shared" si="13"/>
        <v>-3.3785218058886013E-3</v>
      </c>
      <c r="J199" s="75">
        <v>45124</v>
      </c>
      <c r="K199" s="53">
        <v>72.378547668457003</v>
      </c>
      <c r="L199" s="9">
        <f t="shared" si="14"/>
        <v>2.0233120274362193E-3</v>
      </c>
      <c r="N199" s="75">
        <v>45124</v>
      </c>
      <c r="O199" s="53">
        <v>66.889953613281193</v>
      </c>
      <c r="P199" s="9">
        <f t="shared" si="15"/>
        <v>1.1214196352067107E-2</v>
      </c>
      <c r="R199" s="75">
        <v>45124</v>
      </c>
      <c r="S199" s="53">
        <v>30.724853515625</v>
      </c>
      <c r="T199" s="9">
        <f t="shared" si="16"/>
        <v>1.0971799720206343E-2</v>
      </c>
      <c r="V199" s="75">
        <v>45124</v>
      </c>
      <c r="W199" s="53">
        <v>35.902027130126903</v>
      </c>
      <c r="X199" s="9">
        <f t="shared" si="17"/>
        <v>1.0827338164265843E-2</v>
      </c>
    </row>
    <row r="200" spans="2:24">
      <c r="B200" s="75">
        <v>45131</v>
      </c>
      <c r="C200" s="53">
        <v>20519.400390625</v>
      </c>
      <c r="D200" s="9">
        <f t="shared" si="12"/>
        <v>-1.3675439530356215E-3</v>
      </c>
      <c r="F200" s="75">
        <v>45131</v>
      </c>
      <c r="G200" s="53">
        <v>268.58963012695301</v>
      </c>
      <c r="H200" s="9">
        <f t="shared" si="13"/>
        <v>-5.0847466766457572E-2</v>
      </c>
      <c r="J200" s="75">
        <v>45131</v>
      </c>
      <c r="K200" s="53">
        <v>69.670066833496094</v>
      </c>
      <c r="L200" s="9">
        <f t="shared" si="14"/>
        <v>-3.7421044248740598E-2</v>
      </c>
      <c r="N200" s="75">
        <v>45131</v>
      </c>
      <c r="O200" s="53">
        <v>65.960235595703097</v>
      </c>
      <c r="P200" s="9">
        <f t="shared" si="15"/>
        <v>-1.3899217555945476E-2</v>
      </c>
      <c r="R200" s="75">
        <v>45131</v>
      </c>
      <c r="S200" s="53">
        <v>30.9630317687988</v>
      </c>
      <c r="T200" s="9">
        <f t="shared" si="16"/>
        <v>7.751973595339523E-3</v>
      </c>
      <c r="V200" s="75">
        <v>45131</v>
      </c>
      <c r="W200" s="53">
        <v>34.986454010009702</v>
      </c>
      <c r="X200" s="9">
        <f t="shared" si="17"/>
        <v>-2.5501989533869729E-2</v>
      </c>
    </row>
    <row r="201" spans="2:24">
      <c r="B201" s="75">
        <v>45138</v>
      </c>
      <c r="C201" s="53">
        <v>20236</v>
      </c>
      <c r="D201" s="9">
        <f t="shared" si="12"/>
        <v>-1.3811338793041972E-2</v>
      </c>
      <c r="F201" s="75">
        <v>45138</v>
      </c>
      <c r="G201" s="53">
        <v>270.21945190429602</v>
      </c>
      <c r="H201" s="9">
        <f t="shared" si="13"/>
        <v>6.0680740971743585E-3</v>
      </c>
      <c r="J201" s="75">
        <v>45138</v>
      </c>
      <c r="K201" s="53">
        <v>68.101493835449205</v>
      </c>
      <c r="L201" s="9">
        <f t="shared" si="14"/>
        <v>-2.2514303047758033E-2</v>
      </c>
      <c r="N201" s="75">
        <v>45138</v>
      </c>
      <c r="O201" s="53">
        <v>65.267883300781193</v>
      </c>
      <c r="P201" s="9">
        <f t="shared" si="15"/>
        <v>-1.049651033943555E-2</v>
      </c>
      <c r="R201" s="75">
        <v>45138</v>
      </c>
      <c r="S201" s="53">
        <v>30.277080535888601</v>
      </c>
      <c r="T201" s="9">
        <f t="shared" si="16"/>
        <v>-2.2153878148373884E-2</v>
      </c>
      <c r="V201" s="75">
        <v>45138</v>
      </c>
      <c r="W201" s="53">
        <v>34.090366363525298</v>
      </c>
      <c r="X201" s="9">
        <f t="shared" si="17"/>
        <v>-2.5612416915073211E-2</v>
      </c>
    </row>
    <row r="202" spans="2:24">
      <c r="B202" s="75">
        <v>45145</v>
      </c>
      <c r="C202" s="53">
        <v>20407.599609375</v>
      </c>
      <c r="D202" s="9">
        <f t="shared" ref="D202:D265" si="18">C202/C201-1</f>
        <v>8.4799174429235347E-3</v>
      </c>
      <c r="F202" s="75">
        <v>45145</v>
      </c>
      <c r="G202" s="53">
        <v>287.48458862304602</v>
      </c>
      <c r="H202" s="9">
        <f t="shared" ref="H202:H265" si="19">G202/G201-1</f>
        <v>6.3893019533119322E-2</v>
      </c>
      <c r="J202" s="75">
        <v>45145</v>
      </c>
      <c r="K202" s="53">
        <v>69.260871887207003</v>
      </c>
      <c r="L202" s="9">
        <f t="shared" ref="L202:L265" si="20">K202/K201-1</f>
        <v>1.7024267552179673E-2</v>
      </c>
      <c r="N202" s="75">
        <v>45145</v>
      </c>
      <c r="O202" s="53">
        <v>68.966979980468693</v>
      </c>
      <c r="P202" s="9">
        <f t="shared" ref="P202:P265" si="21">O202/O201-1</f>
        <v>5.6675603568152155E-2</v>
      </c>
      <c r="R202" s="75">
        <v>45145</v>
      </c>
      <c r="S202" s="53">
        <v>30.267555236816399</v>
      </c>
      <c r="T202" s="9">
        <f t="shared" ref="T202:T265" si="22">S202/S201-1</f>
        <v>-3.1460427833884808E-4</v>
      </c>
      <c r="V202" s="75">
        <v>45145</v>
      </c>
      <c r="W202" s="53">
        <v>35.093593597412102</v>
      </c>
      <c r="X202" s="9">
        <f t="shared" ref="X202:X265" si="23">W202/W201-1</f>
        <v>2.9428467361975796E-2</v>
      </c>
    </row>
    <row r="203" spans="2:24">
      <c r="B203" s="75">
        <v>45152</v>
      </c>
      <c r="C203" s="53">
        <v>19818.400390625</v>
      </c>
      <c r="D203" s="9">
        <f t="shared" si="18"/>
        <v>-2.8871559126401602E-2</v>
      </c>
      <c r="F203" s="75">
        <v>45152</v>
      </c>
      <c r="G203" s="53">
        <v>274.07974243164</v>
      </c>
      <c r="H203" s="9">
        <f t="shared" si="19"/>
        <v>-4.6628051456986674E-2</v>
      </c>
      <c r="J203" s="75">
        <v>45152</v>
      </c>
      <c r="K203" s="53">
        <v>68.393760681152301</v>
      </c>
      <c r="L203" s="9">
        <f t="shared" si="20"/>
        <v>-1.2519495963995597E-2</v>
      </c>
      <c r="N203" s="75">
        <v>45152</v>
      </c>
      <c r="O203" s="53">
        <v>68.739486694335895</v>
      </c>
      <c r="P203" s="9">
        <f t="shared" si="21"/>
        <v>-3.2985826869209589E-3</v>
      </c>
      <c r="R203" s="75">
        <v>45152</v>
      </c>
      <c r="S203" s="53">
        <v>29.124301910400298</v>
      </c>
      <c r="T203" s="9">
        <f t="shared" si="22"/>
        <v>-3.7771578096452485E-2</v>
      </c>
      <c r="V203" s="75">
        <v>45152</v>
      </c>
      <c r="W203" s="53">
        <v>34.538406372070298</v>
      </c>
      <c r="X203" s="9">
        <f t="shared" si="23"/>
        <v>-1.5820187345611303E-2</v>
      </c>
    </row>
    <row r="204" spans="2:24">
      <c r="B204" s="75">
        <v>45159</v>
      </c>
      <c r="C204" s="53">
        <v>19835.80078125</v>
      </c>
      <c r="D204" s="9">
        <f t="shared" si="18"/>
        <v>8.7799167854285542E-4</v>
      </c>
      <c r="F204" s="75">
        <v>45159</v>
      </c>
      <c r="G204" s="53">
        <v>274.07974243164</v>
      </c>
      <c r="H204" s="9">
        <f t="shared" si="19"/>
        <v>0</v>
      </c>
      <c r="J204" s="75">
        <v>45159</v>
      </c>
      <c r="K204" s="53">
        <v>68.101493835449205</v>
      </c>
      <c r="L204" s="9">
        <f t="shared" si="20"/>
        <v>-4.273296902997159E-3</v>
      </c>
      <c r="N204" s="75">
        <v>45159</v>
      </c>
      <c r="O204" s="53">
        <v>70.509895324707003</v>
      </c>
      <c r="P204" s="9">
        <f t="shared" si="21"/>
        <v>2.5755336786897898E-2</v>
      </c>
      <c r="R204" s="75">
        <v>45159</v>
      </c>
      <c r="S204" s="53">
        <v>29.5625495910644</v>
      </c>
      <c r="T204" s="9">
        <f t="shared" si="22"/>
        <v>1.5047491336010577E-2</v>
      </c>
      <c r="V204" s="75">
        <v>45159</v>
      </c>
      <c r="W204" s="53">
        <v>34.168285369872997</v>
      </c>
      <c r="X204" s="9">
        <f t="shared" si="23"/>
        <v>-1.071621539830514E-2</v>
      </c>
    </row>
    <row r="205" spans="2:24">
      <c r="B205" s="75">
        <v>45166</v>
      </c>
      <c r="C205" s="53">
        <v>20545.400390625</v>
      </c>
      <c r="D205" s="9">
        <f t="shared" si="18"/>
        <v>3.5773680992287282E-2</v>
      </c>
      <c r="F205" s="75">
        <v>45166</v>
      </c>
      <c r="G205" s="53">
        <v>264.16848754882801</v>
      </c>
      <c r="H205" s="9">
        <f t="shared" si="19"/>
        <v>-3.6161938838964014E-2</v>
      </c>
      <c r="J205" s="75">
        <v>45166</v>
      </c>
      <c r="K205" s="53">
        <v>68.686058044433594</v>
      </c>
      <c r="L205" s="9">
        <f t="shared" si="20"/>
        <v>8.5837207976207086E-3</v>
      </c>
      <c r="N205" s="75">
        <v>45166</v>
      </c>
      <c r="O205" s="53">
        <v>71.597854614257798</v>
      </c>
      <c r="P205" s="9">
        <f t="shared" si="21"/>
        <v>1.5429880934308748E-2</v>
      </c>
      <c r="R205" s="75">
        <v>45166</v>
      </c>
      <c r="S205" s="53">
        <v>29.057613372802699</v>
      </c>
      <c r="T205" s="9">
        <f t="shared" si="22"/>
        <v>-1.7080266257357035E-2</v>
      </c>
      <c r="V205" s="75">
        <v>45166</v>
      </c>
      <c r="W205" s="53">
        <v>34.324127197265597</v>
      </c>
      <c r="X205" s="9">
        <f t="shared" si="23"/>
        <v>4.5610081309497286E-3</v>
      </c>
    </row>
    <row r="206" spans="2:24">
      <c r="B206" s="75">
        <v>45173</v>
      </c>
      <c r="C206" s="53">
        <v>20074.69921875</v>
      </c>
      <c r="D206" s="9">
        <f t="shared" si="18"/>
        <v>-2.2910294417517574E-2</v>
      </c>
      <c r="F206" s="75">
        <v>45173</v>
      </c>
      <c r="G206" s="53">
        <v>279.86053466796801</v>
      </c>
      <c r="H206" s="9">
        <f t="shared" si="19"/>
        <v>5.9401661662008554E-2</v>
      </c>
      <c r="J206" s="75">
        <v>45173</v>
      </c>
      <c r="K206" s="53">
        <v>69.210716247558594</v>
      </c>
      <c r="L206" s="9">
        <f t="shared" si="20"/>
        <v>7.6384963420901286E-3</v>
      </c>
      <c r="N206" s="75">
        <v>45173</v>
      </c>
      <c r="O206" s="53">
        <v>70.717590332031193</v>
      </c>
      <c r="P206" s="9">
        <f t="shared" si="21"/>
        <v>-1.2294562273815868E-2</v>
      </c>
      <c r="R206" s="75">
        <v>45173</v>
      </c>
      <c r="S206" s="53">
        <v>28.476461410522401</v>
      </c>
      <c r="T206" s="9">
        <f t="shared" si="22"/>
        <v>-1.9999989497562987E-2</v>
      </c>
      <c r="V206" s="75">
        <v>45173</v>
      </c>
      <c r="W206" s="53">
        <v>33.866344451904297</v>
      </c>
      <c r="X206" s="9">
        <f t="shared" si="23"/>
        <v>-1.3337054216422062E-2</v>
      </c>
    </row>
    <row r="207" spans="2:24">
      <c r="B207" s="75">
        <v>45180</v>
      </c>
      <c r="C207" s="53">
        <v>20622.30078125</v>
      </c>
      <c r="D207" s="9">
        <f t="shared" si="18"/>
        <v>2.7278195131737348E-2</v>
      </c>
      <c r="F207" s="75">
        <v>45180</v>
      </c>
      <c r="G207" s="53">
        <v>284.15512084960898</v>
      </c>
      <c r="H207" s="9">
        <f t="shared" si="19"/>
        <v>1.5345451214606509E-2</v>
      </c>
      <c r="J207" s="75">
        <v>45180</v>
      </c>
      <c r="K207" s="53">
        <v>71.216682434082003</v>
      </c>
      <c r="L207" s="9">
        <f t="shared" si="20"/>
        <v>2.898346232031912E-2</v>
      </c>
      <c r="N207" s="75">
        <v>45180</v>
      </c>
      <c r="O207" s="53">
        <v>72.5869140625</v>
      </c>
      <c r="P207" s="9">
        <f t="shared" si="21"/>
        <v>2.6433645740642664E-2</v>
      </c>
      <c r="R207" s="75">
        <v>45180</v>
      </c>
      <c r="S207" s="53">
        <v>33.535346984863203</v>
      </c>
      <c r="T207" s="9">
        <f t="shared" si="22"/>
        <v>0.17765148209290782</v>
      </c>
      <c r="V207" s="75">
        <v>45180</v>
      </c>
      <c r="W207" s="53">
        <v>35.736442565917898</v>
      </c>
      <c r="X207" s="9">
        <f t="shared" si="23"/>
        <v>5.5219957874976577E-2</v>
      </c>
    </row>
    <row r="208" spans="2:24">
      <c r="B208" s="75">
        <v>45187</v>
      </c>
      <c r="C208" s="53">
        <v>19780</v>
      </c>
      <c r="D208" s="9">
        <f t="shared" si="18"/>
        <v>-4.08441710837536E-2</v>
      </c>
      <c r="F208" s="75">
        <v>45187</v>
      </c>
      <c r="G208" s="53">
        <v>270.21945190429602</v>
      </c>
      <c r="H208" s="9">
        <f t="shared" si="19"/>
        <v>-4.9042469844097991E-2</v>
      </c>
      <c r="J208" s="75">
        <v>45187</v>
      </c>
      <c r="K208" s="53">
        <v>70.316436767578097</v>
      </c>
      <c r="L208" s="9">
        <f t="shared" si="20"/>
        <v>-1.2640937990016199E-2</v>
      </c>
      <c r="N208" s="75">
        <v>45187</v>
      </c>
      <c r="O208" s="53">
        <v>70.090431213378906</v>
      </c>
      <c r="P208" s="9">
        <f t="shared" si="21"/>
        <v>-3.4393015343943789E-2</v>
      </c>
      <c r="R208" s="75">
        <v>45187</v>
      </c>
      <c r="S208" s="53">
        <v>34.164131164550703</v>
      </c>
      <c r="T208" s="9">
        <f t="shared" si="22"/>
        <v>1.8749893357933978E-2</v>
      </c>
      <c r="V208" s="75">
        <v>45187</v>
      </c>
      <c r="W208" s="53">
        <v>36.116310119628899</v>
      </c>
      <c r="X208" s="9">
        <f t="shared" si="23"/>
        <v>1.062969692661242E-2</v>
      </c>
    </row>
    <row r="209" spans="2:24">
      <c r="B209" s="75">
        <v>45194</v>
      </c>
      <c r="C209" s="53">
        <v>19541.30078125</v>
      </c>
      <c r="D209" s="9">
        <f t="shared" si="18"/>
        <v>-1.2067705700202214E-2</v>
      </c>
      <c r="F209" s="75">
        <v>45194</v>
      </c>
      <c r="G209" s="53">
        <v>275.04479980468699</v>
      </c>
      <c r="H209" s="9">
        <f t="shared" si="19"/>
        <v>1.7857144873863362E-2</v>
      </c>
      <c r="J209" s="75">
        <v>45194</v>
      </c>
      <c r="K209" s="53">
        <v>69.024787902832003</v>
      </c>
      <c r="L209" s="9">
        <f t="shared" si="20"/>
        <v>-1.8369088709876968E-2</v>
      </c>
      <c r="N209" s="75">
        <v>45194</v>
      </c>
      <c r="O209" s="53">
        <v>68.356246948242102</v>
      </c>
      <c r="P209" s="9">
        <f t="shared" si="21"/>
        <v>-2.4742097246589378E-2</v>
      </c>
      <c r="R209" s="75">
        <v>45194</v>
      </c>
      <c r="S209" s="53">
        <v>32.582637786865199</v>
      </c>
      <c r="T209" s="9">
        <f t="shared" si="22"/>
        <v>-4.629104630433245E-2</v>
      </c>
      <c r="V209" s="75">
        <v>45194</v>
      </c>
      <c r="W209" s="53">
        <v>35.989688873291001</v>
      </c>
      <c r="X209" s="9">
        <f t="shared" si="23"/>
        <v>-3.505929756348003E-3</v>
      </c>
    </row>
    <row r="210" spans="2:24">
      <c r="B210" s="75">
        <v>45201</v>
      </c>
      <c r="C210" s="53">
        <v>19246.099609375</v>
      </c>
      <c r="D210" s="9">
        <f t="shared" si="18"/>
        <v>-1.5106526181626889E-2</v>
      </c>
      <c r="F210" s="75">
        <v>45201</v>
      </c>
      <c r="G210" s="53">
        <v>256.70849609375</v>
      </c>
      <c r="H210" s="9">
        <f t="shared" si="19"/>
        <v>-6.6666607490699081E-2</v>
      </c>
      <c r="J210" s="75">
        <v>45201</v>
      </c>
      <c r="K210" s="53">
        <v>69.973960876464801</v>
      </c>
      <c r="L210" s="9">
        <f t="shared" si="20"/>
        <v>1.375119000682723E-2</v>
      </c>
      <c r="N210" s="75">
        <v>45201</v>
      </c>
      <c r="O210" s="53">
        <v>71.220115661621094</v>
      </c>
      <c r="P210" s="9">
        <f t="shared" si="21"/>
        <v>4.1896225162090239E-2</v>
      </c>
      <c r="R210" s="75">
        <v>45201</v>
      </c>
      <c r="S210" s="53">
        <v>34.690578460693303</v>
      </c>
      <c r="T210" s="9">
        <f t="shared" si="22"/>
        <v>6.4695212450781359E-2</v>
      </c>
      <c r="V210" s="75">
        <v>45201</v>
      </c>
      <c r="W210" s="53">
        <v>36.749412536621001</v>
      </c>
      <c r="X210" s="9">
        <f t="shared" si="23"/>
        <v>2.1109481274060427E-2</v>
      </c>
    </row>
    <row r="211" spans="2:24">
      <c r="B211" s="75">
        <v>45208</v>
      </c>
      <c r="C211" s="53">
        <v>19462.900390625</v>
      </c>
      <c r="D211" s="9">
        <f t="shared" si="18"/>
        <v>1.1264660666330251E-2</v>
      </c>
      <c r="F211" s="75">
        <v>45208</v>
      </c>
      <c r="G211" s="53">
        <v>272.49700927734301</v>
      </c>
      <c r="H211" s="9">
        <f t="shared" si="19"/>
        <v>6.150366436577559E-2</v>
      </c>
      <c r="J211" s="75">
        <v>45208</v>
      </c>
      <c r="K211" s="53">
        <v>70.081596374511705</v>
      </c>
      <c r="L211" s="9">
        <f t="shared" si="20"/>
        <v>1.5382221714863586E-3</v>
      </c>
      <c r="N211" s="75">
        <v>45208</v>
      </c>
      <c r="O211" s="53">
        <v>73.727241516113196</v>
      </c>
      <c r="P211" s="9">
        <f t="shared" si="21"/>
        <v>3.5202496249850057E-2</v>
      </c>
      <c r="R211" s="75">
        <v>45208</v>
      </c>
      <c r="S211" s="53">
        <v>33.755855560302699</v>
      </c>
      <c r="T211" s="9">
        <f t="shared" si="22"/>
        <v>-2.6944575209367216E-2</v>
      </c>
      <c r="V211" s="75">
        <v>45208</v>
      </c>
      <c r="W211" s="53">
        <v>36.379287719726499</v>
      </c>
      <c r="X211" s="9">
        <f t="shared" si="23"/>
        <v>-1.0071584587254878E-2</v>
      </c>
    </row>
    <row r="212" spans="2:24">
      <c r="B212" s="75">
        <v>45215</v>
      </c>
      <c r="C212" s="53">
        <v>19115.599609375</v>
      </c>
      <c r="D212" s="9">
        <f t="shared" si="18"/>
        <v>-1.7844245938662295E-2</v>
      </c>
      <c r="F212" s="75">
        <v>45215</v>
      </c>
      <c r="G212" s="53">
        <v>259.29486083984301</v>
      </c>
      <c r="H212" s="9">
        <f t="shared" si="19"/>
        <v>-4.8448782878431795E-2</v>
      </c>
      <c r="J212" s="75">
        <v>45215</v>
      </c>
      <c r="K212" s="53">
        <v>68.623603820800696</v>
      </c>
      <c r="L212" s="9">
        <f t="shared" si="20"/>
        <v>-2.0804214360637396E-2</v>
      </c>
      <c r="N212" s="75">
        <v>45215</v>
      </c>
      <c r="O212" s="53">
        <v>72.825469970703097</v>
      </c>
      <c r="P212" s="9">
        <f t="shared" si="21"/>
        <v>-1.2231185201917794E-2</v>
      </c>
      <c r="R212" s="75">
        <v>45215</v>
      </c>
      <c r="S212" s="53">
        <v>33.784767150878899</v>
      </c>
      <c r="T212" s="9">
        <f t="shared" si="22"/>
        <v>8.5649112120855797E-4</v>
      </c>
      <c r="V212" s="75">
        <v>45215</v>
      </c>
      <c r="W212" s="53">
        <v>36.644256591796797</v>
      </c>
      <c r="X212" s="9">
        <f t="shared" si="23"/>
        <v>7.2835090700971161E-3</v>
      </c>
    </row>
    <row r="213" spans="2:24">
      <c r="B213" s="75">
        <v>45222</v>
      </c>
      <c r="C213" s="53">
        <v>18737.400390625</v>
      </c>
      <c r="D213" s="9">
        <f t="shared" si="18"/>
        <v>-1.978484727021157E-2</v>
      </c>
      <c r="F213" s="75">
        <v>45222</v>
      </c>
      <c r="G213" s="53">
        <v>260.568756103515</v>
      </c>
      <c r="H213" s="9">
        <f t="shared" si="19"/>
        <v>4.912921372779655E-3</v>
      </c>
      <c r="J213" s="75">
        <v>45222</v>
      </c>
      <c r="K213" s="53">
        <v>67.263442993164006</v>
      </c>
      <c r="L213" s="9">
        <f t="shared" si="20"/>
        <v>-1.9820597460729839E-2</v>
      </c>
      <c r="N213" s="75">
        <v>45222</v>
      </c>
      <c r="O213" s="53">
        <v>72.201156616210895</v>
      </c>
      <c r="P213" s="9">
        <f t="shared" si="21"/>
        <v>-8.5727336156341538E-3</v>
      </c>
      <c r="R213" s="75">
        <v>45222</v>
      </c>
      <c r="S213" s="53">
        <v>33.958217620849602</v>
      </c>
      <c r="T213" s="9">
        <f t="shared" si="22"/>
        <v>5.1339844728275352E-3</v>
      </c>
      <c r="V213" s="75">
        <v>45222</v>
      </c>
      <c r="W213" s="53">
        <v>36.223400115966797</v>
      </c>
      <c r="X213" s="9">
        <f t="shared" si="23"/>
        <v>-1.1484923286019466E-2</v>
      </c>
    </row>
    <row r="214" spans="2:24">
      <c r="B214" s="75">
        <v>45229</v>
      </c>
      <c r="C214" s="53">
        <v>19824.900390625</v>
      </c>
      <c r="D214" s="9">
        <f t="shared" si="18"/>
        <v>5.8039000999525747E-2</v>
      </c>
      <c r="F214" s="75">
        <v>45229</v>
      </c>
      <c r="G214" s="53">
        <v>257.19104003906199</v>
      </c>
      <c r="H214" s="9">
        <f t="shared" si="19"/>
        <v>-1.2962859073983424E-2</v>
      </c>
      <c r="J214" s="75">
        <v>45229</v>
      </c>
      <c r="K214" s="53">
        <v>72.065826416015597</v>
      </c>
      <c r="L214" s="9">
        <f t="shared" si="20"/>
        <v>7.1396634028080497E-2</v>
      </c>
      <c r="N214" s="75">
        <v>45229</v>
      </c>
      <c r="O214" s="53">
        <v>76.105537414550696</v>
      </c>
      <c r="P214" s="9">
        <f t="shared" si="21"/>
        <v>5.4076430092300898E-2</v>
      </c>
      <c r="R214" s="75">
        <v>45229</v>
      </c>
      <c r="S214" s="53">
        <v>35.345840454101499</v>
      </c>
      <c r="T214" s="9">
        <f t="shared" si="22"/>
        <v>4.0862652119878273E-2</v>
      </c>
      <c r="V214" s="75">
        <v>45229</v>
      </c>
      <c r="W214" s="53">
        <v>38.8170776367187</v>
      </c>
      <c r="X214" s="9">
        <f t="shared" si="23"/>
        <v>7.160226573011963E-2</v>
      </c>
    </row>
    <row r="215" spans="2:24">
      <c r="B215" s="75">
        <v>45236</v>
      </c>
      <c r="C215" s="53">
        <v>19654.5</v>
      </c>
      <c r="D215" s="9">
        <f t="shared" si="18"/>
        <v>-8.5952709606339495E-3</v>
      </c>
      <c r="F215" s="75">
        <v>45236</v>
      </c>
      <c r="G215" s="53">
        <v>252.13325500488199</v>
      </c>
      <c r="H215" s="9">
        <f t="shared" si="19"/>
        <v>-1.9665479145042686E-2</v>
      </c>
      <c r="J215" s="75">
        <v>45236</v>
      </c>
      <c r="K215" s="53">
        <v>73.245140075683594</v>
      </c>
      <c r="L215" s="9">
        <f t="shared" si="20"/>
        <v>1.6364395141466259E-2</v>
      </c>
      <c r="N215" s="75">
        <v>45236</v>
      </c>
      <c r="O215" s="53">
        <v>77.938804626464801</v>
      </c>
      <c r="P215" s="9">
        <f t="shared" si="21"/>
        <v>2.4088486517455543E-2</v>
      </c>
      <c r="R215" s="75">
        <v>45236</v>
      </c>
      <c r="S215" s="53">
        <v>34.912208557128899</v>
      </c>
      <c r="T215" s="9">
        <f t="shared" si="22"/>
        <v>-1.2268258199594761E-2</v>
      </c>
      <c r="V215" s="75">
        <v>45236</v>
      </c>
      <c r="W215" s="53">
        <v>39.668582916259702</v>
      </c>
      <c r="X215" s="9">
        <f t="shared" si="23"/>
        <v>2.193635717531528E-2</v>
      </c>
    </row>
    <row r="216" spans="2:24">
      <c r="B216" s="75">
        <v>45243</v>
      </c>
      <c r="C216" s="53">
        <v>20175.80078125</v>
      </c>
      <c r="D216" s="9">
        <f t="shared" si="18"/>
        <v>2.6523227823144868E-2</v>
      </c>
      <c r="F216" s="75">
        <v>45243</v>
      </c>
      <c r="G216" s="53">
        <v>264.18673706054602</v>
      </c>
      <c r="H216" s="9">
        <f t="shared" si="19"/>
        <v>4.7805998678875694E-2</v>
      </c>
      <c r="J216" s="75">
        <v>45243</v>
      </c>
      <c r="K216" s="53">
        <v>68.950477600097599</v>
      </c>
      <c r="L216" s="9">
        <f t="shared" si="20"/>
        <v>-5.8634094646393686E-2</v>
      </c>
      <c r="N216" s="75">
        <v>45243</v>
      </c>
      <c r="O216" s="53">
        <v>77.532524108886705</v>
      </c>
      <c r="P216" s="9">
        <f t="shared" si="21"/>
        <v>-5.2128143294635221E-3</v>
      </c>
      <c r="R216" s="75">
        <v>45243</v>
      </c>
      <c r="S216" s="53">
        <v>34.835121154785099</v>
      </c>
      <c r="T216" s="9">
        <f t="shared" si="22"/>
        <v>-2.2080356852147709E-3</v>
      </c>
      <c r="V216" s="75">
        <v>45243</v>
      </c>
      <c r="W216" s="53">
        <v>37.789390563964801</v>
      </c>
      <c r="X216" s="9">
        <f t="shared" si="23"/>
        <v>-4.737230861666708E-2</v>
      </c>
    </row>
    <row r="217" spans="2:24">
      <c r="B217" s="75">
        <v>45250</v>
      </c>
      <c r="C217" s="53">
        <v>20103.099609375</v>
      </c>
      <c r="D217" s="9">
        <f t="shared" si="18"/>
        <v>-3.6033847014669274E-3</v>
      </c>
      <c r="F217" s="75">
        <v>45250</v>
      </c>
      <c r="G217" s="53">
        <v>252.531494140625</v>
      </c>
      <c r="H217" s="9">
        <f t="shared" si="19"/>
        <v>-4.4117441509752608E-2</v>
      </c>
      <c r="J217" s="75">
        <v>45250</v>
      </c>
      <c r="K217" s="53">
        <v>68.537712097167898</v>
      </c>
      <c r="L217" s="9">
        <f t="shared" si="20"/>
        <v>-5.9864052766056552E-3</v>
      </c>
      <c r="N217" s="75">
        <v>45250</v>
      </c>
      <c r="O217" s="53">
        <v>78.483825683593693</v>
      </c>
      <c r="P217" s="9">
        <f t="shared" si="21"/>
        <v>1.2269709849391575E-2</v>
      </c>
      <c r="R217" s="75">
        <v>45250</v>
      </c>
      <c r="S217" s="53">
        <v>35.085662841796797</v>
      </c>
      <c r="T217" s="9">
        <f t="shared" si="22"/>
        <v>7.1922151755536845E-3</v>
      </c>
      <c r="V217" s="75">
        <v>45250</v>
      </c>
      <c r="W217" s="53">
        <v>36.614898681640597</v>
      </c>
      <c r="X217" s="9">
        <f t="shared" si="23"/>
        <v>-3.1079937114523837E-2</v>
      </c>
    </row>
    <row r="218" spans="2:24">
      <c r="B218" s="75">
        <v>45257</v>
      </c>
      <c r="C218" s="53">
        <v>20452.900390625</v>
      </c>
      <c r="D218" s="9">
        <f t="shared" si="18"/>
        <v>1.7400340646318568E-2</v>
      </c>
      <c r="F218" s="75">
        <v>45257</v>
      </c>
      <c r="G218" s="53">
        <v>257.38784790039</v>
      </c>
      <c r="H218" s="9">
        <f t="shared" si="19"/>
        <v>1.9230685567720451E-2</v>
      </c>
      <c r="J218" s="75">
        <v>45257</v>
      </c>
      <c r="K218" s="53">
        <v>67.142196655273395</v>
      </c>
      <c r="L218" s="9">
        <f t="shared" si="20"/>
        <v>-2.0361278472733946E-2</v>
      </c>
      <c r="N218" s="75">
        <v>45257</v>
      </c>
      <c r="O218" s="53">
        <v>76.234359741210895</v>
      </c>
      <c r="P218" s="9">
        <f t="shared" si="21"/>
        <v>-2.8661522584939814E-2</v>
      </c>
      <c r="R218" s="75">
        <v>45257</v>
      </c>
      <c r="S218" s="53">
        <v>34.565303802490199</v>
      </c>
      <c r="T218" s="9">
        <f t="shared" si="22"/>
        <v>-1.4831101856417117E-2</v>
      </c>
      <c r="V218" s="75">
        <v>45257</v>
      </c>
      <c r="W218" s="53">
        <v>36.350635528564403</v>
      </c>
      <c r="X218" s="9">
        <f t="shared" si="23"/>
        <v>-7.2173667712127632E-3</v>
      </c>
    </row>
    <row r="219" spans="2:24">
      <c r="B219" s="75">
        <v>45264</v>
      </c>
      <c r="C219" s="53">
        <v>20331.5</v>
      </c>
      <c r="D219" s="9">
        <f t="shared" si="18"/>
        <v>-5.9356075816340281E-3</v>
      </c>
      <c r="F219" s="75">
        <v>45264</v>
      </c>
      <c r="G219" s="53">
        <v>271.956939697265</v>
      </c>
      <c r="H219" s="9">
        <f t="shared" si="19"/>
        <v>5.6603650544190698E-2</v>
      </c>
      <c r="J219" s="75">
        <v>45264</v>
      </c>
      <c r="K219" s="53">
        <v>67.299446105957003</v>
      </c>
      <c r="L219" s="9">
        <f t="shared" si="20"/>
        <v>2.342036134012293E-3</v>
      </c>
      <c r="N219" s="75">
        <v>45264</v>
      </c>
      <c r="O219" s="53">
        <v>75.867706298828097</v>
      </c>
      <c r="P219" s="9">
        <f t="shared" si="21"/>
        <v>-4.8095562634415945E-3</v>
      </c>
      <c r="R219" s="75">
        <v>45264</v>
      </c>
      <c r="S219" s="53">
        <v>38.207817077636697</v>
      </c>
      <c r="T219" s="9">
        <f t="shared" si="22"/>
        <v>0.10538062375960022</v>
      </c>
      <c r="V219" s="75">
        <v>45264</v>
      </c>
      <c r="W219" s="53">
        <v>37.300018310546797</v>
      </c>
      <c r="X219" s="9">
        <f t="shared" si="23"/>
        <v>2.6117364061939652E-2</v>
      </c>
    </row>
    <row r="220" spans="2:24">
      <c r="B220" s="75">
        <v>45271</v>
      </c>
      <c r="C220" s="53">
        <v>20529.19921875</v>
      </c>
      <c r="D220" s="9">
        <f t="shared" si="18"/>
        <v>9.7237891326267256E-3</v>
      </c>
      <c r="F220" s="75">
        <v>45271</v>
      </c>
      <c r="G220" s="53">
        <v>260.37933349609301</v>
      </c>
      <c r="H220" s="9">
        <f t="shared" si="19"/>
        <v>-4.2571468167202697E-2</v>
      </c>
      <c r="J220" s="75">
        <v>45271</v>
      </c>
      <c r="K220" s="53">
        <v>64.400291442871094</v>
      </c>
      <c r="L220" s="9">
        <f t="shared" si="20"/>
        <v>-4.3078432748487216E-2</v>
      </c>
      <c r="N220" s="75">
        <v>45271</v>
      </c>
      <c r="O220" s="53">
        <v>73.774864196777301</v>
      </c>
      <c r="P220" s="9">
        <f t="shared" si="21"/>
        <v>-2.7585414192008106E-2</v>
      </c>
      <c r="R220" s="75">
        <v>45271</v>
      </c>
      <c r="S220" s="53">
        <v>37.282730102538999</v>
      </c>
      <c r="T220" s="9">
        <f t="shared" si="22"/>
        <v>-2.4211981888888401E-2</v>
      </c>
      <c r="V220" s="75">
        <v>45271</v>
      </c>
      <c r="W220" s="53">
        <v>33.541633605957003</v>
      </c>
      <c r="X220" s="9">
        <f t="shared" si="23"/>
        <v>-0.10076093457377977</v>
      </c>
    </row>
    <row r="221" spans="2:24">
      <c r="B221" s="75">
        <v>45278</v>
      </c>
      <c r="C221" s="53">
        <v>20881.19921875</v>
      </c>
      <c r="D221" s="9">
        <f t="shared" si="18"/>
        <v>1.7146309325037246E-2</v>
      </c>
      <c r="F221" s="75">
        <v>45278</v>
      </c>
      <c r="G221" s="53">
        <v>271.956939697265</v>
      </c>
      <c r="H221" s="9">
        <f t="shared" si="19"/>
        <v>4.4464382198542207E-2</v>
      </c>
      <c r="J221" s="75">
        <v>45278</v>
      </c>
      <c r="K221" s="53">
        <v>66.110298156738196</v>
      </c>
      <c r="L221" s="9">
        <f t="shared" si="20"/>
        <v>2.6552779118772074E-2</v>
      </c>
      <c r="N221" s="75">
        <v>45278</v>
      </c>
      <c r="O221" s="53">
        <v>75.503028869628906</v>
      </c>
      <c r="P221" s="9">
        <f t="shared" si="21"/>
        <v>2.342484383627097E-2</v>
      </c>
      <c r="R221" s="75">
        <v>45278</v>
      </c>
      <c r="S221" s="53">
        <v>38.015090942382798</v>
      </c>
      <c r="T221" s="9">
        <f t="shared" si="22"/>
        <v>1.9643433778309127E-2</v>
      </c>
      <c r="V221" s="75">
        <v>45278</v>
      </c>
      <c r="W221" s="53">
        <v>33.737380981445298</v>
      </c>
      <c r="X221" s="9">
        <f t="shared" si="23"/>
        <v>5.835952350679019E-3</v>
      </c>
    </row>
    <row r="222" spans="2:24">
      <c r="B222" s="75">
        <v>45285</v>
      </c>
      <c r="C222" s="53">
        <v>20958.400390625</v>
      </c>
      <c r="D222" s="9">
        <f t="shared" si="18"/>
        <v>3.6971617897154641E-3</v>
      </c>
      <c r="F222" s="75">
        <v>45285</v>
      </c>
      <c r="G222" s="53">
        <v>271.956939697265</v>
      </c>
      <c r="H222" s="9">
        <f t="shared" si="19"/>
        <v>0</v>
      </c>
      <c r="J222" s="75">
        <v>45285</v>
      </c>
      <c r="K222" s="53">
        <v>67.407531738281193</v>
      </c>
      <c r="L222" s="9">
        <f t="shared" si="20"/>
        <v>1.9622261851965028E-2</v>
      </c>
      <c r="N222" s="75">
        <v>45285</v>
      </c>
      <c r="O222" s="53">
        <v>77.499374389648395</v>
      </c>
      <c r="P222" s="9">
        <f t="shared" si="21"/>
        <v>2.6440601786539952E-2</v>
      </c>
      <c r="R222" s="75">
        <v>45285</v>
      </c>
      <c r="S222" s="53">
        <v>37.841636657714801</v>
      </c>
      <c r="T222" s="9">
        <f t="shared" si="22"/>
        <v>-4.5627744237385359E-3</v>
      </c>
      <c r="V222" s="75">
        <v>45285</v>
      </c>
      <c r="W222" s="53">
        <v>34.3050537109375</v>
      </c>
      <c r="X222" s="9">
        <f t="shared" si="23"/>
        <v>1.6826223997778778E-2</v>
      </c>
    </row>
    <row r="223" spans="2:24">
      <c r="B223" s="75">
        <v>45292</v>
      </c>
      <c r="C223" s="53">
        <v>20937.599609375</v>
      </c>
      <c r="D223" s="9">
        <f t="shared" si="18"/>
        <v>-9.9247942888358587E-4</v>
      </c>
      <c r="F223" s="75">
        <v>45292</v>
      </c>
      <c r="G223" s="53">
        <v>271.956939697265</v>
      </c>
      <c r="H223" s="9">
        <f t="shared" si="19"/>
        <v>0</v>
      </c>
      <c r="J223" s="75">
        <v>45292</v>
      </c>
      <c r="K223" s="53">
        <v>66.454269409179602</v>
      </c>
      <c r="L223" s="9">
        <f t="shared" si="20"/>
        <v>-1.4141777699304581E-2</v>
      </c>
      <c r="N223" s="75">
        <v>45292</v>
      </c>
      <c r="O223" s="53">
        <v>78.631607055664006</v>
      </c>
      <c r="P223" s="9">
        <f t="shared" si="21"/>
        <v>1.4609571689224499E-2</v>
      </c>
      <c r="R223" s="75">
        <v>45292</v>
      </c>
      <c r="S223" s="53">
        <v>38.336257934570298</v>
      </c>
      <c r="T223" s="9">
        <f t="shared" si="22"/>
        <v>1.3070821469204574E-2</v>
      </c>
      <c r="V223" s="75">
        <v>45292</v>
      </c>
      <c r="W223" s="53">
        <v>34.2756958007812</v>
      </c>
      <c r="X223" s="9">
        <f t="shared" si="23"/>
        <v>-8.5578965722299394E-4</v>
      </c>
    </row>
    <row r="224" spans="2:24">
      <c r="B224" s="75">
        <v>45299</v>
      </c>
      <c r="C224" s="53">
        <v>20990.19921875</v>
      </c>
      <c r="D224" s="9">
        <f t="shared" si="18"/>
        <v>2.512208197517074E-3</v>
      </c>
      <c r="F224" s="75">
        <v>45299</v>
      </c>
      <c r="G224" s="53">
        <v>271.956939697265</v>
      </c>
      <c r="H224" s="9">
        <f t="shared" si="19"/>
        <v>0</v>
      </c>
      <c r="J224" s="75">
        <v>45299</v>
      </c>
      <c r="K224" s="53">
        <v>66.984962463378906</v>
      </c>
      <c r="L224" s="9">
        <f t="shared" si="20"/>
        <v>7.9858383655031506E-3</v>
      </c>
      <c r="N224" s="75">
        <v>45299</v>
      </c>
      <c r="O224" s="53">
        <v>77.489440917968693</v>
      </c>
      <c r="P224" s="9">
        <f t="shared" si="21"/>
        <v>-1.4525534711337662E-2</v>
      </c>
      <c r="R224" s="75">
        <v>45299</v>
      </c>
      <c r="S224" s="53">
        <v>38.083217620849602</v>
      </c>
      <c r="T224" s="9">
        <f t="shared" si="22"/>
        <v>-6.6005480804247618E-3</v>
      </c>
      <c r="V224" s="75">
        <v>45299</v>
      </c>
      <c r="W224" s="53">
        <v>34.3050537109375</v>
      </c>
      <c r="X224" s="9">
        <f t="shared" si="23"/>
        <v>8.5652266045710412E-4</v>
      </c>
    </row>
    <row r="225" spans="2:24">
      <c r="B225" s="75">
        <v>45306</v>
      </c>
      <c r="C225" s="53">
        <v>20906.5</v>
      </c>
      <c r="D225" s="9">
        <f t="shared" si="18"/>
        <v>-3.9875380827845142E-3</v>
      </c>
      <c r="F225" s="75">
        <v>45306</v>
      </c>
      <c r="G225" s="53">
        <v>271.956939697265</v>
      </c>
      <c r="H225" s="9">
        <f t="shared" si="19"/>
        <v>0</v>
      </c>
      <c r="J225" s="75">
        <v>45306</v>
      </c>
      <c r="K225" s="53">
        <v>68.557373046875</v>
      </c>
      <c r="L225" s="9">
        <f t="shared" si="20"/>
        <v>2.3474083222122299E-2</v>
      </c>
      <c r="N225" s="75">
        <v>45306</v>
      </c>
      <c r="O225" s="53">
        <v>81.1444091796875</v>
      </c>
      <c r="P225" s="9">
        <f t="shared" si="21"/>
        <v>4.7167307163668903E-2</v>
      </c>
      <c r="R225" s="75">
        <v>45306</v>
      </c>
      <c r="S225" s="53">
        <v>38.151344299316399</v>
      </c>
      <c r="T225" s="9">
        <f t="shared" si="22"/>
        <v>1.7888897714750662E-3</v>
      </c>
      <c r="V225" s="75">
        <v>45306</v>
      </c>
      <c r="W225" s="53">
        <v>34.671787261962798</v>
      </c>
      <c r="X225" s="9">
        <f t="shared" si="23"/>
        <v>1.0690365160640258E-2</v>
      </c>
    </row>
    <row r="226" spans="2:24">
      <c r="B226" s="75">
        <v>45313</v>
      </c>
      <c r="C226" s="53">
        <v>21125.30078125</v>
      </c>
      <c r="D226" s="9">
        <f t="shared" si="18"/>
        <v>1.0465682024729084E-2</v>
      </c>
      <c r="F226" s="75">
        <v>45313</v>
      </c>
      <c r="G226" s="53">
        <v>267.1005859375</v>
      </c>
      <c r="H226" s="9">
        <f t="shared" si="19"/>
        <v>-1.7857068715256719E-2</v>
      </c>
      <c r="J226" s="75">
        <v>45313</v>
      </c>
      <c r="K226" s="53">
        <v>69.962722778320298</v>
      </c>
      <c r="L226" s="9">
        <f t="shared" si="20"/>
        <v>2.0498885371299291E-2</v>
      </c>
      <c r="N226" s="75">
        <v>45313</v>
      </c>
      <c r="O226" s="53">
        <v>79.108352661132798</v>
      </c>
      <c r="P226" s="9">
        <f t="shared" si="21"/>
        <v>-2.509176589167128E-2</v>
      </c>
      <c r="R226" s="75">
        <v>45313</v>
      </c>
      <c r="S226" s="53">
        <v>37.732845306396399</v>
      </c>
      <c r="T226" s="9">
        <f t="shared" si="22"/>
        <v>-1.0969442901845539E-2</v>
      </c>
      <c r="V226" s="75">
        <v>45313</v>
      </c>
      <c r="W226" s="53">
        <v>34.415977478027301</v>
      </c>
      <c r="X226" s="9">
        <f t="shared" si="23"/>
        <v>-7.3780385765154222E-3</v>
      </c>
    </row>
    <row r="227" spans="2:24">
      <c r="B227" s="75">
        <v>45320</v>
      </c>
      <c r="C227" s="53">
        <v>21085.099609375</v>
      </c>
      <c r="D227" s="9">
        <f t="shared" si="18"/>
        <v>-1.9029869582107839E-3</v>
      </c>
      <c r="F227" s="75">
        <v>45320</v>
      </c>
      <c r="G227" s="53">
        <v>267.1005859375</v>
      </c>
      <c r="H227" s="9">
        <f t="shared" si="19"/>
        <v>0</v>
      </c>
      <c r="J227" s="75">
        <v>45320</v>
      </c>
      <c r="K227" s="53">
        <v>69.333755493164006</v>
      </c>
      <c r="L227" s="9">
        <f t="shared" si="20"/>
        <v>-8.9900344094554496E-3</v>
      </c>
      <c r="N227" s="75">
        <v>45320</v>
      </c>
      <c r="O227" s="53">
        <v>79.515563964843693</v>
      </c>
      <c r="P227" s="9">
        <f t="shared" si="21"/>
        <v>5.1475133789629091E-3</v>
      </c>
      <c r="R227" s="75">
        <v>45320</v>
      </c>
      <c r="S227" s="53">
        <v>38.375186920166001</v>
      </c>
      <c r="T227" s="9">
        <f t="shared" si="22"/>
        <v>1.7023407817610581E-2</v>
      </c>
      <c r="V227" s="75">
        <v>45320</v>
      </c>
      <c r="W227" s="53">
        <v>33.599365234375</v>
      </c>
      <c r="X227" s="9">
        <f t="shared" si="23"/>
        <v>-2.3727707404901155E-2</v>
      </c>
    </row>
    <row r="228" spans="2:24">
      <c r="B228" s="75">
        <v>45327</v>
      </c>
      <c r="C228" s="53">
        <v>21009.599609375</v>
      </c>
      <c r="D228" s="9">
        <f t="shared" si="18"/>
        <v>-3.5807276891606232E-3</v>
      </c>
      <c r="F228" s="75">
        <v>45327</v>
      </c>
      <c r="G228" s="53">
        <v>252.516342163085</v>
      </c>
      <c r="H228" s="9">
        <f t="shared" si="19"/>
        <v>-5.4602065821853452E-2</v>
      </c>
      <c r="J228" s="75">
        <v>45327</v>
      </c>
      <c r="K228" s="53">
        <v>68.065994262695298</v>
      </c>
      <c r="L228" s="9">
        <f t="shared" si="20"/>
        <v>-1.8284906413207347E-2</v>
      </c>
      <c r="N228" s="75">
        <v>45327</v>
      </c>
      <c r="O228" s="53">
        <v>80.578285217285099</v>
      </c>
      <c r="P228" s="9">
        <f t="shared" si="21"/>
        <v>1.3364946426227542E-2</v>
      </c>
      <c r="R228" s="75">
        <v>45327</v>
      </c>
      <c r="S228" s="53">
        <v>38.599033355712798</v>
      </c>
      <c r="T228" s="9">
        <f t="shared" si="22"/>
        <v>5.8331034585570318E-3</v>
      </c>
      <c r="V228" s="75">
        <v>45327</v>
      </c>
      <c r="W228" s="53">
        <v>33.8158149719238</v>
      </c>
      <c r="X228" s="9">
        <f t="shared" si="23"/>
        <v>6.4420781773386615E-3</v>
      </c>
    </row>
    <row r="229" spans="2:24">
      <c r="B229" s="75">
        <v>45334</v>
      </c>
      <c r="C229" s="53">
        <v>21255.599609375</v>
      </c>
      <c r="D229" s="9">
        <f t="shared" si="18"/>
        <v>1.1708933276873612E-2</v>
      </c>
      <c r="F229" s="75">
        <v>45334</v>
      </c>
      <c r="G229" s="53">
        <v>238.99760437011699</v>
      </c>
      <c r="H229" s="9">
        <f t="shared" si="19"/>
        <v>-5.3536090682943072E-2</v>
      </c>
      <c r="J229" s="75">
        <v>45334</v>
      </c>
      <c r="K229" s="53">
        <v>69.795654296875</v>
      </c>
      <c r="L229" s="9">
        <f t="shared" si="20"/>
        <v>2.5411514999754692E-2</v>
      </c>
      <c r="N229" s="75">
        <v>45334</v>
      </c>
      <c r="O229" s="53">
        <v>81.442367553710895</v>
      </c>
      <c r="P229" s="9">
        <f t="shared" si="21"/>
        <v>1.0723513588006162E-2</v>
      </c>
      <c r="R229" s="75">
        <v>45334</v>
      </c>
      <c r="S229" s="53">
        <v>38.783950805663999</v>
      </c>
      <c r="T229" s="9">
        <f t="shared" si="22"/>
        <v>4.7907274839522618E-3</v>
      </c>
      <c r="V229" s="75">
        <v>45334</v>
      </c>
      <c r="W229" s="53">
        <v>34.101139068603501</v>
      </c>
      <c r="X229" s="9">
        <f t="shared" si="23"/>
        <v>8.4375933839417883E-3</v>
      </c>
    </row>
    <row r="230" spans="2:24">
      <c r="B230" s="75">
        <v>45341</v>
      </c>
      <c r="C230" s="53">
        <v>21413.19921875</v>
      </c>
      <c r="D230" s="9">
        <f t="shared" si="18"/>
        <v>7.4144984037753936E-3</v>
      </c>
      <c r="F230" s="75">
        <v>45341</v>
      </c>
      <c r="G230" s="53">
        <v>243.39633178710901</v>
      </c>
      <c r="H230" s="9">
        <f t="shared" si="19"/>
        <v>1.8404901708470867E-2</v>
      </c>
      <c r="J230" s="75">
        <v>45341</v>
      </c>
      <c r="K230" s="53">
        <v>72.775848388671804</v>
      </c>
      <c r="L230" s="9">
        <f t="shared" si="20"/>
        <v>4.2698848829765046E-2</v>
      </c>
      <c r="N230" s="75">
        <v>45341</v>
      </c>
      <c r="O230" s="53">
        <v>85.683326721191406</v>
      </c>
      <c r="P230" s="9">
        <f t="shared" si="21"/>
        <v>5.2073132140757261E-2</v>
      </c>
      <c r="R230" s="75">
        <v>45341</v>
      </c>
      <c r="S230" s="53">
        <v>38.608768463134702</v>
      </c>
      <c r="T230" s="9">
        <f t="shared" si="22"/>
        <v>-4.5168771847687861E-3</v>
      </c>
      <c r="V230" s="75">
        <v>45341</v>
      </c>
      <c r="W230" s="53">
        <v>34.238880157470703</v>
      </c>
      <c r="X230" s="9">
        <f t="shared" si="23"/>
        <v>4.039193194986801E-3</v>
      </c>
    </row>
    <row r="231" spans="2:24">
      <c r="B231" s="75">
        <v>45348</v>
      </c>
      <c r="C231" s="53">
        <v>21552.400390625</v>
      </c>
      <c r="D231" s="9">
        <f t="shared" si="18"/>
        <v>6.5007181062934905E-3</v>
      </c>
      <c r="F231" s="75">
        <v>45348</v>
      </c>
      <c r="G231" s="53">
        <v>240.46383666992099</v>
      </c>
      <c r="H231" s="9">
        <f t="shared" si="19"/>
        <v>-1.2048230536822468E-2</v>
      </c>
      <c r="J231" s="75">
        <v>45348</v>
      </c>
      <c r="K231" s="53">
        <v>72.538818359375</v>
      </c>
      <c r="L231" s="9">
        <f t="shared" si="20"/>
        <v>-3.2569875108965363E-3</v>
      </c>
      <c r="N231" s="75">
        <v>45348</v>
      </c>
      <c r="O231" s="53">
        <v>83.448631286621094</v>
      </c>
      <c r="P231" s="9">
        <f t="shared" si="21"/>
        <v>-2.6080866839378047E-2</v>
      </c>
      <c r="R231" s="75">
        <v>45348</v>
      </c>
      <c r="S231" s="53">
        <v>39.7572021484375</v>
      </c>
      <c r="T231" s="9">
        <f t="shared" si="22"/>
        <v>2.9745410978321507E-2</v>
      </c>
      <c r="V231" s="75">
        <v>45348</v>
      </c>
      <c r="W231" s="53">
        <v>33.943714141845703</v>
      </c>
      <c r="X231" s="9">
        <f t="shared" si="23"/>
        <v>-8.6207847414249139E-3</v>
      </c>
    </row>
    <row r="232" spans="2:24">
      <c r="B232" s="75">
        <v>45355</v>
      </c>
      <c r="C232" s="53">
        <v>21737.5</v>
      </c>
      <c r="D232" s="9">
        <f t="shared" si="18"/>
        <v>8.5883523886052249E-3</v>
      </c>
      <c r="F232" s="75">
        <v>45355</v>
      </c>
      <c r="G232" s="53">
        <v>254.14880371093699</v>
      </c>
      <c r="H232" s="9">
        <f t="shared" si="19"/>
        <v>5.691070736678383E-2</v>
      </c>
      <c r="J232" s="75">
        <v>45355</v>
      </c>
      <c r="K232" s="53">
        <v>73.081993103027301</v>
      </c>
      <c r="L232" s="9">
        <f t="shared" si="20"/>
        <v>7.4880561323908967E-3</v>
      </c>
      <c r="N232" s="75">
        <v>45355</v>
      </c>
      <c r="O232" s="53">
        <v>81.998558044433594</v>
      </c>
      <c r="P232" s="9">
        <f t="shared" si="21"/>
        <v>-1.7376836741718749E-2</v>
      </c>
      <c r="R232" s="75">
        <v>45355</v>
      </c>
      <c r="S232" s="53">
        <v>38.316795349121001</v>
      </c>
      <c r="T232" s="9">
        <f t="shared" si="22"/>
        <v>-3.6230084650790917E-2</v>
      </c>
      <c r="V232" s="75">
        <v>45355</v>
      </c>
      <c r="W232" s="53">
        <v>33.992912292480398</v>
      </c>
      <c r="X232" s="9">
        <f t="shared" si="23"/>
        <v>1.4494038698624756E-3</v>
      </c>
    </row>
    <row r="233" spans="2:24">
      <c r="B233" s="75">
        <v>45362</v>
      </c>
      <c r="C233" s="53">
        <v>21849.19921875</v>
      </c>
      <c r="D233" s="9">
        <f t="shared" si="18"/>
        <v>5.1385494537090626E-3</v>
      </c>
      <c r="F233" s="75">
        <v>45362</v>
      </c>
      <c r="G233" s="53">
        <v>244.37384033203099</v>
      </c>
      <c r="H233" s="9">
        <f t="shared" si="19"/>
        <v>-3.8461575408491044E-2</v>
      </c>
      <c r="J233" s="75">
        <v>45362</v>
      </c>
      <c r="K233" s="53">
        <v>73.002990722656193</v>
      </c>
      <c r="L233" s="9">
        <f t="shared" si="20"/>
        <v>-1.0810102053420145E-3</v>
      </c>
      <c r="N233" s="75">
        <v>45362</v>
      </c>
      <c r="O233" s="53">
        <v>83.150672912597599</v>
      </c>
      <c r="P233" s="9">
        <f t="shared" si="21"/>
        <v>1.405042839338333E-2</v>
      </c>
      <c r="R233" s="75">
        <v>45362</v>
      </c>
      <c r="S233" s="53">
        <v>37.966426849365199</v>
      </c>
      <c r="T233" s="9">
        <f t="shared" si="22"/>
        <v>-9.1439927729718429E-3</v>
      </c>
      <c r="V233" s="75">
        <v>45362</v>
      </c>
      <c r="W233" s="53">
        <v>32.172740936279297</v>
      </c>
      <c r="X233" s="9">
        <f t="shared" si="23"/>
        <v>-5.3545613877977183E-2</v>
      </c>
    </row>
    <row r="234" spans="2:24">
      <c r="B234" s="75">
        <v>45369</v>
      </c>
      <c r="C234" s="53">
        <v>21984.099609375</v>
      </c>
      <c r="D234" s="9">
        <f t="shared" si="18"/>
        <v>6.174157197909258E-3</v>
      </c>
      <c r="F234" s="75">
        <v>45369</v>
      </c>
      <c r="G234" s="53">
        <v>253.16151428222599</v>
      </c>
      <c r="H234" s="9">
        <f t="shared" si="19"/>
        <v>3.5959961746540481E-2</v>
      </c>
      <c r="J234" s="75">
        <v>45369</v>
      </c>
      <c r="K234" s="53">
        <v>71.580856323242102</v>
      </c>
      <c r="L234" s="9">
        <f t="shared" si="20"/>
        <v>-1.9480495050084756E-2</v>
      </c>
      <c r="N234" s="75">
        <v>45369</v>
      </c>
      <c r="O234" s="53">
        <v>77.370254516601506</v>
      </c>
      <c r="P234" s="9">
        <f t="shared" si="21"/>
        <v>-6.9517397677251291E-2</v>
      </c>
      <c r="R234" s="75">
        <v>45369</v>
      </c>
      <c r="S234" s="53">
        <v>38.044288635253899</v>
      </c>
      <c r="T234" s="9">
        <f t="shared" si="22"/>
        <v>2.0508062609532196E-3</v>
      </c>
      <c r="V234" s="75">
        <v>45369</v>
      </c>
      <c r="W234" s="53">
        <v>32.418708801269503</v>
      </c>
      <c r="X234" s="9">
        <f t="shared" si="23"/>
        <v>7.6452256734160784E-3</v>
      </c>
    </row>
    <row r="235" spans="2:24">
      <c r="B235" s="75">
        <v>45376</v>
      </c>
      <c r="C235" s="53">
        <v>22167</v>
      </c>
      <c r="D235" s="9">
        <f t="shared" si="18"/>
        <v>8.3196671173653147E-3</v>
      </c>
      <c r="F235" s="75">
        <v>45376</v>
      </c>
      <c r="G235" s="53">
        <v>242.41883850097599</v>
      </c>
      <c r="H235" s="9">
        <f t="shared" si="19"/>
        <v>-4.2434079333535712E-2</v>
      </c>
      <c r="J235" s="75">
        <v>45376</v>
      </c>
      <c r="K235" s="53">
        <v>71.817886352539006</v>
      </c>
      <c r="L235" s="9">
        <f t="shared" si="20"/>
        <v>3.3113606272958673E-3</v>
      </c>
      <c r="N235" s="75">
        <v>45376</v>
      </c>
      <c r="O235" s="53">
        <v>76.784255981445298</v>
      </c>
      <c r="P235" s="9">
        <f t="shared" si="21"/>
        <v>-7.5739512402723808E-3</v>
      </c>
      <c r="R235" s="75">
        <v>45376</v>
      </c>
      <c r="S235" s="53">
        <v>38.200004577636697</v>
      </c>
      <c r="T235" s="9">
        <f t="shared" si="22"/>
        <v>4.0930175847342376E-3</v>
      </c>
      <c r="V235" s="75">
        <v>45376</v>
      </c>
      <c r="W235" s="53">
        <v>32.546615600585902</v>
      </c>
      <c r="X235" s="9">
        <f t="shared" si="23"/>
        <v>3.9454624828052509E-3</v>
      </c>
    </row>
    <row r="236" spans="2:24">
      <c r="B236" s="75">
        <v>45383</v>
      </c>
      <c r="C236" s="53">
        <v>22264.400390625</v>
      </c>
      <c r="D236" s="9">
        <f t="shared" si="18"/>
        <v>4.3939365103531358E-3</v>
      </c>
      <c r="F236" s="75">
        <v>45383</v>
      </c>
      <c r="G236" s="53">
        <v>223.72914123535099</v>
      </c>
      <c r="H236" s="9">
        <f t="shared" si="19"/>
        <v>-7.7096719797829394E-2</v>
      </c>
      <c r="J236" s="75">
        <v>45383</v>
      </c>
      <c r="K236" s="53">
        <v>70.178466796875</v>
      </c>
      <c r="L236" s="9">
        <f t="shared" si="20"/>
        <v>-2.282745481559334E-2</v>
      </c>
      <c r="N236" s="75">
        <v>45383</v>
      </c>
      <c r="O236" s="53">
        <v>75.107040405273395</v>
      </c>
      <c r="P236" s="9">
        <f t="shared" si="21"/>
        <v>-2.1843222347263436E-2</v>
      </c>
      <c r="R236" s="75">
        <v>45383</v>
      </c>
      <c r="S236" s="53">
        <v>38.297328948974602</v>
      </c>
      <c r="T236" s="9">
        <f t="shared" si="22"/>
        <v>2.5477581066803978E-3</v>
      </c>
      <c r="V236" s="75">
        <v>45383</v>
      </c>
      <c r="W236" s="53">
        <v>31.661125183105401</v>
      </c>
      <c r="X236" s="9">
        <f t="shared" si="23"/>
        <v>-2.7206835523155282E-2</v>
      </c>
    </row>
    <row r="237" spans="2:24">
      <c r="B237" s="75">
        <v>45390</v>
      </c>
      <c r="C237" s="53">
        <v>21900</v>
      </c>
      <c r="D237" s="9">
        <f t="shared" si="18"/>
        <v>-1.6366952813983704E-2</v>
      </c>
      <c r="F237" s="75">
        <v>45390</v>
      </c>
      <c r="G237" s="53">
        <v>225.06829833984301</v>
      </c>
      <c r="H237" s="9">
        <f t="shared" si="19"/>
        <v>5.9856176852852716E-3</v>
      </c>
      <c r="J237" s="75">
        <v>45390</v>
      </c>
      <c r="K237" s="53">
        <v>69.734046936035099</v>
      </c>
      <c r="L237" s="9">
        <f t="shared" si="20"/>
        <v>-6.332709748792742E-3</v>
      </c>
      <c r="N237" s="75">
        <v>45390</v>
      </c>
      <c r="O237" s="53">
        <v>75.087127685546804</v>
      </c>
      <c r="P237" s="9">
        <f t="shared" si="21"/>
        <v>-2.6512454250815498E-4</v>
      </c>
      <c r="R237" s="75">
        <v>45390</v>
      </c>
      <c r="S237" s="53">
        <v>37.966426849365199</v>
      </c>
      <c r="T237" s="9">
        <f t="shared" si="22"/>
        <v>-8.6403440837944379E-3</v>
      </c>
      <c r="V237" s="75">
        <v>45390</v>
      </c>
      <c r="W237" s="53">
        <v>31.356124877929599</v>
      </c>
      <c r="X237" s="9">
        <f t="shared" si="23"/>
        <v>-9.6332743518083852E-3</v>
      </c>
    </row>
    <row r="238" spans="2:24">
      <c r="B238" s="75">
        <v>45397</v>
      </c>
      <c r="C238" s="53">
        <v>21807.400390625</v>
      </c>
      <c r="D238" s="9">
        <f t="shared" si="18"/>
        <v>-4.2282926655251574E-3</v>
      </c>
      <c r="F238" s="75">
        <v>45397</v>
      </c>
      <c r="G238" s="53">
        <v>243.83621215820301</v>
      </c>
      <c r="H238" s="9">
        <f t="shared" si="19"/>
        <v>8.3387638138274323E-2</v>
      </c>
      <c r="J238" s="75">
        <v>45397</v>
      </c>
      <c r="K238" s="53">
        <v>68.835342407226506</v>
      </c>
      <c r="L238" s="9">
        <f t="shared" si="20"/>
        <v>-1.2887600365900864E-2</v>
      </c>
      <c r="N238" s="75">
        <v>45397</v>
      </c>
      <c r="O238" s="53">
        <v>75.714263916015597</v>
      </c>
      <c r="P238" s="9">
        <f t="shared" si="21"/>
        <v>8.3521137350617281E-3</v>
      </c>
      <c r="R238" s="75">
        <v>45397</v>
      </c>
      <c r="S238" s="53">
        <v>37.645256042480398</v>
      </c>
      <c r="T238" s="9">
        <f t="shared" si="22"/>
        <v>-8.4593371970207443E-3</v>
      </c>
      <c r="V238" s="75">
        <v>45397</v>
      </c>
      <c r="W238" s="53">
        <v>31.358922958373999</v>
      </c>
      <c r="X238" s="9">
        <f t="shared" si="23"/>
        <v>8.9235530707165722E-5</v>
      </c>
    </row>
    <row r="239" spans="2:24">
      <c r="B239" s="75">
        <v>45404</v>
      </c>
      <c r="C239" s="53">
        <v>21969.19921875</v>
      </c>
      <c r="D239" s="9">
        <f t="shared" si="18"/>
        <v>7.4194459324257167E-3</v>
      </c>
      <c r="F239" s="75">
        <v>45404</v>
      </c>
      <c r="G239" s="53">
        <v>247.62889099121</v>
      </c>
      <c r="H239" s="9">
        <f t="shared" si="19"/>
        <v>1.5554206651415159E-2</v>
      </c>
      <c r="J239" s="75">
        <v>45404</v>
      </c>
      <c r="K239" s="53">
        <v>70.040206909179602</v>
      </c>
      <c r="L239" s="9">
        <f t="shared" si="20"/>
        <v>1.7503573888325796E-2</v>
      </c>
      <c r="N239" s="75">
        <v>45404</v>
      </c>
      <c r="O239" s="53">
        <v>77.396583557128906</v>
      </c>
      <c r="P239" s="9">
        <f t="shared" si="21"/>
        <v>2.221932241168445E-2</v>
      </c>
      <c r="R239" s="75">
        <v>45404</v>
      </c>
      <c r="S239" s="53">
        <v>38.575836181640597</v>
      </c>
      <c r="T239" s="9">
        <f t="shared" si="22"/>
        <v>2.4719718684077963E-2</v>
      </c>
      <c r="V239" s="75">
        <v>45404</v>
      </c>
      <c r="W239" s="53">
        <v>31.665683746337798</v>
      </c>
      <c r="X239" s="9">
        <f t="shared" si="23"/>
        <v>9.7822488473533475E-3</v>
      </c>
    </row>
    <row r="240" spans="2:24">
      <c r="B240" s="75">
        <v>45411</v>
      </c>
      <c r="C240" s="53">
        <v>21947.400390625</v>
      </c>
      <c r="D240" s="9">
        <f t="shared" si="18"/>
        <v>-9.9224500210259858E-4</v>
      </c>
      <c r="F240" s="75">
        <v>45411</v>
      </c>
      <c r="G240" s="53">
        <v>224.82391357421801</v>
      </c>
      <c r="H240" s="9">
        <f t="shared" si="19"/>
        <v>-9.2093363281271934E-2</v>
      </c>
      <c r="J240" s="75">
        <v>45411</v>
      </c>
      <c r="K240" s="53">
        <v>71.432723999023395</v>
      </c>
      <c r="L240" s="9">
        <f t="shared" si="20"/>
        <v>1.9881681555416586E-2</v>
      </c>
      <c r="N240" s="75">
        <v>45411</v>
      </c>
      <c r="O240" s="53">
        <v>74.649124145507798</v>
      </c>
      <c r="P240" s="9">
        <f t="shared" si="21"/>
        <v>-3.5498458528122501E-2</v>
      </c>
      <c r="R240" s="75">
        <v>45411</v>
      </c>
      <c r="S240" s="53">
        <v>37.838531494140597</v>
      </c>
      <c r="T240" s="9">
        <f t="shared" si="22"/>
        <v>-1.9113122630142865E-2</v>
      </c>
      <c r="V240" s="75">
        <v>45411</v>
      </c>
      <c r="W240" s="53">
        <v>32.061504364013601</v>
      </c>
      <c r="X240" s="9">
        <f t="shared" si="23"/>
        <v>1.2499986447366052E-2</v>
      </c>
    </row>
    <row r="241" spans="2:24">
      <c r="B241" s="75">
        <v>45418</v>
      </c>
      <c r="C241" s="53">
        <v>22308.900390625</v>
      </c>
      <c r="D241" s="9">
        <f t="shared" si="18"/>
        <v>1.6471199028857075E-2</v>
      </c>
      <c r="F241" s="75">
        <v>45418</v>
      </c>
      <c r="G241" s="53">
        <v>236.24060058593699</v>
      </c>
      <c r="H241" s="9">
        <f t="shared" si="19"/>
        <v>5.0780572360911824E-2</v>
      </c>
      <c r="J241" s="75">
        <v>45418</v>
      </c>
      <c r="K241" s="53">
        <v>73.161003112792898</v>
      </c>
      <c r="L241" s="9">
        <f t="shared" si="20"/>
        <v>2.4194501021592485E-2</v>
      </c>
      <c r="N241" s="75">
        <v>45418</v>
      </c>
      <c r="O241" s="53">
        <v>75.345947265625</v>
      </c>
      <c r="P241" s="9">
        <f t="shared" si="21"/>
        <v>9.3346456250302801E-3</v>
      </c>
      <c r="R241" s="75">
        <v>45418</v>
      </c>
      <c r="S241" s="53">
        <v>38.084297180175703</v>
      </c>
      <c r="T241" s="9">
        <f t="shared" si="22"/>
        <v>6.4951169173455003E-3</v>
      </c>
      <c r="V241" s="75">
        <v>45418</v>
      </c>
      <c r="W241" s="53">
        <v>32.4969062805175</v>
      </c>
      <c r="X241" s="9">
        <f t="shared" si="23"/>
        <v>1.3580208575384223E-2</v>
      </c>
    </row>
    <row r="242" spans="2:24">
      <c r="B242" s="75">
        <v>45425</v>
      </c>
      <c r="C242" s="53">
        <v>22465.400390625</v>
      </c>
      <c r="D242" s="9">
        <f t="shared" si="18"/>
        <v>7.0151373335176626E-3</v>
      </c>
      <c r="F242" s="75">
        <v>45425</v>
      </c>
      <c r="G242" s="53">
        <v>236.23075866699199</v>
      </c>
      <c r="H242" s="9">
        <f t="shared" si="19"/>
        <v>-4.166057367183118E-5</v>
      </c>
      <c r="J242" s="75">
        <v>45425</v>
      </c>
      <c r="K242" s="53">
        <v>73.783187866210895</v>
      </c>
      <c r="L242" s="9">
        <f t="shared" si="20"/>
        <v>8.5043223431309212E-3</v>
      </c>
      <c r="N242" s="75">
        <v>45425</v>
      </c>
      <c r="O242" s="53">
        <v>75.067222595214801</v>
      </c>
      <c r="P242" s="9">
        <f t="shared" si="21"/>
        <v>-3.699265594572454E-3</v>
      </c>
      <c r="R242" s="75">
        <v>45425</v>
      </c>
      <c r="S242" s="53">
        <v>37.887683868408203</v>
      </c>
      <c r="T242" s="9">
        <f t="shared" si="22"/>
        <v>-5.1625821224251522E-3</v>
      </c>
      <c r="V242" s="75">
        <v>45425</v>
      </c>
      <c r="W242" s="53">
        <v>33.258865356445298</v>
      </c>
      <c r="X242" s="9">
        <f t="shared" si="23"/>
        <v>2.3447126608006075E-2</v>
      </c>
    </row>
    <row r="243" spans="2:24">
      <c r="B243" s="75">
        <v>45432</v>
      </c>
      <c r="C243" s="53">
        <v>22320.900390625</v>
      </c>
      <c r="D243" s="9">
        <f t="shared" si="18"/>
        <v>-6.4321132714064699E-3</v>
      </c>
      <c r="F243" s="75">
        <v>45432</v>
      </c>
      <c r="G243" s="53">
        <v>241.15223693847599</v>
      </c>
      <c r="H243" s="9">
        <f t="shared" si="19"/>
        <v>2.0833350827195618E-2</v>
      </c>
      <c r="J243" s="75">
        <v>45432</v>
      </c>
      <c r="K243" s="53">
        <v>73.971649169921804</v>
      </c>
      <c r="L243" s="9">
        <f t="shared" si="20"/>
        <v>2.5542580791255709E-3</v>
      </c>
      <c r="N243" s="75">
        <v>45432</v>
      </c>
      <c r="O243" s="53">
        <v>79.845397949218693</v>
      </c>
      <c r="P243" s="9">
        <f t="shared" si="21"/>
        <v>6.3651953393417227E-2</v>
      </c>
      <c r="R243" s="75">
        <v>45432</v>
      </c>
      <c r="S243" s="53">
        <v>37.170036315917898</v>
      </c>
      <c r="T243" s="9">
        <f t="shared" si="22"/>
        <v>-1.894144690878552E-2</v>
      </c>
      <c r="V243" s="75">
        <v>45432</v>
      </c>
      <c r="W243" s="53">
        <v>33.526042938232401</v>
      </c>
      <c r="X243" s="9">
        <f t="shared" si="23"/>
        <v>8.0332741037218991E-3</v>
      </c>
    </row>
    <row r="244" spans="2:24">
      <c r="B244" s="75">
        <v>45439</v>
      </c>
      <c r="C244" s="53">
        <v>22269.099609375</v>
      </c>
      <c r="D244" s="9">
        <f t="shared" si="18"/>
        <v>-2.3207299142715687E-3</v>
      </c>
      <c r="F244" s="75">
        <v>45439</v>
      </c>
      <c r="G244" s="53">
        <v>221.46633911132801</v>
      </c>
      <c r="H244" s="9">
        <f t="shared" si="19"/>
        <v>-8.1632656935172299E-2</v>
      </c>
      <c r="J244" s="75">
        <v>45439</v>
      </c>
      <c r="K244" s="53">
        <v>72.056884765625</v>
      </c>
      <c r="L244" s="9">
        <f t="shared" si="20"/>
        <v>-2.588511173920649E-2</v>
      </c>
      <c r="N244" s="75">
        <v>45439</v>
      </c>
      <c r="O244" s="53">
        <v>79.188400268554602</v>
      </c>
      <c r="P244" s="9">
        <f t="shared" si="21"/>
        <v>-8.2283725491848481E-3</v>
      </c>
      <c r="R244" s="75">
        <v>45439</v>
      </c>
      <c r="S244" s="53">
        <v>37.012748718261697</v>
      </c>
      <c r="T244" s="9">
        <f t="shared" si="22"/>
        <v>-4.2315696524849455E-3</v>
      </c>
      <c r="V244" s="75">
        <v>45439</v>
      </c>
      <c r="W244" s="53">
        <v>31.952653884887599</v>
      </c>
      <c r="X244" s="9">
        <f t="shared" si="23"/>
        <v>-4.6930353702749117E-2</v>
      </c>
    </row>
    <row r="245" spans="2:24">
      <c r="B245" s="75">
        <v>45446</v>
      </c>
      <c r="C245" s="53">
        <v>22007</v>
      </c>
      <c r="D245" s="9">
        <f t="shared" si="18"/>
        <v>-1.1769654542506003E-2</v>
      </c>
      <c r="F245" s="75">
        <v>45446</v>
      </c>
      <c r="G245" s="53">
        <v>220.11784362792901</v>
      </c>
      <c r="H245" s="9">
        <f t="shared" si="19"/>
        <v>-6.0889410499584962E-3</v>
      </c>
      <c r="J245" s="75">
        <v>45446</v>
      </c>
      <c r="K245" s="53">
        <v>74.596687316894503</v>
      </c>
      <c r="L245" s="9">
        <f t="shared" si="20"/>
        <v>3.5247187822934123E-2</v>
      </c>
      <c r="N245" s="75">
        <v>45446</v>
      </c>
      <c r="O245" s="53">
        <v>79.775718688964801</v>
      </c>
      <c r="P245" s="9">
        <f t="shared" si="21"/>
        <v>7.4167228838870614E-3</v>
      </c>
      <c r="R245" s="75">
        <v>45446</v>
      </c>
      <c r="S245" s="53">
        <v>42.458972930908203</v>
      </c>
      <c r="T245" s="9">
        <f t="shared" si="22"/>
        <v>0.14714454887159989</v>
      </c>
      <c r="V245" s="75">
        <v>45446</v>
      </c>
      <c r="W245" s="53">
        <v>32.5760688781738</v>
      </c>
      <c r="X245" s="9">
        <f t="shared" si="23"/>
        <v>1.9510585741394415E-2</v>
      </c>
    </row>
    <row r="246" spans="2:24">
      <c r="B246" s="75">
        <v>45453</v>
      </c>
      <c r="C246" s="53">
        <v>21639.099609375</v>
      </c>
      <c r="D246" s="9">
        <f t="shared" si="18"/>
        <v>-1.6717425847457612E-2</v>
      </c>
      <c r="F246" s="75">
        <v>45453</v>
      </c>
      <c r="G246" s="53">
        <v>227.37210083007801</v>
      </c>
      <c r="H246" s="9">
        <f t="shared" si="19"/>
        <v>3.29562432676338E-2</v>
      </c>
      <c r="J246" s="75">
        <v>45453</v>
      </c>
      <c r="K246" s="53">
        <v>73.406143188476506</v>
      </c>
      <c r="L246" s="9">
        <f t="shared" si="20"/>
        <v>-1.5959745281455162E-2</v>
      </c>
      <c r="N246" s="75">
        <v>45453</v>
      </c>
      <c r="O246" s="53">
        <v>75.554992675781193</v>
      </c>
      <c r="P246" s="9">
        <f t="shared" si="21"/>
        <v>-5.2907401933158016E-2</v>
      </c>
      <c r="R246" s="75">
        <v>45453</v>
      </c>
      <c r="S246" s="53">
        <v>42.0362548828125</v>
      </c>
      <c r="T246" s="9">
        <f t="shared" si="22"/>
        <v>-9.9559178876883481E-3</v>
      </c>
      <c r="V246" s="75">
        <v>45453</v>
      </c>
      <c r="W246" s="53">
        <v>31.7745342254638</v>
      </c>
      <c r="X246" s="9">
        <f t="shared" si="23"/>
        <v>-2.4605014672198E-2</v>
      </c>
    </row>
    <row r="247" spans="2:24">
      <c r="B247" s="75">
        <v>45460</v>
      </c>
      <c r="C247" s="53">
        <v>21554.900390625</v>
      </c>
      <c r="D247" s="9">
        <f t="shared" si="18"/>
        <v>-3.8910684949904351E-3</v>
      </c>
      <c r="F247" s="75">
        <v>45460</v>
      </c>
      <c r="G247" s="53">
        <v>214.57627868652301</v>
      </c>
      <c r="H247" s="9">
        <f t="shared" si="19"/>
        <v>-5.6277010665955474E-2</v>
      </c>
      <c r="J247" s="75">
        <v>45460</v>
      </c>
      <c r="K247" s="53">
        <v>73.485511779785099</v>
      </c>
      <c r="L247" s="9">
        <f t="shared" si="20"/>
        <v>1.0812254650787168E-3</v>
      </c>
      <c r="N247" s="75">
        <v>45460</v>
      </c>
      <c r="O247" s="53">
        <v>77.695220947265597</v>
      </c>
      <c r="P247" s="9">
        <f t="shared" si="21"/>
        <v>2.832676168295678E-2</v>
      </c>
      <c r="R247" s="75">
        <v>45460</v>
      </c>
      <c r="S247" s="53">
        <v>40.777919769287102</v>
      </c>
      <c r="T247" s="9">
        <f t="shared" si="22"/>
        <v>-2.9934520024044731E-2</v>
      </c>
      <c r="V247" s="75">
        <v>45460</v>
      </c>
      <c r="W247" s="53">
        <v>33.852592468261697</v>
      </c>
      <c r="X247" s="9">
        <f t="shared" si="23"/>
        <v>6.540011658558198E-2</v>
      </c>
    </row>
    <row r="248" spans="2:24">
      <c r="B248" s="75">
        <v>45467</v>
      </c>
      <c r="C248" s="53">
        <v>21875.80078125</v>
      </c>
      <c r="D248" s="9">
        <f t="shared" si="18"/>
        <v>1.4887584020781164E-2</v>
      </c>
      <c r="F248" s="75">
        <v>45467</v>
      </c>
      <c r="G248" s="53">
        <v>218.02130126953099</v>
      </c>
      <c r="H248" s="9">
        <f t="shared" si="19"/>
        <v>1.6055001997871576E-2</v>
      </c>
      <c r="J248" s="75">
        <v>45467</v>
      </c>
      <c r="K248" s="53">
        <v>75.191947937011705</v>
      </c>
      <c r="L248" s="9">
        <f t="shared" si="20"/>
        <v>2.3221395835689496E-2</v>
      </c>
      <c r="N248" s="75">
        <v>45467</v>
      </c>
      <c r="O248" s="53">
        <v>76.421028137207003</v>
      </c>
      <c r="P248" s="9">
        <f t="shared" si="21"/>
        <v>-1.6399886563466137E-2</v>
      </c>
      <c r="R248" s="75">
        <v>45467</v>
      </c>
      <c r="S248" s="53">
        <v>40.738594055175703</v>
      </c>
      <c r="T248" s="9">
        <f t="shared" si="22"/>
        <v>-9.6438745119653557E-4</v>
      </c>
      <c r="V248" s="75">
        <v>45467</v>
      </c>
      <c r="W248" s="53">
        <v>34.604656219482401</v>
      </c>
      <c r="X248" s="9">
        <f t="shared" si="23"/>
        <v>2.221583921307646E-2</v>
      </c>
    </row>
    <row r="249" spans="2:24">
      <c r="B249" s="75">
        <v>45474</v>
      </c>
      <c r="C249" s="53">
        <v>22059</v>
      </c>
      <c r="D249" s="9">
        <f t="shared" si="18"/>
        <v>8.37451486150953E-3</v>
      </c>
      <c r="F249" s="75">
        <v>45474</v>
      </c>
      <c r="G249" s="53">
        <v>214.57627868652301</v>
      </c>
      <c r="H249" s="9">
        <f t="shared" si="19"/>
        <v>-1.5801311903688942E-2</v>
      </c>
      <c r="J249" s="75">
        <v>45474</v>
      </c>
      <c r="K249" s="53">
        <v>76.848762512207003</v>
      </c>
      <c r="L249" s="9">
        <f t="shared" si="20"/>
        <v>2.2034468060106782E-2</v>
      </c>
      <c r="N249" s="75">
        <v>45474</v>
      </c>
      <c r="O249" s="53">
        <v>77.565803527832003</v>
      </c>
      <c r="P249" s="9">
        <f t="shared" si="21"/>
        <v>1.4979848067074641E-2</v>
      </c>
      <c r="R249" s="75">
        <v>45474</v>
      </c>
      <c r="S249" s="53">
        <v>41.653495788574197</v>
      </c>
      <c r="T249" s="9">
        <f t="shared" si="22"/>
        <v>2.2457862246285876E-2</v>
      </c>
      <c r="V249" s="75">
        <v>45474</v>
      </c>
      <c r="W249" s="53">
        <v>34.703609466552699</v>
      </c>
      <c r="X249" s="9">
        <f t="shared" si="23"/>
        <v>2.8595356197929078E-3</v>
      </c>
    </row>
    <row r="250" spans="2:24">
      <c r="B250" s="75">
        <v>45481</v>
      </c>
      <c r="C250" s="53">
        <v>22673.5</v>
      </c>
      <c r="D250" s="9">
        <f t="shared" si="18"/>
        <v>2.7857110476449565E-2</v>
      </c>
      <c r="F250" s="75">
        <v>45481</v>
      </c>
      <c r="G250" s="53">
        <v>212.35177612304599</v>
      </c>
      <c r="H250" s="9">
        <f t="shared" si="19"/>
        <v>-1.036695471229987E-2</v>
      </c>
      <c r="J250" s="75">
        <v>45481</v>
      </c>
      <c r="K250" s="53">
        <v>78.624641418457003</v>
      </c>
      <c r="L250" s="9">
        <f t="shared" si="20"/>
        <v>2.3108750852922411E-2</v>
      </c>
      <c r="N250" s="75">
        <v>45481</v>
      </c>
      <c r="O250" s="53">
        <v>81.302032470703097</v>
      </c>
      <c r="P250" s="9">
        <f t="shared" si="21"/>
        <v>4.8168506905629682E-2</v>
      </c>
      <c r="R250" s="75">
        <v>45481</v>
      </c>
      <c r="S250" s="53">
        <v>42.189296722412102</v>
      </c>
      <c r="T250" s="9">
        <f t="shared" si="22"/>
        <v>1.2863288511426152E-2</v>
      </c>
      <c r="V250" s="75">
        <v>45481</v>
      </c>
      <c r="W250" s="53">
        <v>35.228069305419901</v>
      </c>
      <c r="X250" s="9">
        <f t="shared" si="23"/>
        <v>1.5112544398953043E-2</v>
      </c>
    </row>
    <row r="251" spans="2:24">
      <c r="B251" s="75">
        <v>45488</v>
      </c>
      <c r="C251" s="53">
        <v>22690.400390625</v>
      </c>
      <c r="D251" s="9">
        <f t="shared" si="18"/>
        <v>7.45380758374381E-4</v>
      </c>
      <c r="F251" s="75">
        <v>45488</v>
      </c>
      <c r="G251" s="53">
        <v>206.701904296875</v>
      </c>
      <c r="H251" s="9">
        <f t="shared" si="19"/>
        <v>-2.6606190583012612E-2</v>
      </c>
      <c r="J251" s="75">
        <v>45488</v>
      </c>
      <c r="K251" s="53">
        <v>81.8489990234375</v>
      </c>
      <c r="L251" s="9">
        <f t="shared" si="20"/>
        <v>4.1009504740629366E-2</v>
      </c>
      <c r="N251" s="75">
        <v>45488</v>
      </c>
      <c r="O251" s="53">
        <v>81.860748291015597</v>
      </c>
      <c r="P251" s="9">
        <f t="shared" si="21"/>
        <v>6.8721015125154938E-3</v>
      </c>
      <c r="R251" s="75">
        <v>45488</v>
      </c>
      <c r="S251" s="53">
        <v>43.667705535888601</v>
      </c>
      <c r="T251" s="9">
        <f t="shared" si="22"/>
        <v>3.5042272053118273E-2</v>
      </c>
      <c r="V251" s="75">
        <v>45488</v>
      </c>
      <c r="W251" s="53">
        <v>35.8613891601562</v>
      </c>
      <c r="X251" s="9">
        <f t="shared" si="23"/>
        <v>1.7977705483816164E-2</v>
      </c>
    </row>
    <row r="252" spans="2:24">
      <c r="B252" s="75">
        <v>45495</v>
      </c>
      <c r="C252" s="53">
        <v>22814.80078125</v>
      </c>
      <c r="D252" s="9">
        <f t="shared" si="18"/>
        <v>5.4825119206092232E-3</v>
      </c>
      <c r="F252" s="75">
        <v>45495</v>
      </c>
      <c r="G252" s="53">
        <v>212.81439208984301</v>
      </c>
      <c r="H252" s="9">
        <f t="shared" si="19"/>
        <v>2.9571511756316227E-2</v>
      </c>
      <c r="J252" s="75">
        <v>45495</v>
      </c>
      <c r="K252" s="53">
        <v>81.501762390136705</v>
      </c>
      <c r="L252" s="9">
        <f t="shared" si="20"/>
        <v>-4.242405373844127E-3</v>
      </c>
      <c r="N252" s="75">
        <v>45495</v>
      </c>
      <c r="O252" s="53">
        <v>82.429435729980398</v>
      </c>
      <c r="P252" s="9">
        <f t="shared" si="21"/>
        <v>6.9470100241828536E-3</v>
      </c>
      <c r="R252" s="75">
        <v>45495</v>
      </c>
      <c r="S252" s="53">
        <v>44.8186836242675</v>
      </c>
      <c r="T252" s="9">
        <f t="shared" si="22"/>
        <v>2.6357649760941904E-2</v>
      </c>
      <c r="V252" s="75">
        <v>45495</v>
      </c>
      <c r="W252" s="53">
        <v>36.452098846435497</v>
      </c>
      <c r="X252" s="9">
        <f t="shared" si="23"/>
        <v>1.6472024651393191E-2</v>
      </c>
    </row>
    <row r="253" spans="2:24">
      <c r="B253" s="75">
        <v>45502</v>
      </c>
      <c r="C253" s="53">
        <v>22227.599609375</v>
      </c>
      <c r="D253" s="9">
        <f t="shared" si="18"/>
        <v>-2.5737729533785059E-2</v>
      </c>
      <c r="F253" s="75">
        <v>45502</v>
      </c>
      <c r="G253" s="53">
        <v>211.62338256835901</v>
      </c>
      <c r="H253" s="9">
        <f t="shared" si="19"/>
        <v>-5.5964707545775871E-3</v>
      </c>
      <c r="J253" s="75">
        <v>45502</v>
      </c>
      <c r="K253" s="53">
        <v>80.549339294433594</v>
      </c>
      <c r="L253" s="9">
        <f t="shared" si="20"/>
        <v>-1.1685920252178184E-2</v>
      </c>
      <c r="N253" s="75">
        <v>45502</v>
      </c>
      <c r="O253" s="53">
        <v>81.571418762207003</v>
      </c>
      <c r="P253" s="9">
        <f t="shared" si="21"/>
        <v>-1.0409108835635617E-2</v>
      </c>
      <c r="R253" s="75">
        <v>45502</v>
      </c>
      <c r="S253" s="53">
        <v>44.401954650878899</v>
      </c>
      <c r="T253" s="9">
        <f t="shared" si="22"/>
        <v>-9.2981082818540672E-3</v>
      </c>
      <c r="V253" s="75">
        <v>45502</v>
      </c>
      <c r="W253" s="53">
        <v>36.4819526672363</v>
      </c>
      <c r="X253" s="9">
        <f t="shared" si="23"/>
        <v>8.1898770566191104E-4</v>
      </c>
    </row>
    <row r="254" spans="2:24">
      <c r="B254" s="75">
        <v>45509</v>
      </c>
      <c r="C254" s="53">
        <v>22311.30078125</v>
      </c>
      <c r="D254" s="9">
        <f t="shared" si="18"/>
        <v>3.7656415153211054E-3</v>
      </c>
      <c r="F254" s="75">
        <v>45509</v>
      </c>
      <c r="G254" s="53">
        <v>200.47463989257801</v>
      </c>
      <c r="H254" s="9">
        <f t="shared" si="19"/>
        <v>-5.2681998276724928E-2</v>
      </c>
      <c r="J254" s="75">
        <v>45509</v>
      </c>
      <c r="K254" s="53">
        <v>79.120697021484304</v>
      </c>
      <c r="L254" s="9">
        <f t="shared" si="20"/>
        <v>-1.7736238254259851E-2</v>
      </c>
      <c r="N254" s="75">
        <v>45509</v>
      </c>
      <c r="O254" s="53">
        <v>79.705726623535099</v>
      </c>
      <c r="P254" s="9">
        <f t="shared" si="21"/>
        <v>-2.2871885361105182E-2</v>
      </c>
      <c r="R254" s="75">
        <v>45509</v>
      </c>
      <c r="S254" s="53">
        <v>42.774707794189403</v>
      </c>
      <c r="T254" s="9">
        <f t="shared" si="22"/>
        <v>-3.6648090596103633E-2</v>
      </c>
      <c r="V254" s="75">
        <v>45509</v>
      </c>
      <c r="W254" s="53">
        <v>36.4222412109375</v>
      </c>
      <c r="X254" s="9">
        <f t="shared" si="23"/>
        <v>-1.6367395913110538E-3</v>
      </c>
    </row>
    <row r="255" spans="2:24">
      <c r="B255" s="75">
        <v>45516</v>
      </c>
      <c r="C255" s="53">
        <v>23054.599609375</v>
      </c>
      <c r="D255" s="9">
        <f t="shared" si="18"/>
        <v>3.331490330450193E-2</v>
      </c>
      <c r="F255" s="75">
        <v>45516</v>
      </c>
      <c r="G255" s="53">
        <v>223.30096435546801</v>
      </c>
      <c r="H255" s="9">
        <f t="shared" si="19"/>
        <v>0.11386140648573417</v>
      </c>
      <c r="J255" s="75">
        <v>45516</v>
      </c>
      <c r="K255" s="53">
        <v>83.247879028320298</v>
      </c>
      <c r="L255" s="9">
        <f t="shared" si="20"/>
        <v>5.2163114863804871E-2</v>
      </c>
      <c r="N255" s="75">
        <v>45516</v>
      </c>
      <c r="O255" s="53">
        <v>83.377235412597599</v>
      </c>
      <c r="P255" s="9">
        <f t="shared" si="21"/>
        <v>4.6063299898183141E-2</v>
      </c>
      <c r="R255" s="75">
        <v>45516</v>
      </c>
      <c r="S255" s="53">
        <v>45.205654144287102</v>
      </c>
      <c r="T255" s="9">
        <f t="shared" si="22"/>
        <v>5.6831395828446096E-2</v>
      </c>
      <c r="V255" s="75">
        <v>45516</v>
      </c>
      <c r="W255" s="53">
        <v>37.427341461181598</v>
      </c>
      <c r="X255" s="9">
        <f t="shared" si="23"/>
        <v>2.7595782599514118E-2</v>
      </c>
    </row>
    <row r="256" spans="2:24">
      <c r="B256" s="75">
        <v>45523</v>
      </c>
      <c r="C256" s="53">
        <v>23286.099609375</v>
      </c>
      <c r="D256" s="9">
        <f t="shared" si="18"/>
        <v>1.0041380198416494E-2</v>
      </c>
      <c r="F256" s="75">
        <v>45523</v>
      </c>
      <c r="G256" s="53">
        <v>218.33872985839801</v>
      </c>
      <c r="H256" s="9">
        <f t="shared" si="19"/>
        <v>-2.2222181222516957E-2</v>
      </c>
      <c r="J256" s="75">
        <v>45523</v>
      </c>
      <c r="K256" s="53">
        <v>83.337165832519503</v>
      </c>
      <c r="L256" s="9">
        <f t="shared" si="20"/>
        <v>1.0725414898418162E-3</v>
      </c>
      <c r="N256" s="75">
        <v>45523</v>
      </c>
      <c r="O256" s="53">
        <v>78.089462280273395</v>
      </c>
      <c r="P256" s="9">
        <f t="shared" si="21"/>
        <v>-6.3419866419860527E-2</v>
      </c>
      <c r="R256" s="75">
        <v>45523</v>
      </c>
      <c r="S256" s="53">
        <v>44.947673797607401</v>
      </c>
      <c r="T256" s="9">
        <f t="shared" si="22"/>
        <v>-5.7068159185637013E-3</v>
      </c>
      <c r="V256" s="75">
        <v>45523</v>
      </c>
      <c r="W256" s="53">
        <v>37.735832214355398</v>
      </c>
      <c r="X256" s="9">
        <f t="shared" si="23"/>
        <v>8.2423902187591658E-3</v>
      </c>
    </row>
    <row r="257" spans="2:24">
      <c r="B257" s="75">
        <v>45530</v>
      </c>
      <c r="C257" s="53">
        <v>23346.19921875</v>
      </c>
      <c r="D257" s="9">
        <f t="shared" si="18"/>
        <v>2.5809221116104286E-3</v>
      </c>
      <c r="F257" s="75">
        <v>45530</v>
      </c>
      <c r="G257" s="53">
        <v>228.26321411132801</v>
      </c>
      <c r="H257" s="9">
        <f t="shared" si="19"/>
        <v>4.545452957139795E-2</v>
      </c>
      <c r="J257" s="75">
        <v>45530</v>
      </c>
      <c r="K257" s="53">
        <v>83.991958618164006</v>
      </c>
      <c r="L257" s="9">
        <f t="shared" si="20"/>
        <v>7.8571520773866865E-3</v>
      </c>
      <c r="N257" s="75">
        <v>45530</v>
      </c>
      <c r="O257" s="53">
        <v>76.752555847167898</v>
      </c>
      <c r="P257" s="9">
        <f t="shared" si="21"/>
        <v>-1.7120190023938942E-2</v>
      </c>
      <c r="R257" s="75">
        <v>45530</v>
      </c>
      <c r="S257" s="53">
        <v>45.324722290038999</v>
      </c>
      <c r="T257" s="9">
        <f t="shared" si="22"/>
        <v>8.3886097004572946E-3</v>
      </c>
      <c r="V257" s="75">
        <v>45530</v>
      </c>
      <c r="W257" s="53">
        <v>37.397487640380803</v>
      </c>
      <c r="X257" s="9">
        <f t="shared" si="23"/>
        <v>-8.9661352120884441E-3</v>
      </c>
    </row>
    <row r="258" spans="2:24">
      <c r="B258" s="75">
        <v>45537</v>
      </c>
      <c r="C258" s="53">
        <v>22781.400390625</v>
      </c>
      <c r="D258" s="9">
        <f t="shared" si="18"/>
        <v>-2.41923245335538E-2</v>
      </c>
      <c r="F258" s="75">
        <v>45537</v>
      </c>
      <c r="G258" s="53">
        <v>236.56008911132801</v>
      </c>
      <c r="H258" s="9">
        <f t="shared" si="19"/>
        <v>3.6347840944504828E-2</v>
      </c>
      <c r="J258" s="75">
        <v>45537</v>
      </c>
      <c r="K258" s="53">
        <v>84.239990234375</v>
      </c>
      <c r="L258" s="9">
        <f t="shared" si="20"/>
        <v>2.9530400325412653E-3</v>
      </c>
      <c r="N258" s="75">
        <v>45537</v>
      </c>
      <c r="O258" s="53">
        <v>76.682716369628906</v>
      </c>
      <c r="P258" s="9">
        <f t="shared" si="21"/>
        <v>-9.0993031786534839E-4</v>
      </c>
      <c r="R258" s="75">
        <v>45537</v>
      </c>
      <c r="S258" s="53">
        <v>50.305679321288999</v>
      </c>
      <c r="T258" s="9">
        <f t="shared" si="22"/>
        <v>0.10989492664458456</v>
      </c>
      <c r="V258" s="75">
        <v>45537</v>
      </c>
      <c r="W258" s="53">
        <v>38.303066253662102</v>
      </c>
      <c r="X258" s="9">
        <f t="shared" si="23"/>
        <v>2.4214958555223376E-2</v>
      </c>
    </row>
    <row r="259" spans="2:24">
      <c r="B259" s="75">
        <v>45544</v>
      </c>
      <c r="C259" s="53">
        <v>23568.69921875</v>
      </c>
      <c r="D259" s="9">
        <f t="shared" si="18"/>
        <v>3.4558842504211817E-2</v>
      </c>
      <c r="F259" s="75">
        <v>45544</v>
      </c>
      <c r="G259" s="53">
        <v>228.74951171875</v>
      </c>
      <c r="H259" s="9">
        <f t="shared" si="19"/>
        <v>-3.3017308295408498E-2</v>
      </c>
      <c r="J259" s="75">
        <v>45544</v>
      </c>
      <c r="K259" s="53">
        <v>86.113624572753906</v>
      </c>
      <c r="L259" s="9">
        <f t="shared" si="20"/>
        <v>2.2241625778517182E-2</v>
      </c>
      <c r="N259" s="75">
        <v>45544</v>
      </c>
      <c r="O259" s="53">
        <v>74.827003479003906</v>
      </c>
      <c r="P259" s="9">
        <f t="shared" si="21"/>
        <v>-2.4199884647800207E-2</v>
      </c>
      <c r="R259" s="75">
        <v>45544</v>
      </c>
      <c r="S259" s="53">
        <v>51.268131256103501</v>
      </c>
      <c r="T259" s="9">
        <f t="shared" si="22"/>
        <v>1.9132073113804493E-2</v>
      </c>
      <c r="V259" s="75">
        <v>45544</v>
      </c>
      <c r="W259" s="53">
        <v>39.377819061279297</v>
      </c>
      <c r="X259" s="9">
        <f t="shared" si="23"/>
        <v>2.8059184622443611E-2</v>
      </c>
    </row>
    <row r="260" spans="2:24">
      <c r="B260" s="75">
        <v>45551</v>
      </c>
      <c r="C260" s="53">
        <v>23867.400390625</v>
      </c>
      <c r="D260" s="9">
        <f t="shared" si="18"/>
        <v>1.2673638417743938E-2</v>
      </c>
      <c r="F260" s="75">
        <v>45551</v>
      </c>
      <c r="G260" s="53">
        <v>229.25566101074199</v>
      </c>
      <c r="H260" s="9">
        <f t="shared" si="19"/>
        <v>2.2126792236143444E-3</v>
      </c>
      <c r="J260" s="75">
        <v>45551</v>
      </c>
      <c r="K260" s="53">
        <v>82.667488098144503</v>
      </c>
      <c r="L260" s="9">
        <f t="shared" si="20"/>
        <v>-4.0018481299645026E-2</v>
      </c>
      <c r="N260" s="75">
        <v>45551</v>
      </c>
      <c r="O260" s="53">
        <v>76.089996337890597</v>
      </c>
      <c r="P260" s="9">
        <f t="shared" si="21"/>
        <v>1.687883785485389E-2</v>
      </c>
      <c r="R260" s="75">
        <v>45551</v>
      </c>
      <c r="S260" s="53">
        <v>49.759956359863203</v>
      </c>
      <c r="T260" s="9">
        <f t="shared" si="22"/>
        <v>-2.9417395549418468E-2</v>
      </c>
      <c r="V260" s="75">
        <v>45551</v>
      </c>
      <c r="W260" s="53">
        <v>39.119083404541001</v>
      </c>
      <c r="X260" s="9">
        <f t="shared" si="23"/>
        <v>-6.5705938750861836E-3</v>
      </c>
    </row>
    <row r="261" spans="2:24">
      <c r="B261" s="75">
        <v>45558</v>
      </c>
      <c r="C261" s="53">
        <v>23956.80078125</v>
      </c>
      <c r="D261" s="9">
        <f t="shared" si="18"/>
        <v>3.7457112698422446E-3</v>
      </c>
      <c r="F261" s="75">
        <v>45558</v>
      </c>
      <c r="G261" s="53">
        <v>218.43797302246</v>
      </c>
      <c r="H261" s="9">
        <f t="shared" si="19"/>
        <v>-4.7186132462722963E-2</v>
      </c>
      <c r="J261" s="75">
        <v>45558</v>
      </c>
      <c r="K261" s="53">
        <v>84.500106811523395</v>
      </c>
      <c r="L261" s="9">
        <f t="shared" si="20"/>
        <v>2.2168554476980962E-2</v>
      </c>
      <c r="N261" s="75">
        <v>45558</v>
      </c>
      <c r="O261" s="53">
        <v>75.319999694824205</v>
      </c>
      <c r="P261" s="9">
        <f t="shared" si="21"/>
        <v>-1.0119551585297648E-2</v>
      </c>
      <c r="R261" s="75">
        <v>45558</v>
      </c>
      <c r="S261" s="53">
        <v>50.156841278076101</v>
      </c>
      <c r="T261" s="9">
        <f t="shared" si="22"/>
        <v>7.9759900780986825E-3</v>
      </c>
      <c r="V261" s="75">
        <v>45558</v>
      </c>
      <c r="W261" s="53">
        <v>40.671504974365199</v>
      </c>
      <c r="X261" s="9">
        <f t="shared" si="23"/>
        <v>3.9684507782817624E-2</v>
      </c>
    </row>
    <row r="262" spans="2:24">
      <c r="B262" s="75">
        <v>45565</v>
      </c>
      <c r="C262" s="53">
        <v>24162.80078125</v>
      </c>
      <c r="D262" s="9">
        <f t="shared" si="18"/>
        <v>8.5988109130676893E-3</v>
      </c>
      <c r="F262" s="75">
        <v>45565</v>
      </c>
      <c r="G262" s="53">
        <v>221.67335510253901</v>
      </c>
      <c r="H262" s="9">
        <f t="shared" si="19"/>
        <v>1.4811445259777845E-2</v>
      </c>
      <c r="J262" s="75">
        <v>45565</v>
      </c>
      <c r="K262" s="53">
        <v>82.966285705566406</v>
      </c>
      <c r="L262" s="9">
        <f t="shared" si="20"/>
        <v>-1.8151706120066335E-2</v>
      </c>
      <c r="N262" s="75">
        <v>45565</v>
      </c>
      <c r="O262" s="53">
        <v>73.959999084472599</v>
      </c>
      <c r="P262" s="9">
        <f t="shared" si="21"/>
        <v>-1.80563013258358E-2</v>
      </c>
      <c r="R262" s="75">
        <v>45565</v>
      </c>
      <c r="S262" s="53">
        <v>51.75</v>
      </c>
      <c r="T262" s="9">
        <f t="shared" si="22"/>
        <v>3.1763537761303917E-2</v>
      </c>
      <c r="V262" s="75">
        <v>45565</v>
      </c>
      <c r="W262" s="53">
        <v>40.53218460083</v>
      </c>
      <c r="X262" s="9">
        <f t="shared" si="23"/>
        <v>-3.425503276139219E-3</v>
      </c>
    </row>
    <row r="263" spans="2:24">
      <c r="B263" s="75">
        <v>45572</v>
      </c>
      <c r="C263" s="53">
        <v>24471.19921875</v>
      </c>
      <c r="D263" s="9">
        <f t="shared" si="18"/>
        <v>1.2763356379584589E-2</v>
      </c>
      <c r="F263" s="75">
        <v>45572</v>
      </c>
      <c r="G263" s="53">
        <v>228.26321411132801</v>
      </c>
      <c r="H263" s="9">
        <f t="shared" si="19"/>
        <v>2.9727790269339138E-2</v>
      </c>
      <c r="J263" s="75">
        <v>45572</v>
      </c>
      <c r="K263" s="53">
        <v>83.763076782226506</v>
      </c>
      <c r="L263" s="9">
        <f t="shared" si="20"/>
        <v>9.6037935154500431E-3</v>
      </c>
      <c r="N263" s="75">
        <v>45572</v>
      </c>
      <c r="O263" s="53">
        <v>72.269996643066406</v>
      </c>
      <c r="P263" s="9">
        <f t="shared" si="21"/>
        <v>-2.2850222584183344E-2</v>
      </c>
      <c r="R263" s="75">
        <v>45572</v>
      </c>
      <c r="S263" s="53">
        <v>52.720001220703097</v>
      </c>
      <c r="T263" s="9">
        <f t="shared" si="22"/>
        <v>1.8743984941122616E-2</v>
      </c>
      <c r="V263" s="75">
        <v>45572</v>
      </c>
      <c r="W263" s="53">
        <v>40.9799995422363</v>
      </c>
      <c r="X263" s="9">
        <f t="shared" si="23"/>
        <v>1.1048379104567907E-2</v>
      </c>
    </row>
    <row r="264" spans="2:24">
      <c r="B264" s="75">
        <v>45579</v>
      </c>
      <c r="C264" s="53">
        <v>24822.5</v>
      </c>
      <c r="D264" s="9">
        <f t="shared" si="18"/>
        <v>1.4355683107709405E-2</v>
      </c>
      <c r="F264" s="75">
        <v>45579</v>
      </c>
      <c r="G264" s="53">
        <v>227.27076721191401</v>
      </c>
      <c r="H264" s="9">
        <f t="shared" si="19"/>
        <v>-4.3478179490190616E-3</v>
      </c>
      <c r="J264" s="75">
        <v>45579</v>
      </c>
      <c r="K264" s="53">
        <v>84.420433044433594</v>
      </c>
      <c r="L264" s="9">
        <f t="shared" si="20"/>
        <v>7.8478046349244046E-3</v>
      </c>
      <c r="N264" s="75">
        <v>45579</v>
      </c>
      <c r="O264" s="53">
        <v>73.730003356933594</v>
      </c>
      <c r="P264" s="9">
        <f t="shared" si="21"/>
        <v>2.0202114040187347E-2</v>
      </c>
      <c r="R264" s="75">
        <v>45579</v>
      </c>
      <c r="S264" s="53">
        <v>52.200000762939403</v>
      </c>
      <c r="T264" s="9">
        <f t="shared" si="22"/>
        <v>-9.8634378930835265E-3</v>
      </c>
      <c r="V264" s="75">
        <v>45579</v>
      </c>
      <c r="W264" s="53">
        <v>40.552089691162102</v>
      </c>
      <c r="X264" s="9">
        <f t="shared" si="23"/>
        <v>-1.0441919371745434E-2</v>
      </c>
    </row>
    <row r="265" spans="2:24">
      <c r="B265" s="75">
        <v>45586</v>
      </c>
      <c r="C265" s="53">
        <v>24463.69921875</v>
      </c>
      <c r="D265" s="9">
        <f t="shared" si="18"/>
        <v>-1.4454659331251896E-2</v>
      </c>
      <c r="F265" s="75">
        <v>45586</v>
      </c>
      <c r="G265" s="53">
        <v>230.24810791015599</v>
      </c>
      <c r="H265" s="9">
        <f t="shared" si="19"/>
        <v>1.3100412053723698E-2</v>
      </c>
      <c r="J265" s="75">
        <v>45586</v>
      </c>
      <c r="K265" s="53">
        <v>81.382652282714801</v>
      </c>
      <c r="L265" s="9">
        <f t="shared" si="20"/>
        <v>-3.5983951422280613E-2</v>
      </c>
      <c r="N265" s="75">
        <v>45586</v>
      </c>
      <c r="O265" s="53">
        <v>71.430000305175696</v>
      </c>
      <c r="P265" s="9">
        <f t="shared" si="21"/>
        <v>-3.1194940282633365E-2</v>
      </c>
      <c r="R265" s="75">
        <v>45586</v>
      </c>
      <c r="S265" s="53">
        <v>51.099998474121001</v>
      </c>
      <c r="T265" s="9">
        <f t="shared" si="22"/>
        <v>-2.1072840473967513E-2</v>
      </c>
      <c r="V265" s="75">
        <v>45586</v>
      </c>
      <c r="W265" s="53">
        <v>39.909999847412102</v>
      </c>
      <c r="X265" s="9">
        <f t="shared" si="23"/>
        <v>-1.5833705454886493E-2</v>
      </c>
    </row>
    <row r="266" spans="2:24">
      <c r="B266" s="75">
        <v>45593</v>
      </c>
      <c r="C266" s="53">
        <v>24255.19921875</v>
      </c>
      <c r="D266" s="9">
        <f>C266/C265-1</f>
        <v>-8.52283205968285E-3</v>
      </c>
      <c r="F266" s="75">
        <v>45593</v>
      </c>
      <c r="G266" s="53">
        <v>230</v>
      </c>
      <c r="H266" s="9">
        <f>G266/G265-1</f>
        <v>-1.0775676395691214E-3</v>
      </c>
      <c r="J266" s="75">
        <v>45593</v>
      </c>
      <c r="K266" s="53">
        <v>82.910003662109304</v>
      </c>
      <c r="L266" s="9">
        <f>K266/K265-1</f>
        <v>1.8767530137610233E-2</v>
      </c>
      <c r="N266" s="75">
        <v>45593</v>
      </c>
      <c r="O266" s="53">
        <v>73.040000915527301</v>
      </c>
      <c r="P266" s="9">
        <f>O266/O265-1</f>
        <v>2.2539557657470066E-2</v>
      </c>
      <c r="R266" s="75">
        <v>45593</v>
      </c>
      <c r="S266" s="53">
        <v>53.049999237060497</v>
      </c>
      <c r="T266" s="9">
        <f>S266/S265-1</f>
        <v>3.8160485737138483E-2</v>
      </c>
      <c r="V266" s="75">
        <v>45593</v>
      </c>
      <c r="W266" s="53">
        <v>39.9799995422363</v>
      </c>
      <c r="X266" s="9">
        <f>W266/W265-1</f>
        <v>1.753938739459393E-3</v>
      </c>
    </row>
    <row r="267" spans="2:24">
      <c r="B267" s="75">
        <v>45600</v>
      </c>
      <c r="C267" s="53">
        <v>24759.400390625</v>
      </c>
      <c r="D267" s="9">
        <f>C267/C266-1</f>
        <v>2.0787344079418624E-2</v>
      </c>
      <c r="F267" s="75">
        <v>45600</v>
      </c>
      <c r="G267" s="53">
        <v>228.009994506835</v>
      </c>
      <c r="H267" s="9">
        <f>G267/G266-1</f>
        <v>-8.6521977963696095E-3</v>
      </c>
      <c r="J267" s="75">
        <v>45600</v>
      </c>
      <c r="K267" s="53">
        <v>85.739997863769503</v>
      </c>
      <c r="L267" s="9">
        <f>K267/K266-1</f>
        <v>3.413332621710552E-2</v>
      </c>
      <c r="N267" s="75">
        <v>45600</v>
      </c>
      <c r="O267" s="53">
        <v>77.029998779296804</v>
      </c>
      <c r="P267" s="9">
        <f>O267/O266-1</f>
        <v>5.4627571382207973E-2</v>
      </c>
      <c r="R267" s="75">
        <v>45600</v>
      </c>
      <c r="S267" s="53">
        <v>54.959999084472599</v>
      </c>
      <c r="T267" s="9">
        <f>S267/S266-1</f>
        <v>3.6003767669760656E-2</v>
      </c>
      <c r="V267" s="75">
        <v>45600</v>
      </c>
      <c r="W267" s="53">
        <v>41.139999389648402</v>
      </c>
      <c r="X267" s="9">
        <f>W267/W266-1</f>
        <v>2.9014503769231759E-2</v>
      </c>
    </row>
    <row r="268" spans="2:24">
      <c r="B268" s="75">
        <v>45607</v>
      </c>
      <c r="C268" s="53">
        <v>24890.69921875</v>
      </c>
      <c r="D268" s="9">
        <f>C268/C267-1</f>
        <v>5.3029890083571285E-3</v>
      </c>
      <c r="F268" s="75">
        <v>45607</v>
      </c>
      <c r="G268" s="53">
        <v>223</v>
      </c>
      <c r="H268" s="9">
        <f>G268/G267-1</f>
        <v>-2.1972696932304081E-2</v>
      </c>
      <c r="J268" s="75">
        <v>45607</v>
      </c>
      <c r="K268" s="53">
        <v>86.480003356933594</v>
      </c>
      <c r="L268" s="9">
        <f>K268/K267-1</f>
        <v>8.6308083928328116E-3</v>
      </c>
      <c r="N268" s="75">
        <v>45607</v>
      </c>
      <c r="O268" s="53">
        <v>79.370002746582003</v>
      </c>
      <c r="P268" s="9">
        <f>O268/O267-1</f>
        <v>3.0377826877417968E-2</v>
      </c>
      <c r="R268" s="75">
        <v>45607</v>
      </c>
      <c r="S268" s="53">
        <v>53.790000915527301</v>
      </c>
      <c r="T268" s="9">
        <f>S268/S267-1</f>
        <v>-2.1288176645473222E-2</v>
      </c>
      <c r="V268" s="75">
        <v>45607</v>
      </c>
      <c r="W268" s="53">
        <v>41.470001220703097</v>
      </c>
      <c r="X268" s="9">
        <f>W268/W267-1</f>
        <v>8.0214350012297597E-3</v>
      </c>
    </row>
    <row r="271" spans="2:24">
      <c r="B271"/>
      <c r="C271"/>
      <c r="D271"/>
      <c r="F271" s="238" t="s">
        <v>405</v>
      </c>
      <c r="G271" s="238"/>
      <c r="H271" s="238"/>
      <c r="J271" s="238" t="s">
        <v>406</v>
      </c>
      <c r="K271" s="238"/>
      <c r="L271" s="238"/>
      <c r="N271" s="238" t="s">
        <v>407</v>
      </c>
      <c r="O271" s="238"/>
      <c r="P271" s="238"/>
      <c r="R271" s="238" t="s">
        <v>408</v>
      </c>
      <c r="S271" s="238"/>
      <c r="T271" s="238"/>
      <c r="V271" s="238" t="s">
        <v>409</v>
      </c>
      <c r="W271" s="238"/>
      <c r="X271" s="238"/>
    </row>
    <row r="272" spans="2:24">
      <c r="B272"/>
      <c r="C272"/>
      <c r="D272"/>
      <c r="F272"/>
      <c r="G272"/>
      <c r="H272"/>
    </row>
    <row r="273" spans="2:35">
      <c r="B273"/>
      <c r="C273"/>
      <c r="D273"/>
      <c r="F273" t="s">
        <v>335</v>
      </c>
      <c r="G273"/>
      <c r="H273" s="53">
        <f>E301</f>
        <v>0.4566771660729057</v>
      </c>
      <c r="J273" t="s">
        <v>335</v>
      </c>
      <c r="L273" s="53">
        <f>E322</f>
        <v>0.25402208248096902</v>
      </c>
      <c r="N273" t="s">
        <v>335</v>
      </c>
      <c r="P273" s="53">
        <f>P301</f>
        <v>0.68330994947515622</v>
      </c>
      <c r="R273" t="s">
        <v>335</v>
      </c>
      <c r="T273" s="53">
        <f>P322</f>
        <v>0.57344793346894063</v>
      </c>
      <c r="V273" t="s">
        <v>335</v>
      </c>
      <c r="X273" s="53">
        <f>AB301</f>
        <v>0.39520800429479441</v>
      </c>
    </row>
    <row r="274" spans="2:35">
      <c r="B274"/>
      <c r="C274"/>
      <c r="D274"/>
      <c r="F274" t="s">
        <v>391</v>
      </c>
      <c r="G274"/>
      <c r="H274">
        <v>0.75</v>
      </c>
      <c r="J274" t="s">
        <v>391</v>
      </c>
      <c r="L274">
        <v>0.75</v>
      </c>
      <c r="N274" t="s">
        <v>391</v>
      </c>
      <c r="P274">
        <v>0.75</v>
      </c>
      <c r="R274" t="s">
        <v>391</v>
      </c>
      <c r="T274">
        <v>0.75</v>
      </c>
      <c r="V274" t="s">
        <v>391</v>
      </c>
      <c r="X274">
        <v>0.75</v>
      </c>
    </row>
    <row r="275" spans="2:35">
      <c r="B275"/>
      <c r="C275"/>
      <c r="D275"/>
      <c r="F275"/>
      <c r="G275"/>
      <c r="H275"/>
    </row>
    <row r="276" spans="2:35">
      <c r="B276"/>
      <c r="C276"/>
      <c r="D276"/>
      <c r="F276" t="s">
        <v>393</v>
      </c>
      <c r="G276"/>
      <c r="H276">
        <v>1</v>
      </c>
      <c r="J276" t="s">
        <v>393</v>
      </c>
      <c r="L276">
        <v>1</v>
      </c>
      <c r="N276" t="s">
        <v>393</v>
      </c>
      <c r="P276">
        <v>1</v>
      </c>
      <c r="R276" t="s">
        <v>393</v>
      </c>
      <c r="T276">
        <v>1</v>
      </c>
      <c r="V276" t="s">
        <v>393</v>
      </c>
      <c r="X276">
        <v>1</v>
      </c>
    </row>
    <row r="277" spans="2:35">
      <c r="B277"/>
      <c r="C277"/>
      <c r="D277"/>
      <c r="F277" t="s">
        <v>392</v>
      </c>
      <c r="G277"/>
      <c r="H277">
        <v>0.25</v>
      </c>
      <c r="J277" t="s">
        <v>392</v>
      </c>
      <c r="L277">
        <v>0.25</v>
      </c>
      <c r="N277" t="s">
        <v>392</v>
      </c>
      <c r="P277">
        <v>0.25</v>
      </c>
      <c r="R277" t="s">
        <v>392</v>
      </c>
      <c r="T277">
        <v>0.25</v>
      </c>
      <c r="V277" t="s">
        <v>392</v>
      </c>
      <c r="X277">
        <v>0.25</v>
      </c>
    </row>
    <row r="278" spans="2:35">
      <c r="B278"/>
      <c r="C278"/>
      <c r="D278"/>
      <c r="F278"/>
      <c r="G278"/>
      <c r="H278"/>
    </row>
    <row r="279" spans="2:35">
      <c r="B279"/>
      <c r="C279"/>
      <c r="D279"/>
      <c r="F279" s="87" t="s">
        <v>394</v>
      </c>
      <c r="G279" s="87"/>
      <c r="H279" s="96">
        <f>H273*H274+H276*H277</f>
        <v>0.59250787455467924</v>
      </c>
      <c r="J279" s="87" t="s">
        <v>394</v>
      </c>
      <c r="K279" s="87"/>
      <c r="L279" s="96">
        <f>L273*L274+L276*L277</f>
        <v>0.44051656186072674</v>
      </c>
      <c r="N279" s="87" t="s">
        <v>394</v>
      </c>
      <c r="O279" s="87"/>
      <c r="P279" s="96">
        <f>P273*P274+P276*P277</f>
        <v>0.76248246210636716</v>
      </c>
      <c r="R279" s="87" t="s">
        <v>394</v>
      </c>
      <c r="S279" s="87"/>
      <c r="T279" s="96">
        <f>T273*T274+T276*T277</f>
        <v>0.68008595010170547</v>
      </c>
      <c r="V279" s="87" t="s">
        <v>394</v>
      </c>
      <c r="W279" s="87"/>
      <c r="X279" s="96">
        <f>X273*X274+X276*X277</f>
        <v>0.54640600322109578</v>
      </c>
    </row>
    <row r="283" spans="2:35" ht="15" thickBot="1"/>
    <row r="284" spans="2:35">
      <c r="D284" s="235" t="s">
        <v>410</v>
      </c>
      <c r="E284" s="236"/>
      <c r="F284" s="236"/>
      <c r="G284" s="236"/>
      <c r="H284" s="236"/>
      <c r="I284" s="236"/>
      <c r="J284" s="236"/>
      <c r="K284" s="236"/>
      <c r="L284" s="237"/>
      <c r="O284" s="235" t="s">
        <v>411</v>
      </c>
      <c r="P284" s="236"/>
      <c r="Q284" s="236"/>
      <c r="R284" s="236"/>
      <c r="S284" s="236"/>
      <c r="T284" s="236"/>
      <c r="U284" s="236"/>
      <c r="V284" s="236"/>
      <c r="W284" s="237"/>
      <c r="AA284" s="235" t="s">
        <v>412</v>
      </c>
      <c r="AB284" s="236"/>
      <c r="AC284" s="236"/>
      <c r="AD284" s="236"/>
      <c r="AE284" s="236"/>
      <c r="AF284" s="236"/>
      <c r="AG284" s="236"/>
      <c r="AH284" s="236"/>
      <c r="AI284" s="237"/>
    </row>
    <row r="285" spans="2:35" ht="15" thickBot="1">
      <c r="D285" s="97"/>
      <c r="E285"/>
      <c r="F285"/>
      <c r="G285"/>
      <c r="H285"/>
      <c r="L285" s="98"/>
      <c r="O285" s="97"/>
      <c r="W285" s="98"/>
      <c r="AA285" s="97"/>
      <c r="AI285" s="98"/>
    </row>
    <row r="286" spans="2:35">
      <c r="D286" s="99" t="s">
        <v>366</v>
      </c>
      <c r="E286" s="100"/>
      <c r="F286"/>
      <c r="G286"/>
      <c r="H286"/>
      <c r="L286" s="98"/>
      <c r="O286" s="99" t="s">
        <v>366</v>
      </c>
      <c r="P286" s="100"/>
      <c r="W286" s="98"/>
      <c r="AA286" s="99" t="s">
        <v>366</v>
      </c>
      <c r="AB286" s="100"/>
      <c r="AI286" s="98"/>
    </row>
    <row r="287" spans="2:35">
      <c r="D287" s="97" t="s">
        <v>367</v>
      </c>
      <c r="E287">
        <v>0.22783759448115484</v>
      </c>
      <c r="F287"/>
      <c r="G287"/>
      <c r="H287"/>
      <c r="L287" s="98"/>
      <c r="O287" s="97" t="s">
        <v>367</v>
      </c>
      <c r="P287">
        <v>0.46611069856389792</v>
      </c>
      <c r="W287" s="98"/>
      <c r="AA287" s="97" t="s">
        <v>367</v>
      </c>
      <c r="AB287">
        <v>0.28647211492254981</v>
      </c>
      <c r="AI287" s="98"/>
    </row>
    <row r="288" spans="2:35">
      <c r="D288" s="97" t="s">
        <v>368</v>
      </c>
      <c r="E288">
        <v>5.1909969458959156E-2</v>
      </c>
      <c r="F288"/>
      <c r="G288"/>
      <c r="H288"/>
      <c r="L288" s="98"/>
      <c r="O288" s="97" t="s">
        <v>368</v>
      </c>
      <c r="P288">
        <v>0.21725918331572489</v>
      </c>
      <c r="W288" s="98"/>
      <c r="AA288" s="97" t="s">
        <v>368</v>
      </c>
      <c r="AB288">
        <v>8.2066272628198572E-2</v>
      </c>
      <c r="AI288" s="98"/>
    </row>
    <row r="289" spans="2:35">
      <c r="D289" s="97" t="s">
        <v>369</v>
      </c>
      <c r="E289">
        <v>4.823520189872256E-2</v>
      </c>
      <c r="F289"/>
      <c r="G289"/>
      <c r="H289"/>
      <c r="L289" s="98"/>
      <c r="O289" s="97" t="s">
        <v>369</v>
      </c>
      <c r="P289">
        <v>0.21422530418128971</v>
      </c>
      <c r="W289" s="98"/>
      <c r="AA289" s="97" t="s">
        <v>369</v>
      </c>
      <c r="AB289">
        <v>7.8508389963966793E-2</v>
      </c>
      <c r="AI289" s="98"/>
    </row>
    <row r="290" spans="2:35">
      <c r="D290" s="97" t="s">
        <v>370</v>
      </c>
      <c r="E290">
        <v>4.6368874023917643E-2</v>
      </c>
      <c r="F290"/>
      <c r="G290"/>
      <c r="H290"/>
      <c r="L290" s="98"/>
      <c r="O290" s="97" t="s">
        <v>370</v>
      </c>
      <c r="P290">
        <v>3.0814527517451808E-2</v>
      </c>
      <c r="W290" s="98"/>
      <c r="AA290" s="97" t="s">
        <v>370</v>
      </c>
      <c r="AB290">
        <v>3.1402692801459263E-2</v>
      </c>
      <c r="AI290" s="98"/>
    </row>
    <row r="291" spans="2:35" ht="15" thickBot="1">
      <c r="D291" s="101" t="s">
        <v>371</v>
      </c>
      <c r="E291" s="59">
        <v>260</v>
      </c>
      <c r="F291"/>
      <c r="G291"/>
      <c r="H291"/>
      <c r="L291" s="98"/>
      <c r="O291" s="101" t="s">
        <v>371</v>
      </c>
      <c r="P291" s="59">
        <v>260</v>
      </c>
      <c r="W291" s="98"/>
      <c r="AA291" s="101" t="s">
        <v>371</v>
      </c>
      <c r="AB291" s="59">
        <v>260</v>
      </c>
      <c r="AI291" s="98"/>
    </row>
    <row r="292" spans="2:35">
      <c r="D292" s="97"/>
      <c r="E292"/>
      <c r="F292"/>
      <c r="G292"/>
      <c r="H292"/>
      <c r="L292" s="98"/>
      <c r="O292" s="97"/>
      <c r="W292" s="98"/>
      <c r="AA292" s="97"/>
      <c r="AI292" s="98"/>
    </row>
    <row r="293" spans="2:35" ht="15" thickBot="1">
      <c r="D293" s="97" t="s">
        <v>372</v>
      </c>
      <c r="E293"/>
      <c r="F293"/>
      <c r="G293"/>
      <c r="H293"/>
      <c r="L293" s="98"/>
      <c r="O293" s="97" t="s">
        <v>372</v>
      </c>
      <c r="W293" s="98"/>
      <c r="AA293" s="97" t="s">
        <v>372</v>
      </c>
      <c r="AI293" s="98"/>
    </row>
    <row r="294" spans="2:35">
      <c r="D294" s="102"/>
      <c r="E294" s="103" t="s">
        <v>377</v>
      </c>
      <c r="F294" s="103" t="s">
        <v>378</v>
      </c>
      <c r="G294" s="103" t="s">
        <v>379</v>
      </c>
      <c r="H294" s="103" t="s">
        <v>380</v>
      </c>
      <c r="I294" s="103" t="s">
        <v>381</v>
      </c>
      <c r="L294" s="98"/>
      <c r="O294" s="102"/>
      <c r="P294" s="103" t="s">
        <v>377</v>
      </c>
      <c r="Q294" s="103" t="s">
        <v>378</v>
      </c>
      <c r="R294" s="103" t="s">
        <v>379</v>
      </c>
      <c r="S294" s="103" t="s">
        <v>380</v>
      </c>
      <c r="T294" s="103" t="s">
        <v>381</v>
      </c>
      <c r="W294" s="98"/>
      <c r="AA294" s="102"/>
      <c r="AB294" s="103" t="s">
        <v>377</v>
      </c>
      <c r="AC294" s="103" t="s">
        <v>378</v>
      </c>
      <c r="AD294" s="103" t="s">
        <v>379</v>
      </c>
      <c r="AE294" s="103" t="s">
        <v>380</v>
      </c>
      <c r="AF294" s="103" t="s">
        <v>381</v>
      </c>
      <c r="AI294" s="98"/>
    </row>
    <row r="295" spans="2:35">
      <c r="D295" s="97" t="s">
        <v>373</v>
      </c>
      <c r="E295">
        <v>1</v>
      </c>
      <c r="F295">
        <v>3.03720425444024E-2</v>
      </c>
      <c r="G295">
        <v>3.03720425444024E-2</v>
      </c>
      <c r="H295">
        <v>14.126055215208506</v>
      </c>
      <c r="I295">
        <v>2.1146210701794514E-4</v>
      </c>
      <c r="L295" s="98"/>
      <c r="O295" s="97" t="s">
        <v>373</v>
      </c>
      <c r="P295">
        <v>1</v>
      </c>
      <c r="Q295">
        <v>6.799717870912228E-2</v>
      </c>
      <c r="R295">
        <v>6.799717870912228E-2</v>
      </c>
      <c r="S295">
        <v>71.611021299361227</v>
      </c>
      <c r="T295">
        <v>1.9866244079407101E-15</v>
      </c>
      <c r="W295" s="98"/>
      <c r="AA295" s="97" t="s">
        <v>373</v>
      </c>
      <c r="AB295">
        <v>1</v>
      </c>
      <c r="AC295">
        <v>2.2746096049424236E-2</v>
      </c>
      <c r="AD295">
        <v>2.2746096049424236E-2</v>
      </c>
      <c r="AE295">
        <v>23.066042467681594</v>
      </c>
      <c r="AF295">
        <v>2.6562673887441859E-6</v>
      </c>
      <c r="AI295" s="98"/>
    </row>
    <row r="296" spans="2:35">
      <c r="D296" s="97" t="s">
        <v>374</v>
      </c>
      <c r="E296">
        <v>258</v>
      </c>
      <c r="F296">
        <v>0.55471869938745366</v>
      </c>
      <c r="G296">
        <v>2.1500724782459444E-3</v>
      </c>
      <c r="H296"/>
      <c r="L296" s="98"/>
      <c r="O296" s="97" t="s">
        <v>374</v>
      </c>
      <c r="P296">
        <v>258</v>
      </c>
      <c r="Q296">
        <v>0.24498005737993903</v>
      </c>
      <c r="R296">
        <v>9.495351061237947E-4</v>
      </c>
      <c r="W296" s="98"/>
      <c r="AA296" s="97" t="s">
        <v>374</v>
      </c>
      <c r="AB296">
        <v>258</v>
      </c>
      <c r="AC296">
        <v>0.25442131171716792</v>
      </c>
      <c r="AD296">
        <v>9.8612911518282148E-4</v>
      </c>
      <c r="AI296" s="98"/>
    </row>
    <row r="297" spans="2:35" ht="15" thickBot="1">
      <c r="D297" s="101" t="s">
        <v>375</v>
      </c>
      <c r="E297" s="59">
        <v>259</v>
      </c>
      <c r="F297" s="59">
        <v>0.58509074193185606</v>
      </c>
      <c r="G297" s="59"/>
      <c r="H297" s="59"/>
      <c r="I297" s="59"/>
      <c r="L297" s="98"/>
      <c r="O297" s="101" t="s">
        <v>375</v>
      </c>
      <c r="P297" s="59">
        <v>259</v>
      </c>
      <c r="Q297" s="59">
        <v>0.31297723608906131</v>
      </c>
      <c r="R297" s="59"/>
      <c r="S297" s="59"/>
      <c r="T297" s="59"/>
      <c r="W297" s="98"/>
      <c r="AA297" s="101" t="s">
        <v>375</v>
      </c>
      <c r="AB297" s="59">
        <v>259</v>
      </c>
      <c r="AC297" s="59">
        <v>0.27716740776659216</v>
      </c>
      <c r="AD297" s="59"/>
      <c r="AE297" s="59"/>
      <c r="AF297" s="59"/>
      <c r="AI297" s="98"/>
    </row>
    <row r="298" spans="2:35" ht="15" thickBot="1">
      <c r="D298" s="97"/>
      <c r="E298"/>
      <c r="F298"/>
      <c r="G298"/>
      <c r="H298"/>
      <c r="L298" s="98"/>
      <c r="O298" s="97"/>
      <c r="W298" s="98"/>
      <c r="AA298" s="97"/>
      <c r="AI298" s="98"/>
    </row>
    <row r="299" spans="2:35">
      <c r="D299" s="102"/>
      <c r="E299" s="103" t="s">
        <v>382</v>
      </c>
      <c r="F299" s="103" t="s">
        <v>370</v>
      </c>
      <c r="G299" s="103" t="s">
        <v>383</v>
      </c>
      <c r="H299" s="103" t="s">
        <v>384</v>
      </c>
      <c r="I299" s="103" t="s">
        <v>385</v>
      </c>
      <c r="J299" s="103" t="s">
        <v>386</v>
      </c>
      <c r="K299" s="103" t="s">
        <v>387</v>
      </c>
      <c r="L299" s="104" t="s">
        <v>388</v>
      </c>
      <c r="O299" s="102"/>
      <c r="P299" s="103" t="s">
        <v>382</v>
      </c>
      <c r="Q299" s="103" t="s">
        <v>370</v>
      </c>
      <c r="R299" s="103" t="s">
        <v>383</v>
      </c>
      <c r="S299" s="103" t="s">
        <v>384</v>
      </c>
      <c r="T299" s="103" t="s">
        <v>385</v>
      </c>
      <c r="U299" s="103" t="s">
        <v>386</v>
      </c>
      <c r="V299" s="103" t="s">
        <v>387</v>
      </c>
      <c r="W299" s="104" t="s">
        <v>388</v>
      </c>
      <c r="AA299" s="102"/>
      <c r="AB299" s="103" t="s">
        <v>382</v>
      </c>
      <c r="AC299" s="103" t="s">
        <v>370</v>
      </c>
      <c r="AD299" s="103" t="s">
        <v>383</v>
      </c>
      <c r="AE299" s="103" t="s">
        <v>384</v>
      </c>
      <c r="AF299" s="103" t="s">
        <v>385</v>
      </c>
      <c r="AG299" s="103" t="s">
        <v>386</v>
      </c>
      <c r="AH299" s="103" t="s">
        <v>387</v>
      </c>
      <c r="AI299" s="104" t="s">
        <v>388</v>
      </c>
    </row>
    <row r="300" spans="2:35">
      <c r="D300" s="97" t="s">
        <v>376</v>
      </c>
      <c r="E300">
        <v>1.1533421438654151E-3</v>
      </c>
      <c r="F300">
        <v>2.883672619200018E-3</v>
      </c>
      <c r="G300">
        <v>0.39995599229477469</v>
      </c>
      <c r="H300">
        <v>0.68951986395640441</v>
      </c>
      <c r="I300">
        <v>-4.5251899753080225E-3</v>
      </c>
      <c r="J300">
        <v>6.8318742630388528E-3</v>
      </c>
      <c r="K300">
        <v>-4.5251899753080225E-3</v>
      </c>
      <c r="L300" s="98">
        <v>6.8318742630388528E-3</v>
      </c>
      <c r="O300" s="97" t="s">
        <v>376</v>
      </c>
      <c r="P300">
        <v>2.0385637357229532E-3</v>
      </c>
      <c r="Q300">
        <v>1.9163503782694119E-3</v>
      </c>
      <c r="R300">
        <v>1.0637740148353809</v>
      </c>
      <c r="S300">
        <v>0.28842569876202939</v>
      </c>
      <c r="T300">
        <v>-1.7351160856750453E-3</v>
      </c>
      <c r="U300">
        <v>5.8122435571209517E-3</v>
      </c>
      <c r="V300">
        <v>-1.7351160856750453E-3</v>
      </c>
      <c r="W300" s="98">
        <v>5.8122435571209517E-3</v>
      </c>
      <c r="AA300" s="97" t="s">
        <v>376</v>
      </c>
      <c r="AB300">
        <v>8.8168678062352309E-4</v>
      </c>
      <c r="AC300">
        <v>1.9529282801650121E-3</v>
      </c>
      <c r="AD300">
        <v>0.45146910389818579</v>
      </c>
      <c r="AE300">
        <v>0.65203075141452316</v>
      </c>
      <c r="AF300">
        <v>-2.9640222958928191E-3</v>
      </c>
      <c r="AG300">
        <v>4.7273958571398657E-3</v>
      </c>
      <c r="AH300">
        <v>-2.9640222958928191E-3</v>
      </c>
      <c r="AI300" s="98">
        <v>4.7273958571398657E-3</v>
      </c>
    </row>
    <row r="301" spans="2:35" ht="15" thickBot="1">
      <c r="D301" s="101" t="s">
        <v>389</v>
      </c>
      <c r="E301" s="59">
        <v>0.4566771660729057</v>
      </c>
      <c r="F301" s="59">
        <v>0.12150631435357101</v>
      </c>
      <c r="G301" s="59">
        <v>3.7584644757145842</v>
      </c>
      <c r="H301" s="59">
        <v>2.1146210701794514E-4</v>
      </c>
      <c r="I301" s="59">
        <v>0.21740676341168078</v>
      </c>
      <c r="J301" s="59">
        <v>0.69594756873413066</v>
      </c>
      <c r="K301" s="59">
        <v>0.21740676341168078</v>
      </c>
      <c r="L301" s="105">
        <v>0.69594756873413066</v>
      </c>
      <c r="O301" s="101" t="s">
        <v>389</v>
      </c>
      <c r="P301" s="59">
        <v>0.68330994947515622</v>
      </c>
      <c r="Q301" s="59">
        <v>8.0747263029526645E-2</v>
      </c>
      <c r="R301" s="59">
        <v>8.4623295432972387</v>
      </c>
      <c r="S301" s="59">
        <v>1.986624407940675E-15</v>
      </c>
      <c r="T301" s="59">
        <v>0.52430232718281844</v>
      </c>
      <c r="U301" s="59">
        <v>0.842317571767494</v>
      </c>
      <c r="V301" s="59">
        <v>0.52430232718281844</v>
      </c>
      <c r="W301" s="105">
        <v>0.842317571767494</v>
      </c>
      <c r="AA301" s="101" t="s">
        <v>389</v>
      </c>
      <c r="AB301" s="59">
        <v>0.39520800429479441</v>
      </c>
      <c r="AC301" s="59">
        <v>8.2288508043447062E-2</v>
      </c>
      <c r="AD301" s="59">
        <v>4.8027119909153138</v>
      </c>
      <c r="AE301" s="59">
        <v>2.6562673887440132E-6</v>
      </c>
      <c r="AF301" s="59">
        <v>0.23316536018451842</v>
      </c>
      <c r="AG301" s="59">
        <v>0.55725064840507044</v>
      </c>
      <c r="AH301" s="59">
        <v>0.23316536018451842</v>
      </c>
      <c r="AI301" s="105">
        <v>0.55725064840507044</v>
      </c>
    </row>
    <row r="302" spans="2:35">
      <c r="B302"/>
      <c r="C302"/>
      <c r="D302"/>
      <c r="E302"/>
      <c r="F302"/>
      <c r="G302"/>
      <c r="H302"/>
    </row>
    <row r="303" spans="2:35">
      <c r="B303"/>
      <c r="C303"/>
      <c r="D303"/>
      <c r="E303"/>
      <c r="F303"/>
      <c r="G303"/>
      <c r="H303"/>
    </row>
    <row r="304" spans="2:35" ht="15" thickBot="1">
      <c r="B304"/>
      <c r="C304"/>
      <c r="D304"/>
      <c r="E304"/>
      <c r="F304"/>
      <c r="G304"/>
      <c r="H304"/>
    </row>
    <row r="305" spans="4:23">
      <c r="D305" s="235" t="s">
        <v>413</v>
      </c>
      <c r="E305" s="236"/>
      <c r="F305" s="236"/>
      <c r="G305" s="236"/>
      <c r="H305" s="236"/>
      <c r="I305" s="236"/>
      <c r="J305" s="236"/>
      <c r="K305" s="236"/>
      <c r="L305" s="237"/>
      <c r="O305" s="235" t="s">
        <v>414</v>
      </c>
      <c r="P305" s="236"/>
      <c r="Q305" s="236"/>
      <c r="R305" s="236"/>
      <c r="S305" s="236"/>
      <c r="T305" s="236"/>
      <c r="U305" s="236"/>
      <c r="V305" s="236"/>
      <c r="W305" s="237"/>
    </row>
    <row r="306" spans="4:23" ht="15" thickBot="1">
      <c r="D306" s="97"/>
      <c r="E306"/>
      <c r="F306"/>
      <c r="G306"/>
      <c r="H306"/>
      <c r="L306" s="98"/>
      <c r="O306" s="97"/>
      <c r="W306" s="98"/>
    </row>
    <row r="307" spans="4:23">
      <c r="D307" s="99" t="s">
        <v>366</v>
      </c>
      <c r="E307" s="100"/>
      <c r="F307"/>
      <c r="G307"/>
      <c r="H307"/>
      <c r="L307" s="98"/>
      <c r="O307" s="99" t="s">
        <v>366</v>
      </c>
      <c r="P307" s="100"/>
      <c r="W307" s="98"/>
    </row>
    <row r="308" spans="4:23">
      <c r="D308" s="97" t="s">
        <v>367</v>
      </c>
      <c r="E308">
        <v>0.25602885714165335</v>
      </c>
      <c r="F308"/>
      <c r="G308"/>
      <c r="H308"/>
      <c r="L308" s="98"/>
      <c r="O308" s="97" t="s">
        <v>367</v>
      </c>
      <c r="P308">
        <v>0.36250548626031892</v>
      </c>
      <c r="W308" s="98"/>
    </row>
    <row r="309" spans="4:23">
      <c r="D309" s="97" t="s">
        <v>368</v>
      </c>
      <c r="E309">
        <v>6.5550775689261154E-2</v>
      </c>
      <c r="F309"/>
      <c r="G309"/>
      <c r="H309"/>
      <c r="L309" s="98"/>
      <c r="O309" s="97" t="s">
        <v>368</v>
      </c>
      <c r="P309">
        <v>0.13141022756883025</v>
      </c>
      <c r="W309" s="98"/>
    </row>
    <row r="310" spans="4:23">
      <c r="D310" s="97" t="s">
        <v>369</v>
      </c>
      <c r="E310">
        <v>6.1928879471002479E-2</v>
      </c>
      <c r="F310"/>
      <c r="G310"/>
      <c r="H310"/>
      <c r="L310" s="98"/>
      <c r="O310" s="97" t="s">
        <v>369</v>
      </c>
      <c r="P310">
        <v>0.12804360054390324</v>
      </c>
      <c r="W310" s="98"/>
    </row>
    <row r="311" spans="4:23">
      <c r="D311" s="97" t="s">
        <v>370</v>
      </c>
      <c r="E311">
        <v>2.2786533317813832E-2</v>
      </c>
      <c r="F311"/>
      <c r="G311"/>
      <c r="H311"/>
      <c r="L311" s="98"/>
      <c r="O311" s="97" t="s">
        <v>370</v>
      </c>
      <c r="P311">
        <v>3.5027134773357886E-2</v>
      </c>
      <c r="W311" s="98"/>
    </row>
    <row r="312" spans="4:23" ht="15" thickBot="1">
      <c r="D312" s="101" t="s">
        <v>371</v>
      </c>
      <c r="E312" s="59">
        <v>260</v>
      </c>
      <c r="F312"/>
      <c r="G312"/>
      <c r="H312"/>
      <c r="L312" s="98"/>
      <c r="O312" s="101" t="s">
        <v>371</v>
      </c>
      <c r="P312" s="59">
        <v>260</v>
      </c>
      <c r="W312" s="98"/>
    </row>
    <row r="313" spans="4:23">
      <c r="D313" s="97"/>
      <c r="E313"/>
      <c r="F313"/>
      <c r="G313"/>
      <c r="H313"/>
      <c r="L313" s="98"/>
      <c r="O313" s="97"/>
      <c r="W313" s="98"/>
    </row>
    <row r="314" spans="4:23" ht="15" thickBot="1">
      <c r="D314" s="97" t="s">
        <v>372</v>
      </c>
      <c r="E314"/>
      <c r="F314"/>
      <c r="G314"/>
      <c r="H314"/>
      <c r="L314" s="98"/>
      <c r="O314" s="97" t="s">
        <v>372</v>
      </c>
      <c r="W314" s="98"/>
    </row>
    <row r="315" spans="4:23">
      <c r="D315" s="102"/>
      <c r="E315" s="103" t="s">
        <v>377</v>
      </c>
      <c r="F315" s="103" t="s">
        <v>378</v>
      </c>
      <c r="G315" s="103" t="s">
        <v>379</v>
      </c>
      <c r="H315" s="103" t="s">
        <v>380</v>
      </c>
      <c r="I315" s="103" t="s">
        <v>381</v>
      </c>
      <c r="L315" s="98"/>
      <c r="O315" s="102"/>
      <c r="P315" s="103" t="s">
        <v>377</v>
      </c>
      <c r="Q315" s="103" t="s">
        <v>378</v>
      </c>
      <c r="R315" s="103" t="s">
        <v>379</v>
      </c>
      <c r="S315" s="103" t="s">
        <v>380</v>
      </c>
      <c r="T315" s="103" t="s">
        <v>381</v>
      </c>
      <c r="W315" s="98"/>
    </row>
    <row r="316" spans="4:23">
      <c r="D316" s="97" t="s">
        <v>373</v>
      </c>
      <c r="E316">
        <v>1</v>
      </c>
      <c r="F316">
        <v>9.3971973806796782E-3</v>
      </c>
      <c r="G316">
        <v>9.3971973806796782E-3</v>
      </c>
      <c r="H316">
        <v>18.098468796208749</v>
      </c>
      <c r="I316">
        <v>2.9369370570692987E-5</v>
      </c>
      <c r="L316" s="98"/>
      <c r="O316" s="97" t="s">
        <v>373</v>
      </c>
      <c r="P316">
        <v>1</v>
      </c>
      <c r="Q316">
        <v>4.7889840308065201E-2</v>
      </c>
      <c r="R316">
        <v>4.7889840308065201E-2</v>
      </c>
      <c r="S316">
        <v>39.033200469148824</v>
      </c>
      <c r="T316">
        <v>1.7103061919892863E-9</v>
      </c>
      <c r="W316" s="98"/>
    </row>
    <row r="317" spans="4:23">
      <c r="D317" s="97" t="s">
        <v>374</v>
      </c>
      <c r="E317">
        <v>258</v>
      </c>
      <c r="F317">
        <v>0.13396033396611068</v>
      </c>
      <c r="G317">
        <v>5.1922610064383985E-4</v>
      </c>
      <c r="H317"/>
      <c r="L317" s="98"/>
      <c r="O317" s="97" t="s">
        <v>374</v>
      </c>
      <c r="P317">
        <v>258</v>
      </c>
      <c r="Q317">
        <v>0.31654024397119218</v>
      </c>
      <c r="R317">
        <v>1.2269001704309774E-3</v>
      </c>
      <c r="W317" s="98"/>
    </row>
    <row r="318" spans="4:23" ht="15" thickBot="1">
      <c r="D318" s="101" t="s">
        <v>375</v>
      </c>
      <c r="E318" s="59">
        <v>259</v>
      </c>
      <c r="F318" s="59">
        <v>0.14335753134679036</v>
      </c>
      <c r="G318" s="59"/>
      <c r="H318" s="59"/>
      <c r="I318" s="59"/>
      <c r="L318" s="98"/>
      <c r="O318" s="101" t="s">
        <v>375</v>
      </c>
      <c r="P318" s="59">
        <v>259</v>
      </c>
      <c r="Q318" s="59">
        <v>0.36443008427925738</v>
      </c>
      <c r="R318" s="59"/>
      <c r="S318" s="59"/>
      <c r="T318" s="59"/>
      <c r="W318" s="98"/>
    </row>
    <row r="319" spans="4:23" ht="15" thickBot="1">
      <c r="D319" s="97"/>
      <c r="E319"/>
      <c r="F319"/>
      <c r="G319"/>
      <c r="H319"/>
      <c r="L319" s="98"/>
      <c r="O319" s="97"/>
      <c r="W319" s="98"/>
    </row>
    <row r="320" spans="4:23">
      <c r="D320" s="102"/>
      <c r="E320" s="103" t="s">
        <v>382</v>
      </c>
      <c r="F320" s="103" t="s">
        <v>370</v>
      </c>
      <c r="G320" s="103" t="s">
        <v>383</v>
      </c>
      <c r="H320" s="103" t="s">
        <v>384</v>
      </c>
      <c r="I320" s="103" t="s">
        <v>385</v>
      </c>
      <c r="J320" s="103" t="s">
        <v>386</v>
      </c>
      <c r="K320" s="103" t="s">
        <v>387</v>
      </c>
      <c r="L320" s="104" t="s">
        <v>388</v>
      </c>
      <c r="O320" s="102"/>
      <c r="P320" s="103" t="s">
        <v>382</v>
      </c>
      <c r="Q320" s="103" t="s">
        <v>370</v>
      </c>
      <c r="R320" s="103" t="s">
        <v>383</v>
      </c>
      <c r="S320" s="103" t="s">
        <v>384</v>
      </c>
      <c r="T320" s="103" t="s">
        <v>385</v>
      </c>
      <c r="U320" s="103" t="s">
        <v>386</v>
      </c>
      <c r="V320" s="103" t="s">
        <v>387</v>
      </c>
      <c r="W320" s="104" t="s">
        <v>388</v>
      </c>
    </row>
    <row r="321" spans="4:23">
      <c r="D321" s="97" t="s">
        <v>376</v>
      </c>
      <c r="E321">
        <v>1.7526577437447293E-3</v>
      </c>
      <c r="F321">
        <v>1.4170907445622946E-3</v>
      </c>
      <c r="G321">
        <v>1.2367999371035927</v>
      </c>
      <c r="H321">
        <v>0.21728599061651754</v>
      </c>
      <c r="I321">
        <v>-1.037879314866581E-3</v>
      </c>
      <c r="J321">
        <v>4.5431948023560396E-3</v>
      </c>
      <c r="K321">
        <v>-1.037879314866581E-3</v>
      </c>
      <c r="L321" s="98">
        <v>4.5431948023560396E-3</v>
      </c>
      <c r="O321" s="97" t="s">
        <v>376</v>
      </c>
      <c r="P321">
        <v>3.0595801059028109E-3</v>
      </c>
      <c r="Q321">
        <v>2.1783317279358652E-3</v>
      </c>
      <c r="R321">
        <v>1.4045519636267685</v>
      </c>
      <c r="S321">
        <v>0.16135729714835215</v>
      </c>
      <c r="T321">
        <v>-1.2299937524257974E-3</v>
      </c>
      <c r="U321">
        <v>7.3491539642314193E-3</v>
      </c>
      <c r="V321">
        <v>-1.2299937524257974E-3</v>
      </c>
      <c r="W321" s="98">
        <v>7.3491539642314193E-3</v>
      </c>
    </row>
    <row r="322" spans="4:23" ht="15" thickBot="1">
      <c r="D322" s="101" t="s">
        <v>389</v>
      </c>
      <c r="E322" s="59">
        <v>0.25402208248096902</v>
      </c>
      <c r="F322" s="59">
        <v>5.9710479036309418E-2</v>
      </c>
      <c r="G322" s="59">
        <v>4.2542295185155092</v>
      </c>
      <c r="H322" s="59">
        <v>2.9369370570693979E-5</v>
      </c>
      <c r="I322" s="59">
        <v>0.13644012438997788</v>
      </c>
      <c r="J322" s="59">
        <v>0.37160404057196017</v>
      </c>
      <c r="K322" s="59">
        <v>0.13644012438997788</v>
      </c>
      <c r="L322" s="105">
        <v>0.37160404057196017</v>
      </c>
      <c r="O322" s="101" t="s">
        <v>389</v>
      </c>
      <c r="P322" s="59">
        <v>0.57344793346894063</v>
      </c>
      <c r="Q322" s="59">
        <v>9.1786098719611242E-2</v>
      </c>
      <c r="R322" s="59">
        <v>6.2476555978341883</v>
      </c>
      <c r="S322" s="59">
        <v>1.7103061919892183E-9</v>
      </c>
      <c r="T322" s="59">
        <v>0.39270262063327988</v>
      </c>
      <c r="U322" s="59">
        <v>0.75419324630460138</v>
      </c>
      <c r="V322" s="59">
        <v>0.39270262063327988</v>
      </c>
      <c r="W322" s="105">
        <v>0.75419324630460138</v>
      </c>
    </row>
    <row r="323" spans="4:23">
      <c r="D323"/>
      <c r="E323"/>
      <c r="F323"/>
      <c r="G323"/>
      <c r="H323"/>
    </row>
    <row r="324" spans="4:23">
      <c r="D324"/>
      <c r="E324"/>
      <c r="F324"/>
      <c r="G324"/>
      <c r="H324"/>
    </row>
    <row r="325" spans="4:23">
      <c r="D325"/>
      <c r="E325"/>
      <c r="F325"/>
      <c r="G325"/>
      <c r="H325"/>
    </row>
  </sheetData>
  <mergeCells count="16">
    <mergeCell ref="V5:X5"/>
    <mergeCell ref="B5:D5"/>
    <mergeCell ref="F5:H5"/>
    <mergeCell ref="J5:L5"/>
    <mergeCell ref="N5:P5"/>
    <mergeCell ref="R5:T5"/>
    <mergeCell ref="AA284:AI284"/>
    <mergeCell ref="D305:L305"/>
    <mergeCell ref="O305:W305"/>
    <mergeCell ref="F271:H271"/>
    <mergeCell ref="J271:L271"/>
    <mergeCell ref="N271:P271"/>
    <mergeCell ref="R271:T271"/>
    <mergeCell ref="V271:X271"/>
    <mergeCell ref="D284:L284"/>
    <mergeCell ref="O284:W284"/>
  </mergeCells>
  <printOptions horizontalCentered="1" verticalCentered="1"/>
  <pageMargins left="0.25" right="0.25" top="0.75" bottom="0.75" header="0.3" footer="0.3"/>
  <pageSetup paperSize="9" scale="35" fitToHeight="0" orientation="landscape" r:id="rId1"/>
  <rowBreaks count="1" manualBreakCount="1">
    <brk id="269" max="16383" man="1"/>
  </rowBreaks>
  <colBreaks count="1" manualBreakCount="1">
    <brk id="25" min="269" max="322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0C33-5EDD-405C-9F16-25E27ACC7222}">
  <sheetPr>
    <pageSetUpPr fitToPage="1"/>
  </sheetPr>
  <dimension ref="A1:G60"/>
  <sheetViews>
    <sheetView showGridLines="0" topLeftCell="A42" zoomScaleNormal="100" workbookViewId="0">
      <selection activeCell="G18" sqref="G18"/>
    </sheetView>
  </sheetViews>
  <sheetFormatPr defaultRowHeight="14.4"/>
  <cols>
    <col min="1" max="1" width="1.88671875" customWidth="1"/>
    <col min="2" max="2" width="38.77734375" customWidth="1"/>
    <col min="4" max="7" width="19.44140625" customWidth="1"/>
    <col min="8" max="8" width="1.88671875" customWidth="1"/>
  </cols>
  <sheetData>
    <row r="1" spans="1:7">
      <c r="B1" s="73"/>
      <c r="C1" s="73"/>
      <c r="D1" s="73"/>
      <c r="E1" s="73"/>
      <c r="F1" s="73"/>
      <c r="G1" s="73"/>
    </row>
    <row r="2" spans="1:7">
      <c r="B2" s="73"/>
      <c r="C2" s="73"/>
      <c r="D2" s="73"/>
      <c r="E2" s="73"/>
      <c r="F2" s="73"/>
      <c r="G2" s="73"/>
    </row>
    <row r="3" spans="1:7">
      <c r="B3" s="73"/>
      <c r="C3" s="73"/>
      <c r="D3" s="73"/>
      <c r="E3" s="73"/>
      <c r="F3" s="73"/>
      <c r="G3" s="73"/>
    </row>
    <row r="4" spans="1:7">
      <c r="B4" s="73"/>
      <c r="C4" s="73"/>
      <c r="D4" s="73"/>
      <c r="E4" s="73"/>
      <c r="F4" s="73"/>
      <c r="G4" s="73"/>
    </row>
    <row r="6" spans="1:7">
      <c r="A6" t="s">
        <v>44</v>
      </c>
      <c r="B6" s="2" t="s">
        <v>424</v>
      </c>
      <c r="C6" s="130"/>
      <c r="D6" s="3">
        <v>44185</v>
      </c>
      <c r="E6" s="3">
        <v>44561</v>
      </c>
      <c r="F6" s="3">
        <v>44926</v>
      </c>
      <c r="G6" s="3">
        <v>45291</v>
      </c>
    </row>
    <row r="8" spans="1:7">
      <c r="B8" s="5" t="s">
        <v>124</v>
      </c>
    </row>
    <row r="9" spans="1:7">
      <c r="B9" s="131" t="s">
        <v>132</v>
      </c>
      <c r="C9" s="131"/>
      <c r="D9" s="123">
        <v>4086000000</v>
      </c>
      <c r="E9" s="123">
        <v>4691000000</v>
      </c>
      <c r="F9" s="123">
        <v>5153000000</v>
      </c>
      <c r="G9" s="123">
        <v>5430000000</v>
      </c>
    </row>
    <row r="10" spans="1:7">
      <c r="B10" s="131" t="s">
        <v>128</v>
      </c>
      <c r="C10" s="131"/>
      <c r="D10" s="123">
        <v>5195000000</v>
      </c>
      <c r="E10" s="123">
        <v>5166000000</v>
      </c>
      <c r="F10" s="123">
        <v>5855000000</v>
      </c>
      <c r="G10" s="123">
        <v>5820000000</v>
      </c>
    </row>
    <row r="11" spans="1:7">
      <c r="B11" s="131" t="s">
        <v>252</v>
      </c>
      <c r="C11" s="131"/>
      <c r="D11" s="123">
        <v>108000000</v>
      </c>
      <c r="E11" s="123">
        <v>91000000</v>
      </c>
      <c r="F11" s="123">
        <v>81000000</v>
      </c>
      <c r="G11" s="123">
        <v>52000000</v>
      </c>
    </row>
    <row r="12" spans="1:7">
      <c r="B12" s="131" t="s">
        <v>253</v>
      </c>
      <c r="C12" s="131"/>
      <c r="D12" s="123">
        <v>216000000</v>
      </c>
      <c r="E12" s="123">
        <v>249000000</v>
      </c>
      <c r="F12" s="123">
        <v>353000000</v>
      </c>
      <c r="G12" s="123">
        <v>324000000</v>
      </c>
    </row>
    <row r="13" spans="1:7">
      <c r="B13" s="131" t="s">
        <v>254</v>
      </c>
      <c r="C13" s="131"/>
      <c r="D13" s="123">
        <v>0</v>
      </c>
      <c r="E13" s="123">
        <v>0</v>
      </c>
      <c r="F13" s="123">
        <v>0</v>
      </c>
      <c r="G13" s="123">
        <v>0</v>
      </c>
    </row>
    <row r="14" spans="1:7" ht="15" thickBot="1">
      <c r="B14" s="132" t="s">
        <v>249</v>
      </c>
      <c r="C14" s="132"/>
      <c r="D14" s="133">
        <v>1937000000</v>
      </c>
      <c r="E14" s="133">
        <v>2440000000</v>
      </c>
      <c r="F14" s="133">
        <v>1934000000</v>
      </c>
      <c r="G14" s="133">
        <v>1952000000</v>
      </c>
    </row>
    <row r="15" spans="1:7" ht="15" thickBot="1">
      <c r="B15" s="25" t="s">
        <v>248</v>
      </c>
      <c r="C15" s="25"/>
      <c r="D15" s="134">
        <f>SUM(D9:D14)</f>
        <v>11542000000</v>
      </c>
      <c r="E15" s="134">
        <f>SUM(E9:E14)</f>
        <v>12637000000</v>
      </c>
      <c r="F15" s="134">
        <f>SUM(F9:F14)</f>
        <v>13376000000</v>
      </c>
      <c r="G15" s="134">
        <f>SUM(G9:G14)</f>
        <v>13578000000</v>
      </c>
    </row>
    <row r="17" spans="1:7">
      <c r="B17" s="5" t="s">
        <v>80</v>
      </c>
    </row>
    <row r="18" spans="1:7">
      <c r="B18" s="131" t="s">
        <v>91</v>
      </c>
      <c r="C18" s="131"/>
      <c r="D18" s="123">
        <v>5827000000</v>
      </c>
      <c r="E18" s="123">
        <v>6019000000</v>
      </c>
      <c r="F18" s="123">
        <v>6847000000</v>
      </c>
      <c r="G18" s="123">
        <v>6934000000</v>
      </c>
    </row>
    <row r="19" spans="1:7" ht="15" thickBot="1">
      <c r="B19" s="132" t="s">
        <v>81</v>
      </c>
      <c r="C19" s="132"/>
      <c r="D19" s="133">
        <v>2936000000</v>
      </c>
      <c r="E19" s="133">
        <v>3177000000</v>
      </c>
      <c r="F19" s="133">
        <v>3251000000</v>
      </c>
      <c r="G19" s="133">
        <v>3913000000</v>
      </c>
    </row>
    <row r="20" spans="1:7" ht="15" thickBot="1">
      <c r="B20" s="25" t="s">
        <v>422</v>
      </c>
      <c r="C20" s="25"/>
      <c r="D20" s="134">
        <f>SUM(D18:D19)</f>
        <v>8763000000</v>
      </c>
      <c r="E20" s="134">
        <f>SUM(E18:E19)</f>
        <v>9196000000</v>
      </c>
      <c r="F20" s="134">
        <f>SUM(F18:F19)</f>
        <v>10098000000</v>
      </c>
      <c r="G20" s="134">
        <f>SUM(G18:G19)</f>
        <v>10847000000</v>
      </c>
    </row>
    <row r="21" spans="1:7" ht="15" thickBot="1"/>
    <row r="22" spans="1:7" ht="15.6" thickTop="1" thickBot="1">
      <c r="A22" t="s">
        <v>44</v>
      </c>
      <c r="B22" s="135" t="s">
        <v>425</v>
      </c>
      <c r="C22" s="135"/>
      <c r="D22" s="136">
        <f>D15-D20</f>
        <v>2779000000</v>
      </c>
      <c r="E22" s="136">
        <f>E15-E20</f>
        <v>3441000000</v>
      </c>
      <c r="F22" s="136">
        <f>F15-F20</f>
        <v>3278000000</v>
      </c>
      <c r="G22" s="136">
        <f>G15-G20</f>
        <v>2731000000</v>
      </c>
    </row>
    <row r="24" spans="1:7">
      <c r="B24" s="137" t="s">
        <v>426</v>
      </c>
    </row>
    <row r="25" spans="1:7">
      <c r="B25" s="131" t="s">
        <v>244</v>
      </c>
      <c r="C25" s="131"/>
      <c r="D25" s="123">
        <v>12747000000</v>
      </c>
      <c r="E25" s="123">
        <v>12626000000</v>
      </c>
      <c r="F25" s="123">
        <v>13175000000</v>
      </c>
      <c r="G25" s="123">
        <v>14041000000</v>
      </c>
    </row>
    <row r="26" spans="1:7">
      <c r="B26" s="131" t="s">
        <v>250</v>
      </c>
      <c r="C26" s="131"/>
      <c r="D26" s="123">
        <v>10818000000</v>
      </c>
      <c r="E26" s="123">
        <v>10351000000</v>
      </c>
      <c r="F26" s="123">
        <v>10828000000</v>
      </c>
      <c r="G26" s="123">
        <v>10343000000</v>
      </c>
    </row>
    <row r="27" spans="1:7">
      <c r="B27" s="131" t="s">
        <v>251</v>
      </c>
      <c r="C27" s="131"/>
      <c r="D27" s="123">
        <v>93000000</v>
      </c>
      <c r="E27" s="123">
        <v>78000000</v>
      </c>
      <c r="F27" s="123">
        <v>77000000</v>
      </c>
      <c r="G27" s="123">
        <v>68000000</v>
      </c>
    </row>
    <row r="28" spans="1:7">
      <c r="B28" s="131" t="s">
        <v>245</v>
      </c>
      <c r="C28" s="131"/>
      <c r="D28" s="123">
        <v>264000000</v>
      </c>
      <c r="E28" s="123">
        <v>333000000</v>
      </c>
      <c r="F28" s="123">
        <v>459000000</v>
      </c>
      <c r="G28" s="123">
        <v>449000000</v>
      </c>
    </row>
    <row r="29" spans="1:7" ht="15" thickBot="1">
      <c r="B29" s="131" t="s">
        <v>246</v>
      </c>
      <c r="C29" s="131"/>
      <c r="D29" s="123">
        <v>409000000</v>
      </c>
      <c r="E29" s="123">
        <v>589000000</v>
      </c>
      <c r="F29" s="123">
        <v>232000000</v>
      </c>
      <c r="G29" s="123">
        <v>500000000</v>
      </c>
    </row>
    <row r="30" spans="1:7" ht="15" thickBot="1">
      <c r="A30" t="s">
        <v>44</v>
      </c>
      <c r="B30" s="25" t="s">
        <v>247</v>
      </c>
      <c r="C30" s="25"/>
      <c r="D30" s="134">
        <f>SUM(D25:D29)</f>
        <v>24331000000</v>
      </c>
      <c r="E30" s="134">
        <f>SUM(E25:E29)</f>
        <v>23977000000</v>
      </c>
      <c r="F30" s="134">
        <f>SUM(F25:F29)</f>
        <v>24771000000</v>
      </c>
      <c r="G30" s="134">
        <f>SUM(G25:G29)</f>
        <v>25401000000</v>
      </c>
    </row>
    <row r="32" spans="1:7">
      <c r="A32" t="s">
        <v>44</v>
      </c>
      <c r="B32" s="5" t="s">
        <v>52</v>
      </c>
      <c r="C32" s="5"/>
      <c r="D32" s="18">
        <f>D30+D22</f>
        <v>27110000000</v>
      </c>
      <c r="E32" s="18">
        <f>E30+E22</f>
        <v>27418000000</v>
      </c>
      <c r="F32" s="18">
        <f>F30+F22</f>
        <v>28049000000</v>
      </c>
      <c r="G32" s="18">
        <f>G30+G22</f>
        <v>28132000000</v>
      </c>
    </row>
    <row r="33" spans="1:7">
      <c r="B33" s="5" t="s">
        <v>8</v>
      </c>
      <c r="D33" s="10">
        <f>HistoricalFS!C22</f>
        <v>2375000000</v>
      </c>
      <c r="E33" s="10">
        <f>HistoricalFS!D22</f>
        <v>3133000000</v>
      </c>
      <c r="F33" s="10">
        <f>HistoricalFS!E22</f>
        <v>3375000000</v>
      </c>
      <c r="G33" s="10">
        <f>HistoricalFS!F22</f>
        <v>3738000000</v>
      </c>
    </row>
    <row r="34" spans="1:7" ht="15" thickBot="1"/>
    <row r="35" spans="1:7" ht="15.6" thickTop="1" thickBot="1">
      <c r="A35" t="s">
        <v>44</v>
      </c>
      <c r="B35" s="135" t="s">
        <v>423</v>
      </c>
      <c r="C35" s="135"/>
      <c r="D35" s="143">
        <f>D33/D32</f>
        <v>8.7606049428255256E-2</v>
      </c>
      <c r="E35" s="143">
        <f>E33/E32</f>
        <v>0.11426799912466264</v>
      </c>
      <c r="F35" s="143">
        <f>F33/F32</f>
        <v>0.12032514528147172</v>
      </c>
      <c r="G35" s="143">
        <f>G33/G32</f>
        <v>0.13287359590501918</v>
      </c>
    </row>
    <row r="38" spans="1:7">
      <c r="A38" t="s">
        <v>44</v>
      </c>
      <c r="B38" s="2" t="s">
        <v>427</v>
      </c>
      <c r="C38" s="130"/>
      <c r="D38" s="3">
        <f>D6</f>
        <v>44185</v>
      </c>
      <c r="E38" s="3">
        <f>E6</f>
        <v>44561</v>
      </c>
      <c r="F38" s="3">
        <f>F6</f>
        <v>44926</v>
      </c>
      <c r="G38" s="3">
        <f>G6</f>
        <v>45291</v>
      </c>
    </row>
    <row r="40" spans="1:7">
      <c r="B40" s="144" t="s">
        <v>428</v>
      </c>
      <c r="C40" s="131"/>
      <c r="D40" s="145">
        <f>'Raw FS'!C55+'Raw FS'!C56</f>
        <v>1158000000</v>
      </c>
      <c r="E40" s="145">
        <f>'Raw FS'!D55+'Raw FS'!D56</f>
        <v>1182000000</v>
      </c>
      <c r="F40" s="145">
        <f>'Raw FS'!E55+'Raw FS'!E56</f>
        <v>1571000000</v>
      </c>
      <c r="G40" s="145">
        <f>'Raw FS'!F55+'Raw FS'!F56</f>
        <v>2072000000</v>
      </c>
    </row>
    <row r="41" spans="1:7">
      <c r="B41" s="131" t="s">
        <v>429</v>
      </c>
      <c r="C41" s="131"/>
      <c r="D41" s="131"/>
      <c r="E41" s="145">
        <f>E22-D22</f>
        <v>662000000</v>
      </c>
      <c r="F41" s="145">
        <f>F22-E22</f>
        <v>-163000000</v>
      </c>
      <c r="G41" s="145">
        <f>G22-F22</f>
        <v>-547000000</v>
      </c>
    </row>
    <row r="43" spans="1:7">
      <c r="B43" s="144" t="s">
        <v>8</v>
      </c>
      <c r="C43" s="131"/>
      <c r="D43" s="145">
        <f>D33</f>
        <v>2375000000</v>
      </c>
      <c r="E43" s="145">
        <f>E33</f>
        <v>3133000000</v>
      </c>
      <c r="F43" s="145">
        <f>F33</f>
        <v>3375000000</v>
      </c>
      <c r="G43" s="145">
        <f>G33</f>
        <v>3738000000</v>
      </c>
    </row>
    <row r="44" spans="1:7">
      <c r="B44" s="131" t="s">
        <v>430</v>
      </c>
      <c r="C44" s="131"/>
      <c r="D44" s="152">
        <v>0.26500000000000001</v>
      </c>
      <c r="E44" s="152">
        <v>0.26500000000000001</v>
      </c>
      <c r="F44" s="152">
        <v>0.26500000000000001</v>
      </c>
      <c r="G44" s="152">
        <v>0.26500000000000001</v>
      </c>
    </row>
    <row r="45" spans="1:7">
      <c r="B45" s="144" t="s">
        <v>433</v>
      </c>
      <c r="C45" s="131"/>
      <c r="D45" s="145">
        <f>D43*(1-D44)</f>
        <v>1745625000</v>
      </c>
      <c r="E45" s="145">
        <f>E43*(1-E44)</f>
        <v>2302755000</v>
      </c>
      <c r="F45" s="145">
        <f>F43*(1-F44)</f>
        <v>2480625000</v>
      </c>
      <c r="G45" s="145">
        <f>G43*(1-G44)</f>
        <v>2747430000</v>
      </c>
    </row>
    <row r="46" spans="1:7">
      <c r="B46" s="131"/>
      <c r="C46" s="131"/>
      <c r="D46" s="131"/>
      <c r="E46" s="145"/>
      <c r="F46" s="145"/>
      <c r="G46" s="145"/>
    </row>
    <row r="47" spans="1:7">
      <c r="B47" s="148" t="s">
        <v>431</v>
      </c>
      <c r="C47" s="148"/>
      <c r="D47" s="149"/>
      <c r="E47" s="149">
        <f>SUM(E40:E41)</f>
        <v>1844000000</v>
      </c>
      <c r="F47" s="149">
        <f>SUM(F40:F41)</f>
        <v>1408000000</v>
      </c>
      <c r="G47" s="149">
        <f>SUM(G40:G41)</f>
        <v>1525000000</v>
      </c>
    </row>
    <row r="48" spans="1:7">
      <c r="E48" s="10"/>
      <c r="F48" s="10"/>
      <c r="G48" s="10"/>
    </row>
    <row r="49" spans="1:7" ht="15" thickBot="1">
      <c r="B49" s="139" t="s">
        <v>432</v>
      </c>
      <c r="C49" s="139"/>
      <c r="D49" s="139"/>
      <c r="E49" s="142">
        <f>E47/E45</f>
        <v>0.80077993533832303</v>
      </c>
      <c r="F49" s="142">
        <f>F47/F45</f>
        <v>0.56759889140841524</v>
      </c>
      <c r="G49" s="142">
        <f>G47/G45</f>
        <v>0.55506418725863804</v>
      </c>
    </row>
    <row r="50" spans="1:7" ht="15" thickTop="1">
      <c r="E50" s="9"/>
      <c r="F50" s="9"/>
      <c r="G50" s="9"/>
    </row>
    <row r="51" spans="1:7">
      <c r="F51" s="5" t="s">
        <v>434</v>
      </c>
      <c r="G51" s="20">
        <f>AVERAGE(E49:G49)</f>
        <v>0.6411476713351254</v>
      </c>
    </row>
    <row r="52" spans="1:7">
      <c r="F52" s="5" t="s">
        <v>435</v>
      </c>
      <c r="G52" s="20">
        <f>MEDIAN(E49:G49)</f>
        <v>0.56759889140841524</v>
      </c>
    </row>
    <row r="54" spans="1:7">
      <c r="A54" t="s">
        <v>44</v>
      </c>
      <c r="B54" s="2" t="s">
        <v>436</v>
      </c>
      <c r="C54" s="130"/>
      <c r="D54" s="3">
        <f>D38</f>
        <v>44185</v>
      </c>
      <c r="E54" s="3">
        <f>E38</f>
        <v>44561</v>
      </c>
      <c r="F54" s="3">
        <f>F38</f>
        <v>44926</v>
      </c>
      <c r="G54" s="3">
        <f>G38</f>
        <v>45291</v>
      </c>
    </row>
    <row r="56" spans="1:7">
      <c r="B56" s="144" t="s">
        <v>432</v>
      </c>
      <c r="C56" s="131"/>
      <c r="D56" s="145"/>
      <c r="E56" s="152">
        <f>E49</f>
        <v>0.80077993533832303</v>
      </c>
      <c r="F56" s="152">
        <f>F49</f>
        <v>0.56759889140841524</v>
      </c>
      <c r="G56" s="152">
        <f>G49</f>
        <v>0.55506418725863804</v>
      </c>
    </row>
    <row r="57" spans="1:7">
      <c r="B57" s="131" t="s">
        <v>423</v>
      </c>
      <c r="C57" s="131"/>
      <c r="D57" s="131"/>
      <c r="E57" s="152">
        <f>E35</f>
        <v>0.11426799912466264</v>
      </c>
      <c r="F57" s="152">
        <f>F35</f>
        <v>0.12032514528147172</v>
      </c>
      <c r="G57" s="152">
        <f>G35</f>
        <v>0.13287359590501918</v>
      </c>
    </row>
    <row r="58" spans="1:7" ht="15" thickBot="1"/>
    <row r="59" spans="1:7" ht="15.6" thickTop="1" thickBot="1">
      <c r="B59" s="146" t="s">
        <v>437</v>
      </c>
      <c r="C59" s="146"/>
      <c r="D59" s="146"/>
      <c r="E59" s="147">
        <f>E56*E57</f>
        <v>9.1503520950286896E-2</v>
      </c>
      <c r="F59" s="147">
        <f>F56*F57</f>
        <v>6.8296419070319858E-2</v>
      </c>
      <c r="G59" s="147">
        <f>G56*G57</f>
        <v>7.3753374519152162E-2</v>
      </c>
    </row>
    <row r="60" spans="1:7" ht="15" thickTop="1"/>
  </sheetData>
  <printOptions horizontalCentered="1" verticalCentered="1"/>
  <pageMargins left="0.25" right="0.25" top="0.75" bottom="0.75" header="0.3" footer="0.3"/>
  <pageSetup paperSize="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BA08-78FB-49F7-9C63-56413A754C6F}">
  <sheetPr>
    <tabColor theme="9" tint="-0.249977111117893"/>
  </sheetPr>
  <dimension ref="A1"/>
  <sheetViews>
    <sheetView workbookViewId="0">
      <selection activeCell="L24" sqref="L24"/>
    </sheetView>
  </sheetViews>
  <sheetFormatPr defaultRowHeight="14.4"/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3B64-A33B-4F8D-B55F-40EF62F67FD4}">
  <sheetPr>
    <pageSetUpPr fitToPage="1"/>
  </sheetPr>
  <dimension ref="A1:P36"/>
  <sheetViews>
    <sheetView showGridLines="0" topLeftCell="A19" zoomScaleNormal="100" workbookViewId="0">
      <selection activeCell="B6" sqref="B6 D8:H8 B9:H9 J8:L9 N8:P9 B18:B23 B27 N27:P27 B29:B32 B34:B35"/>
    </sheetView>
  </sheetViews>
  <sheetFormatPr defaultRowHeight="14.4"/>
  <cols>
    <col min="1" max="1" width="1.88671875" customWidth="1"/>
    <col min="2" max="2" width="17.44140625" customWidth="1"/>
    <col min="3" max="3" width="6.44140625" bestFit="1" customWidth="1"/>
    <col min="4" max="4" width="8.6640625" bestFit="1" customWidth="1"/>
    <col min="5" max="5" width="19.21875" bestFit="1" customWidth="1"/>
    <col min="6" max="6" width="20.6640625" bestFit="1" customWidth="1"/>
    <col min="7" max="7" width="18.21875" bestFit="1" customWidth="1"/>
    <col min="8" max="8" width="20.6640625" bestFit="1" customWidth="1"/>
    <col min="9" max="9" width="3.6640625" customWidth="1"/>
    <col min="10" max="10" width="19.21875" bestFit="1" customWidth="1"/>
    <col min="11" max="12" width="18.21875" bestFit="1" customWidth="1"/>
    <col min="13" max="13" width="1.88671875" customWidth="1"/>
    <col min="14" max="15" width="18" style="54" bestFit="1" customWidth="1"/>
    <col min="16" max="16" width="18.6640625" style="54" bestFit="1" customWidth="1"/>
    <col min="17" max="17" width="1.88671875" customWidth="1"/>
  </cols>
  <sheetData>
    <row r="1" spans="2:16"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172"/>
      <c r="O1" s="172"/>
      <c r="P1" s="172"/>
    </row>
    <row r="2" spans="2:16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172"/>
      <c r="O2" s="172"/>
      <c r="P2" s="172"/>
    </row>
    <row r="3" spans="2:16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172"/>
      <c r="O3" s="172"/>
      <c r="P3" s="172"/>
    </row>
    <row r="4" spans="2:16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172"/>
      <c r="O4" s="172"/>
      <c r="P4" s="172"/>
    </row>
    <row r="6" spans="2:16">
      <c r="B6" s="114" t="s">
        <v>464</v>
      </c>
      <c r="C6" s="114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73"/>
      <c r="O6" s="173"/>
      <c r="P6" s="173"/>
    </row>
    <row r="8" spans="2:16">
      <c r="B8" s="2"/>
      <c r="C8" s="2"/>
      <c r="D8" s="239" t="s">
        <v>468</v>
      </c>
      <c r="E8" s="239"/>
      <c r="F8" s="239"/>
      <c r="G8" s="239"/>
      <c r="H8" s="239"/>
      <c r="I8" s="229"/>
      <c r="J8" s="239" t="s">
        <v>470</v>
      </c>
      <c r="K8" s="239"/>
      <c r="L8" s="239"/>
      <c r="M8" s="2"/>
      <c r="N8" s="239" t="s">
        <v>469</v>
      </c>
      <c r="O8" s="239"/>
      <c r="P8" s="239"/>
    </row>
    <row r="9" spans="2:16" ht="28.8">
      <c r="B9" s="164" t="s">
        <v>483</v>
      </c>
      <c r="C9" s="164" t="s">
        <v>501</v>
      </c>
      <c r="D9" s="165" t="s">
        <v>460</v>
      </c>
      <c r="E9" s="166" t="s">
        <v>465</v>
      </c>
      <c r="F9" s="166" t="s">
        <v>466</v>
      </c>
      <c r="G9" s="166" t="s">
        <v>49</v>
      </c>
      <c r="H9" s="166" t="s">
        <v>467</v>
      </c>
      <c r="I9" s="166"/>
      <c r="J9" s="167" t="s">
        <v>303</v>
      </c>
      <c r="K9" s="168" t="s">
        <v>7</v>
      </c>
      <c r="L9" s="165" t="s">
        <v>23</v>
      </c>
      <c r="M9" s="167"/>
      <c r="N9" s="166" t="s">
        <v>502</v>
      </c>
      <c r="O9" s="166" t="s">
        <v>503</v>
      </c>
      <c r="P9" s="166" t="s">
        <v>486</v>
      </c>
    </row>
    <row r="10" spans="2:16"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174"/>
      <c r="O10" s="174"/>
      <c r="P10" s="174"/>
    </row>
    <row r="11" spans="2:16">
      <c r="B11" s="175" t="str">
        <f>DATA!C6</f>
        <v>George Weston</v>
      </c>
      <c r="C11" s="175" t="str">
        <f>DATA!D6</f>
        <v>WN</v>
      </c>
      <c r="D11" s="176">
        <f>DATA!T6</f>
        <v>21.45</v>
      </c>
      <c r="E11" s="182">
        <f>DATA!O6</f>
        <v>246534694</v>
      </c>
      <c r="F11" s="181">
        <f>E11*D11</f>
        <v>5288169186.3000002</v>
      </c>
      <c r="G11" s="176">
        <f>DATA!N6</f>
        <v>20070000000</v>
      </c>
      <c r="H11" s="176">
        <f t="shared" ref="H11:H16" si="0">F11+G11</f>
        <v>25358169186.299999</v>
      </c>
      <c r="I11" s="176"/>
      <c r="J11" s="176">
        <f>DATA!E6</f>
        <v>60930000000</v>
      </c>
      <c r="K11" s="176">
        <f>DATA!F6</f>
        <v>6050000000</v>
      </c>
      <c r="L11" s="176">
        <f>DATA!G6</f>
        <v>1250000000</v>
      </c>
      <c r="M11" s="177"/>
      <c r="N11" s="178">
        <f t="shared" ref="N11:N16" si="1">H11/J11</f>
        <v>0.41618528124569176</v>
      </c>
      <c r="O11" s="178">
        <f t="shared" ref="O11:O16" si="2">H11/K11</f>
        <v>4.1914329233553715</v>
      </c>
      <c r="P11" s="178">
        <f t="shared" ref="P11:P16" si="3">F11/L11</f>
        <v>4.2305353490400002</v>
      </c>
    </row>
    <row r="12" spans="2:16">
      <c r="B12" s="175" t="str">
        <f>DATA!C7</f>
        <v>Loblaw Companies</v>
      </c>
      <c r="C12" s="175" t="str">
        <f>DATA!D7</f>
        <v>L</v>
      </c>
      <c r="D12" s="176">
        <f>DATA!T7</f>
        <v>178.29</v>
      </c>
      <c r="E12" s="182">
        <f>DATA!O7</f>
        <v>305391638</v>
      </c>
      <c r="F12" s="181">
        <f t="shared" ref="F12:F16" si="4">E12*D12</f>
        <v>54448275139.019997</v>
      </c>
      <c r="G12" s="176">
        <f>DATA!N7</f>
        <v>17220000000</v>
      </c>
      <c r="H12" s="176">
        <f t="shared" si="0"/>
        <v>71668275139.019989</v>
      </c>
      <c r="I12" s="176"/>
      <c r="J12" s="176">
        <f>DATA!E7</f>
        <v>60600000000</v>
      </c>
      <c r="K12" s="176">
        <f>DATA!F7</f>
        <v>5520000000</v>
      </c>
      <c r="L12" s="176">
        <f>DATA!G7</f>
        <v>2250000000</v>
      </c>
      <c r="M12" s="177"/>
      <c r="N12" s="178">
        <f t="shared" si="1"/>
        <v>1.1826448042742572</v>
      </c>
      <c r="O12" s="178">
        <f t="shared" si="2"/>
        <v>12.983383177358693</v>
      </c>
      <c r="P12" s="178">
        <f t="shared" si="3"/>
        <v>24.19923339512</v>
      </c>
    </row>
    <row r="13" spans="2:16">
      <c r="B13" s="175" t="str">
        <f>DATA!C8</f>
        <v>Metro Inc.</v>
      </c>
      <c r="C13" s="175" t="str">
        <f>DATA!D8</f>
        <v>MRU</v>
      </c>
      <c r="D13" s="176">
        <f>DATA!T8</f>
        <v>89.73</v>
      </c>
      <c r="E13" s="182">
        <f>DATA!O8</f>
        <v>222613000</v>
      </c>
      <c r="F13" s="181">
        <f t="shared" si="4"/>
        <v>19975064490</v>
      </c>
      <c r="G13" s="176">
        <f>DATA!N8</f>
        <v>4400000000</v>
      </c>
      <c r="H13" s="176">
        <f t="shared" si="0"/>
        <v>24375064490</v>
      </c>
      <c r="I13" s="176"/>
      <c r="J13" s="176">
        <f>DATA!E8</f>
        <v>21350000000</v>
      </c>
      <c r="K13" s="176">
        <f>DATA!F8</f>
        <v>1780000000</v>
      </c>
      <c r="L13" s="176">
        <f>DATA!G8</f>
        <v>931000000</v>
      </c>
      <c r="M13" s="177"/>
      <c r="N13" s="178">
        <f t="shared" si="1"/>
        <v>1.1416892032786885</v>
      </c>
      <c r="O13" s="178">
        <f t="shared" si="2"/>
        <v>13.69385645505618</v>
      </c>
      <c r="P13" s="178">
        <f t="shared" si="3"/>
        <v>21.455493544575724</v>
      </c>
    </row>
    <row r="14" spans="2:16">
      <c r="B14" s="175" t="str">
        <f>DATA!C9</f>
        <v>Empire Company</v>
      </c>
      <c r="C14" s="175" t="str">
        <f>DATA!D9</f>
        <v>EMPa</v>
      </c>
      <c r="D14" s="176">
        <f>DATA!T9</f>
        <v>41.25</v>
      </c>
      <c r="E14" s="182">
        <f>DATA!O9</f>
        <v>241974331</v>
      </c>
      <c r="F14" s="181">
        <f t="shared" si="4"/>
        <v>9981441153.75</v>
      </c>
      <c r="G14" s="176">
        <f>DATA!N9</f>
        <v>7180000000</v>
      </c>
      <c r="H14" s="176">
        <f t="shared" si="0"/>
        <v>17161441153.75</v>
      </c>
      <c r="I14" s="176"/>
      <c r="J14" s="176">
        <f>DATA!E9</f>
        <v>30870000000</v>
      </c>
      <c r="K14" s="176">
        <f>DATA!F9</f>
        <v>1720000000</v>
      </c>
      <c r="L14" s="176">
        <f>DATA!G9</f>
        <v>672000000</v>
      </c>
      <c r="M14" s="177"/>
      <c r="N14" s="178">
        <f t="shared" si="1"/>
        <v>0.55592617925979915</v>
      </c>
      <c r="O14" s="178">
        <f t="shared" si="2"/>
        <v>9.9775820661337207</v>
      </c>
      <c r="P14" s="178">
        <f t="shared" si="3"/>
        <v>14.853335050223214</v>
      </c>
    </row>
    <row r="15" spans="2:16">
      <c r="B15" s="175" t="str">
        <f>DATA!C10</f>
        <v>Green Thumb</v>
      </c>
      <c r="C15" s="175" t="str">
        <f>DATA!D10</f>
        <v>GTII</v>
      </c>
      <c r="D15" s="176">
        <f>DATA!T10</f>
        <v>13</v>
      </c>
      <c r="E15" s="182">
        <f>DATA!O10</f>
        <v>211625181</v>
      </c>
      <c r="F15" s="181">
        <f t="shared" si="4"/>
        <v>2751127353</v>
      </c>
      <c r="G15" s="176">
        <f>DATA!N10</f>
        <v>481500000</v>
      </c>
      <c r="H15" s="176">
        <f t="shared" si="0"/>
        <v>3232627353</v>
      </c>
      <c r="I15" s="176"/>
      <c r="J15" s="176">
        <f>DATA!E10</f>
        <v>1520000000</v>
      </c>
      <c r="K15" s="176">
        <f>DATA!F10</f>
        <v>448200000</v>
      </c>
      <c r="L15" s="176">
        <f>DATA!G10</f>
        <v>86030000</v>
      </c>
      <c r="M15" s="177"/>
      <c r="N15" s="178">
        <f t="shared" si="1"/>
        <v>2.1267285217105263</v>
      </c>
      <c r="O15" s="178">
        <f t="shared" si="2"/>
        <v>7.2124662048192771</v>
      </c>
      <c r="P15" s="178">
        <f t="shared" si="3"/>
        <v>31.978697582238755</v>
      </c>
    </row>
    <row r="16" spans="2:16">
      <c r="B16" s="175" t="str">
        <f>DATA!C11</f>
        <v>North West</v>
      </c>
      <c r="C16" s="175" t="str">
        <f>DATA!D11</f>
        <v>NWC</v>
      </c>
      <c r="D16" s="176">
        <f>DATA!T11</f>
        <v>53.02</v>
      </c>
      <c r="E16" s="182">
        <f>DATA!O11</f>
        <v>47606909</v>
      </c>
      <c r="F16" s="181">
        <f t="shared" si="4"/>
        <v>2524118315.1800003</v>
      </c>
      <c r="G16" s="176">
        <f>DATA!N11</f>
        <v>357580000</v>
      </c>
      <c r="H16" s="176">
        <f t="shared" si="0"/>
        <v>2881698315.1800003</v>
      </c>
      <c r="I16" s="176"/>
      <c r="J16" s="176">
        <f>DATA!E11</f>
        <v>2520000000</v>
      </c>
      <c r="K16" s="176">
        <f>DATA!F11</f>
        <v>278840000</v>
      </c>
      <c r="L16" s="176">
        <f>DATA!G11</f>
        <v>132550000</v>
      </c>
      <c r="M16" s="177"/>
      <c r="N16" s="178">
        <f t="shared" si="1"/>
        <v>1.143531077452381</v>
      </c>
      <c r="O16" s="178">
        <f t="shared" si="2"/>
        <v>10.334594445488452</v>
      </c>
      <c r="P16" s="178">
        <f t="shared" si="3"/>
        <v>19.042763600000001</v>
      </c>
    </row>
    <row r="18" spans="1:16">
      <c r="A18" s="186"/>
      <c r="B18" s="189" t="s">
        <v>504</v>
      </c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90">
        <f>MAX(N11:N16)</f>
        <v>2.1267285217105263</v>
      </c>
      <c r="O18" s="190">
        <f>MAX(O11:O16)</f>
        <v>13.69385645505618</v>
      </c>
      <c r="P18" s="190">
        <f>MAX(P11:P16)</f>
        <v>31.978697582238755</v>
      </c>
    </row>
    <row r="19" spans="1:16">
      <c r="A19" s="186"/>
      <c r="B19" s="189" t="s">
        <v>505</v>
      </c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90">
        <f>QUARTILE(N11:N16,3)</f>
        <v>1.1728663725687882</v>
      </c>
      <c r="O19" s="190">
        <f>QUARTILE(O11:O16,3)</f>
        <v>12.321185994391133</v>
      </c>
      <c r="P19" s="190">
        <f>QUARTILE(P11:P16,3)</f>
        <v>23.513298432483932</v>
      </c>
    </row>
    <row r="20" spans="1:16">
      <c r="A20" s="186"/>
      <c r="B20" s="191" t="s">
        <v>322</v>
      </c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2">
        <f>AVERAGE(N11:N16)</f>
        <v>1.0944508445368906</v>
      </c>
      <c r="O20" s="192">
        <f>AVERAGE(O11:O16)</f>
        <v>9.7322192120352824</v>
      </c>
      <c r="P20" s="192">
        <f>AVERAGE(P11:P16)</f>
        <v>19.293343086866283</v>
      </c>
    </row>
    <row r="21" spans="1:16">
      <c r="A21" s="186"/>
      <c r="B21" s="191" t="s">
        <v>300</v>
      </c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2">
        <f>MEDIAN(N11:N16)</f>
        <v>1.1426101403655347</v>
      </c>
      <c r="O21" s="192">
        <f>MEDIAN(O11:O16)</f>
        <v>10.156088255811087</v>
      </c>
      <c r="P21" s="192">
        <f>MEDIAN(P11:P16)</f>
        <v>20.249128572287862</v>
      </c>
    </row>
    <row r="22" spans="1:16">
      <c r="A22" s="186"/>
      <c r="B22" s="189" t="s">
        <v>506</v>
      </c>
      <c r="C22" s="189"/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90">
        <f>QUARTILE(N11:N16,1)</f>
        <v>0.70236693526452143</v>
      </c>
      <c r="O22" s="190">
        <f>QUARTILE(O11:O16,1)</f>
        <v>7.9037451701478876</v>
      </c>
      <c r="P22" s="190">
        <f>QUARTILE(P11:P16,1)</f>
        <v>15.90069218766741</v>
      </c>
    </row>
    <row r="23" spans="1:16">
      <c r="A23" s="186"/>
      <c r="B23" s="189" t="s">
        <v>507</v>
      </c>
      <c r="C23" s="189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90">
        <f>MIN(N11:N16)</f>
        <v>0.41618528124569176</v>
      </c>
      <c r="O23" s="190">
        <f>MIN(O11:O16)</f>
        <v>4.1914329233553715</v>
      </c>
      <c r="P23" s="190">
        <f>MIN(P11:P16)</f>
        <v>4.2305353490400002</v>
      </c>
    </row>
    <row r="27" spans="1:16">
      <c r="B27" s="2" t="s">
        <v>508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66" t="s">
        <v>502</v>
      </c>
      <c r="O27" s="166" t="s">
        <v>503</v>
      </c>
      <c r="P27" s="166" t="s">
        <v>486</v>
      </c>
    </row>
    <row r="28" spans="1:16" ht="8.4" customHeight="1"/>
    <row r="29" spans="1:16">
      <c r="B29" s="131" t="s">
        <v>509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83">
        <f>N21*J12</f>
        <v>69242174506.151398</v>
      </c>
      <c r="O29" s="183">
        <f>O21*K12</f>
        <v>56061607172.077194</v>
      </c>
      <c r="P29" s="183">
        <f>P30+P31</f>
        <v>62780539287.64769</v>
      </c>
    </row>
    <row r="30" spans="1:16">
      <c r="B30" s="131" t="s">
        <v>49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83">
        <f>$G$12</f>
        <v>17220000000</v>
      </c>
      <c r="O30" s="183">
        <f t="shared" ref="O30:P30" si="5">$G$12</f>
        <v>17220000000</v>
      </c>
      <c r="P30" s="183">
        <f t="shared" si="5"/>
        <v>17220000000</v>
      </c>
    </row>
    <row r="31" spans="1:16">
      <c r="B31" s="131" t="s">
        <v>510</v>
      </c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83">
        <f>N29-N30</f>
        <v>52022174506.151398</v>
      </c>
      <c r="O31" s="183">
        <f>O29-O30</f>
        <v>38841607172.077194</v>
      </c>
      <c r="P31" s="183">
        <f>P21*L12</f>
        <v>45560539287.64769</v>
      </c>
    </row>
    <row r="32" spans="1:16">
      <c r="B32" s="131" t="s">
        <v>465</v>
      </c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84">
        <f>$E$12</f>
        <v>305391638</v>
      </c>
      <c r="O32" s="184">
        <f t="shared" ref="O32:P32" si="6">$E$12</f>
        <v>305391638</v>
      </c>
      <c r="P32" s="184">
        <f t="shared" si="6"/>
        <v>305391638</v>
      </c>
    </row>
    <row r="33" spans="1:16" ht="5.4" customHeight="1"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85"/>
      <c r="O33" s="185"/>
      <c r="P33" s="185"/>
    </row>
    <row r="34" spans="1:16">
      <c r="A34" s="5"/>
      <c r="B34" s="187" t="s">
        <v>511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8">
        <f t="shared" ref="N34:P34" si="7">N31/N32</f>
        <v>170.34577255239515</v>
      </c>
      <c r="O34" s="188">
        <f t="shared" si="7"/>
        <v>127.18621710289656</v>
      </c>
      <c r="P34" s="188">
        <f t="shared" si="7"/>
        <v>149.18725210035939</v>
      </c>
    </row>
    <row r="35" spans="1:16" ht="12.6" customHeight="1">
      <c r="B35" s="194" t="s">
        <v>512</v>
      </c>
    </row>
    <row r="36" spans="1:16">
      <c r="N36" s="193" t="str">
        <f>IF(N34&gt;D12,"Undervalued","Overvalued")</f>
        <v>Overvalued</v>
      </c>
      <c r="O36" s="193" t="str">
        <f t="shared" ref="O36:P36" si="8">IF(O34&gt;E12,"Undervalued","Overvalued")</f>
        <v>Overvalued</v>
      </c>
      <c r="P36" s="193" t="str">
        <f t="shared" si="8"/>
        <v>Overvalued</v>
      </c>
    </row>
  </sheetData>
  <mergeCells count="3">
    <mergeCell ref="J8:L8"/>
    <mergeCell ref="N8:P8"/>
    <mergeCell ref="D8:H8"/>
  </mergeCells>
  <pageMargins left="0.25" right="0.25" top="0.75" bottom="0.75" header="0.3" footer="0.3"/>
  <pageSetup paperSize="9" scale="6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6D99-CBEB-497D-8588-5F0EB97A578E}">
  <dimension ref="B2:D1260"/>
  <sheetViews>
    <sheetView showGridLines="0" workbookViewId="0">
      <selection activeCell="O25" sqref="O25"/>
    </sheetView>
  </sheetViews>
  <sheetFormatPr defaultRowHeight="14.4"/>
  <cols>
    <col min="1" max="1" width="1.88671875" customWidth="1"/>
    <col min="2" max="2" width="10.5546875" bestFit="1" customWidth="1"/>
    <col min="3" max="3" width="7" bestFit="1" customWidth="1"/>
    <col min="4" max="4" width="12.5546875" bestFit="1" customWidth="1"/>
  </cols>
  <sheetData>
    <row r="2" spans="2:4">
      <c r="B2" s="238" t="s">
        <v>537</v>
      </c>
      <c r="C2" s="238"/>
      <c r="D2" s="238"/>
    </row>
    <row r="3" spans="2:4">
      <c r="B3" t="s">
        <v>352</v>
      </c>
      <c r="C3" t="s">
        <v>418</v>
      </c>
      <c r="D3" t="s">
        <v>538</v>
      </c>
    </row>
    <row r="4" spans="2:4">
      <c r="B4" s="1">
        <v>43790</v>
      </c>
      <c r="C4">
        <v>70.52</v>
      </c>
      <c r="D4" s="53">
        <v>51262000</v>
      </c>
    </row>
    <row r="5" spans="2:4">
      <c r="B5" s="1">
        <v>43791</v>
      </c>
      <c r="C5">
        <v>70.75</v>
      </c>
      <c r="D5" s="53">
        <v>51831000</v>
      </c>
    </row>
    <row r="6" spans="2:4">
      <c r="B6" s="1">
        <v>43794</v>
      </c>
      <c r="C6">
        <v>70.42</v>
      </c>
      <c r="D6" s="53">
        <v>47604000</v>
      </c>
    </row>
    <row r="7" spans="2:4">
      <c r="B7" s="1">
        <v>43795</v>
      </c>
      <c r="C7">
        <v>71</v>
      </c>
      <c r="D7" s="53">
        <v>143000000</v>
      </c>
    </row>
    <row r="8" spans="2:4">
      <c r="B8" s="1">
        <v>43796</v>
      </c>
      <c r="C8">
        <v>71.39</v>
      </c>
      <c r="D8" s="53">
        <v>55042000</v>
      </c>
    </row>
    <row r="9" spans="2:4">
      <c r="B9" s="1">
        <v>43797</v>
      </c>
      <c r="C9">
        <v>71.75</v>
      </c>
      <c r="D9" s="53">
        <v>30755000</v>
      </c>
    </row>
    <row r="10" spans="2:4">
      <c r="B10" s="1">
        <v>43798</v>
      </c>
      <c r="C10">
        <v>71.849999999999994</v>
      </c>
      <c r="D10" s="53">
        <v>47467000</v>
      </c>
    </row>
    <row r="11" spans="2:4">
      <c r="B11" s="1">
        <v>43801</v>
      </c>
      <c r="C11">
        <v>71.569999999999993</v>
      </c>
      <c r="D11" s="53">
        <v>84398000</v>
      </c>
    </row>
    <row r="12" spans="2:4">
      <c r="B12" s="1">
        <v>43802</v>
      </c>
      <c r="C12">
        <v>71.739999999999995</v>
      </c>
      <c r="D12" s="53">
        <v>50578000</v>
      </c>
    </row>
    <row r="13" spans="2:4">
      <c r="B13" s="1">
        <v>43803</v>
      </c>
      <c r="C13">
        <v>71.959999999999994</v>
      </c>
      <c r="D13" s="53">
        <v>46022000</v>
      </c>
    </row>
    <row r="14" spans="2:4">
      <c r="B14" s="1">
        <v>43804</v>
      </c>
      <c r="C14">
        <v>71.540000000000006</v>
      </c>
      <c r="D14" s="53">
        <v>40907000</v>
      </c>
    </row>
    <row r="15" spans="2:4">
      <c r="B15" s="1">
        <v>43805</v>
      </c>
      <c r="C15">
        <v>72</v>
      </c>
      <c r="D15" s="53">
        <v>29749000</v>
      </c>
    </row>
    <row r="16" spans="2:4">
      <c r="B16" s="1">
        <v>43808</v>
      </c>
      <c r="C16">
        <v>71.89</v>
      </c>
      <c r="D16" s="53">
        <v>23383000</v>
      </c>
    </row>
    <row r="17" spans="2:4">
      <c r="B17" s="1">
        <v>43809</v>
      </c>
      <c r="C17">
        <v>71.959999999999994</v>
      </c>
      <c r="D17" s="53">
        <v>58119000</v>
      </c>
    </row>
    <row r="18" spans="2:4">
      <c r="B18" s="1">
        <v>43810</v>
      </c>
      <c r="C18">
        <v>71.94</v>
      </c>
      <c r="D18" s="53">
        <v>51804000</v>
      </c>
    </row>
    <row r="19" spans="2:4">
      <c r="B19" s="1">
        <v>43811</v>
      </c>
      <c r="C19">
        <v>71.25</v>
      </c>
      <c r="D19" s="53">
        <v>105000000</v>
      </c>
    </row>
    <row r="20" spans="2:4">
      <c r="B20" s="1">
        <v>43812</v>
      </c>
      <c r="C20">
        <v>69.91</v>
      </c>
      <c r="D20" s="53">
        <v>61971000</v>
      </c>
    </row>
    <row r="21" spans="2:4">
      <c r="B21" s="1">
        <v>43815</v>
      </c>
      <c r="C21">
        <v>69.180000000000007</v>
      </c>
      <c r="D21" s="53">
        <v>29256000</v>
      </c>
    </row>
    <row r="22" spans="2:4">
      <c r="B22" s="1">
        <v>43816</v>
      </c>
      <c r="C22">
        <v>69.510000000000005</v>
      </c>
      <c r="D22" s="53">
        <v>50824000</v>
      </c>
    </row>
    <row r="23" spans="2:4">
      <c r="B23" s="1">
        <v>43817</v>
      </c>
      <c r="C23">
        <v>69.319999999999993</v>
      </c>
      <c r="D23" s="53">
        <v>58380000</v>
      </c>
    </row>
    <row r="24" spans="2:4">
      <c r="B24" s="1">
        <v>43818</v>
      </c>
      <c r="C24">
        <v>68.63</v>
      </c>
      <c r="D24" s="53">
        <v>54861000</v>
      </c>
    </row>
    <row r="25" spans="2:4">
      <c r="B25" s="1">
        <v>43819</v>
      </c>
      <c r="C25">
        <v>67.53</v>
      </c>
      <c r="D25" s="53">
        <v>119000000</v>
      </c>
    </row>
    <row r="26" spans="2:4">
      <c r="B26" s="1">
        <v>43822</v>
      </c>
      <c r="C26">
        <v>67.680000000000007</v>
      </c>
      <c r="D26" s="53">
        <v>21332000</v>
      </c>
    </row>
    <row r="27" spans="2:4">
      <c r="B27" s="1">
        <v>43823</v>
      </c>
      <c r="C27">
        <v>67.599999999999994</v>
      </c>
      <c r="D27" s="53">
        <v>10864000</v>
      </c>
    </row>
    <row r="28" spans="2:4">
      <c r="B28" s="1">
        <v>43826</v>
      </c>
      <c r="C28">
        <v>67.7</v>
      </c>
      <c r="D28" s="53">
        <v>14490000</v>
      </c>
    </row>
    <row r="29" spans="2:4">
      <c r="B29" s="1">
        <v>43829</v>
      </c>
      <c r="C29">
        <v>67.599999999999994</v>
      </c>
      <c r="D29" s="53">
        <v>24041000</v>
      </c>
    </row>
    <row r="30" spans="2:4">
      <c r="B30" s="1">
        <v>43830</v>
      </c>
      <c r="C30">
        <v>67.06</v>
      </c>
      <c r="D30" s="53">
        <v>21309000</v>
      </c>
    </row>
    <row r="31" spans="2:4">
      <c r="B31" s="1">
        <v>43832</v>
      </c>
      <c r="C31">
        <v>67.010000000000005</v>
      </c>
      <c r="D31" s="53">
        <v>29436000</v>
      </c>
    </row>
    <row r="32" spans="2:4">
      <c r="B32" s="1">
        <v>43833</v>
      </c>
      <c r="C32">
        <v>66.47</v>
      </c>
      <c r="D32" s="53">
        <v>40503000</v>
      </c>
    </row>
    <row r="33" spans="2:4">
      <c r="B33" s="1">
        <v>43836</v>
      </c>
      <c r="C33">
        <v>66.97</v>
      </c>
      <c r="D33" s="53">
        <v>34852000</v>
      </c>
    </row>
    <row r="34" spans="2:4">
      <c r="B34" s="1">
        <v>43837</v>
      </c>
      <c r="C34">
        <v>66.77</v>
      </c>
      <c r="D34" s="53">
        <v>35736000</v>
      </c>
    </row>
    <row r="35" spans="2:4">
      <c r="B35" s="1">
        <v>43838</v>
      </c>
      <c r="C35">
        <v>67.22</v>
      </c>
      <c r="D35" s="53">
        <v>49844000</v>
      </c>
    </row>
    <row r="36" spans="2:4">
      <c r="B36" s="1">
        <v>43839</v>
      </c>
      <c r="C36">
        <v>67.760000000000005</v>
      </c>
      <c r="D36" s="53">
        <v>33008000</v>
      </c>
    </row>
    <row r="37" spans="2:4">
      <c r="B37" s="1">
        <v>43840</v>
      </c>
      <c r="C37">
        <v>67.98</v>
      </c>
      <c r="D37" s="53">
        <v>36516000</v>
      </c>
    </row>
    <row r="38" spans="2:4">
      <c r="B38" s="1">
        <v>43843</v>
      </c>
      <c r="C38">
        <v>67.88</v>
      </c>
      <c r="D38" s="53">
        <v>56479000</v>
      </c>
    </row>
    <row r="39" spans="2:4">
      <c r="B39" s="1">
        <v>43844</v>
      </c>
      <c r="C39">
        <v>66.709999999999994</v>
      </c>
      <c r="D39" s="53">
        <v>50327000</v>
      </c>
    </row>
    <row r="40" spans="2:4">
      <c r="B40" s="1">
        <v>43845</v>
      </c>
      <c r="C40">
        <v>67.06</v>
      </c>
      <c r="D40" s="53">
        <v>37997000</v>
      </c>
    </row>
    <row r="41" spans="2:4">
      <c r="B41" s="1">
        <v>43846</v>
      </c>
      <c r="C41">
        <v>67.39</v>
      </c>
      <c r="D41" s="53">
        <v>44492000</v>
      </c>
    </row>
    <row r="42" spans="2:4">
      <c r="B42" s="1">
        <v>43847</v>
      </c>
      <c r="C42">
        <v>68.12</v>
      </c>
      <c r="D42" s="53">
        <v>32147000</v>
      </c>
    </row>
    <row r="43" spans="2:4">
      <c r="B43" s="1">
        <v>43850</v>
      </c>
      <c r="C43">
        <v>68.099999999999994</v>
      </c>
      <c r="D43" s="53">
        <v>18086000</v>
      </c>
    </row>
    <row r="44" spans="2:4">
      <c r="B44" s="1">
        <v>43851</v>
      </c>
      <c r="C44">
        <v>68.599999999999994</v>
      </c>
      <c r="D44" s="53">
        <v>40757000</v>
      </c>
    </row>
    <row r="45" spans="2:4">
      <c r="B45" s="1">
        <v>43852</v>
      </c>
      <c r="C45">
        <v>68.599999999999994</v>
      </c>
      <c r="D45" s="53">
        <v>47433000</v>
      </c>
    </row>
    <row r="46" spans="2:4">
      <c r="B46" s="1">
        <v>43853</v>
      </c>
      <c r="C46">
        <v>69.05</v>
      </c>
      <c r="D46" s="53">
        <v>40257000</v>
      </c>
    </row>
    <row r="47" spans="2:4">
      <c r="B47" s="1">
        <v>43854</v>
      </c>
      <c r="C47">
        <v>69.12</v>
      </c>
      <c r="D47" s="53">
        <v>23766000</v>
      </c>
    </row>
    <row r="48" spans="2:4">
      <c r="B48" s="1">
        <v>43857</v>
      </c>
      <c r="C48">
        <v>68.47</v>
      </c>
      <c r="D48" s="53">
        <v>36924000</v>
      </c>
    </row>
    <row r="49" spans="2:4">
      <c r="B49" s="1">
        <v>43858</v>
      </c>
      <c r="C49">
        <v>69.63</v>
      </c>
      <c r="D49" s="53">
        <v>44882000</v>
      </c>
    </row>
    <row r="50" spans="2:4">
      <c r="B50" s="1">
        <v>43859</v>
      </c>
      <c r="C50">
        <v>69.319999999999993</v>
      </c>
      <c r="D50" s="53">
        <v>42017000</v>
      </c>
    </row>
    <row r="51" spans="2:4">
      <c r="B51" s="1">
        <v>43860</v>
      </c>
      <c r="C51">
        <v>69.3</v>
      </c>
      <c r="D51" s="53">
        <v>42472000</v>
      </c>
    </row>
    <row r="52" spans="2:4">
      <c r="B52" s="1">
        <v>43861</v>
      </c>
      <c r="C52">
        <v>69.62</v>
      </c>
      <c r="D52" s="53">
        <v>34500000</v>
      </c>
    </row>
    <row r="53" spans="2:4">
      <c r="B53" s="1">
        <v>43864</v>
      </c>
      <c r="C53">
        <v>69.47</v>
      </c>
      <c r="D53" s="53">
        <v>29775000</v>
      </c>
    </row>
    <row r="54" spans="2:4">
      <c r="B54" s="1">
        <v>43865</v>
      </c>
      <c r="C54">
        <v>69.53</v>
      </c>
      <c r="D54" s="53">
        <v>37086000</v>
      </c>
    </row>
    <row r="55" spans="2:4">
      <c r="B55" s="1">
        <v>43866</v>
      </c>
      <c r="C55">
        <v>69.69</v>
      </c>
      <c r="D55" s="53">
        <v>41160000</v>
      </c>
    </row>
    <row r="56" spans="2:4">
      <c r="B56" s="1">
        <v>43867</v>
      </c>
      <c r="C56">
        <v>69.8</v>
      </c>
      <c r="D56" s="53">
        <v>30514000</v>
      </c>
    </row>
    <row r="57" spans="2:4">
      <c r="B57" s="1">
        <v>43868</v>
      </c>
      <c r="C57">
        <v>70.63</v>
      </c>
      <c r="D57" s="53">
        <v>33616000</v>
      </c>
    </row>
    <row r="58" spans="2:4">
      <c r="B58" s="1">
        <v>43871</v>
      </c>
      <c r="C58">
        <v>70.39</v>
      </c>
      <c r="D58" s="53">
        <v>21993000</v>
      </c>
    </row>
    <row r="59" spans="2:4">
      <c r="B59" s="1">
        <v>43872</v>
      </c>
      <c r="C59">
        <v>71.010000000000005</v>
      </c>
      <c r="D59" s="53">
        <v>24846000</v>
      </c>
    </row>
    <row r="60" spans="2:4">
      <c r="B60" s="1">
        <v>43873</v>
      </c>
      <c r="C60">
        <v>70.62</v>
      </c>
      <c r="D60" s="53">
        <v>39734000</v>
      </c>
    </row>
    <row r="61" spans="2:4">
      <c r="B61" s="1">
        <v>43874</v>
      </c>
      <c r="C61">
        <v>70.47</v>
      </c>
      <c r="D61" s="53">
        <v>31940000</v>
      </c>
    </row>
    <row r="62" spans="2:4">
      <c r="B62" s="1">
        <v>43875</v>
      </c>
      <c r="C62">
        <v>70.77</v>
      </c>
      <c r="D62" s="53">
        <v>20310000</v>
      </c>
    </row>
    <row r="63" spans="2:4">
      <c r="B63" s="1">
        <v>43879</v>
      </c>
      <c r="C63">
        <v>71</v>
      </c>
      <c r="D63" s="53">
        <v>27421000</v>
      </c>
    </row>
    <row r="64" spans="2:4">
      <c r="B64" s="1">
        <v>43880</v>
      </c>
      <c r="C64">
        <v>71.16</v>
      </c>
      <c r="D64" s="53">
        <v>54529000</v>
      </c>
    </row>
    <row r="65" spans="2:4">
      <c r="B65" s="1">
        <v>43881</v>
      </c>
      <c r="C65">
        <v>69.98</v>
      </c>
      <c r="D65" s="53">
        <v>51872000</v>
      </c>
    </row>
    <row r="66" spans="2:4">
      <c r="B66" s="1">
        <v>43882</v>
      </c>
      <c r="C66">
        <v>69.819999999999993</v>
      </c>
      <c r="D66" s="53">
        <v>61837000</v>
      </c>
    </row>
    <row r="67" spans="2:4">
      <c r="B67" s="1">
        <v>43885</v>
      </c>
      <c r="C67">
        <v>69.16</v>
      </c>
      <c r="D67" s="53">
        <v>44929000</v>
      </c>
    </row>
    <row r="68" spans="2:4">
      <c r="B68" s="1">
        <v>43886</v>
      </c>
      <c r="C68">
        <v>69.61</v>
      </c>
      <c r="D68" s="53">
        <v>70325000</v>
      </c>
    </row>
    <row r="69" spans="2:4">
      <c r="B69" s="1">
        <v>43887</v>
      </c>
      <c r="C69">
        <v>69.010000000000005</v>
      </c>
      <c r="D69" s="53">
        <v>74245000</v>
      </c>
    </row>
    <row r="70" spans="2:4">
      <c r="B70" s="1">
        <v>43888</v>
      </c>
      <c r="C70">
        <v>69.45</v>
      </c>
      <c r="D70" s="53">
        <v>48859000</v>
      </c>
    </row>
    <row r="71" spans="2:4">
      <c r="B71" s="1">
        <v>43889</v>
      </c>
      <c r="C71">
        <v>68.88</v>
      </c>
      <c r="D71" s="53">
        <v>179000000</v>
      </c>
    </row>
    <row r="72" spans="2:4">
      <c r="B72" s="1">
        <v>43892</v>
      </c>
      <c r="C72">
        <v>66.86</v>
      </c>
      <c r="D72" s="53">
        <v>143000000</v>
      </c>
    </row>
    <row r="73" spans="2:4">
      <c r="B73" s="1">
        <v>43893</v>
      </c>
      <c r="C73">
        <v>67.41</v>
      </c>
      <c r="D73" s="53">
        <v>131000000</v>
      </c>
    </row>
    <row r="74" spans="2:4">
      <c r="B74" s="1">
        <v>43894</v>
      </c>
      <c r="C74">
        <v>69.81</v>
      </c>
      <c r="D74" s="53">
        <v>95382000</v>
      </c>
    </row>
    <row r="75" spans="2:4">
      <c r="B75" s="1">
        <v>43895</v>
      </c>
      <c r="C75">
        <v>71.13</v>
      </c>
      <c r="D75" s="53">
        <v>92413000</v>
      </c>
    </row>
    <row r="76" spans="2:4">
      <c r="B76" s="1">
        <v>43896</v>
      </c>
      <c r="C76">
        <v>71.239999999999995</v>
      </c>
      <c r="D76" s="53">
        <v>106000000</v>
      </c>
    </row>
    <row r="77" spans="2:4">
      <c r="B77" s="1">
        <v>43899</v>
      </c>
      <c r="C77">
        <v>67.36</v>
      </c>
      <c r="D77" s="53">
        <v>161000000</v>
      </c>
    </row>
    <row r="78" spans="2:4">
      <c r="B78" s="1">
        <v>43900</v>
      </c>
      <c r="C78">
        <v>68.5</v>
      </c>
      <c r="D78" s="53">
        <v>148000000</v>
      </c>
    </row>
    <row r="79" spans="2:4">
      <c r="B79" s="1">
        <v>43901</v>
      </c>
      <c r="C79">
        <v>67.62</v>
      </c>
      <c r="D79" s="53">
        <v>154000000</v>
      </c>
    </row>
    <row r="80" spans="2:4">
      <c r="B80" s="1">
        <v>43902</v>
      </c>
      <c r="C80">
        <v>65.180000000000007</v>
      </c>
      <c r="D80" s="53">
        <v>193000000</v>
      </c>
    </row>
    <row r="81" spans="2:4">
      <c r="B81" s="1">
        <v>43903</v>
      </c>
      <c r="C81">
        <v>61.2</v>
      </c>
      <c r="D81" s="53">
        <v>209000000</v>
      </c>
    </row>
    <row r="82" spans="2:4">
      <c r="B82" s="1">
        <v>43906</v>
      </c>
      <c r="C82">
        <v>60.01</v>
      </c>
      <c r="D82" s="53">
        <v>170000000</v>
      </c>
    </row>
    <row r="83" spans="2:4">
      <c r="B83" s="1">
        <v>43907</v>
      </c>
      <c r="C83">
        <v>66.86</v>
      </c>
      <c r="D83" s="53">
        <v>213000000</v>
      </c>
    </row>
    <row r="84" spans="2:4">
      <c r="B84" s="1">
        <v>43908</v>
      </c>
      <c r="C84">
        <v>68.22</v>
      </c>
      <c r="D84" s="53">
        <v>179000000</v>
      </c>
    </row>
    <row r="85" spans="2:4">
      <c r="B85" s="1">
        <v>43909</v>
      </c>
      <c r="C85">
        <v>67.55</v>
      </c>
      <c r="D85" s="53">
        <v>155000000</v>
      </c>
    </row>
    <row r="86" spans="2:4">
      <c r="B86" s="1">
        <v>43910</v>
      </c>
      <c r="C86">
        <v>67.27</v>
      </c>
      <c r="D86" s="53">
        <v>215000000</v>
      </c>
    </row>
    <row r="87" spans="2:4">
      <c r="B87" s="1">
        <v>43913</v>
      </c>
      <c r="C87">
        <v>66.72</v>
      </c>
      <c r="D87" s="53">
        <v>120000000</v>
      </c>
    </row>
    <row r="88" spans="2:4">
      <c r="B88" s="1">
        <v>43914</v>
      </c>
      <c r="C88">
        <v>61.79</v>
      </c>
      <c r="D88" s="53">
        <v>111000000</v>
      </c>
    </row>
    <row r="89" spans="2:4">
      <c r="B89" s="1">
        <v>43915</v>
      </c>
      <c r="C89">
        <v>63.58</v>
      </c>
      <c r="D89" s="53">
        <v>110000000</v>
      </c>
    </row>
    <row r="90" spans="2:4">
      <c r="B90" s="1">
        <v>43916</v>
      </c>
      <c r="C90">
        <v>67.760000000000005</v>
      </c>
      <c r="D90" s="53">
        <v>90722000</v>
      </c>
    </row>
    <row r="91" spans="2:4">
      <c r="B91" s="1">
        <v>43917</v>
      </c>
      <c r="C91">
        <v>67.87</v>
      </c>
      <c r="D91" s="53">
        <v>63040000</v>
      </c>
    </row>
    <row r="92" spans="2:4">
      <c r="B92" s="1">
        <v>43920</v>
      </c>
      <c r="C92">
        <v>68</v>
      </c>
      <c r="D92" s="53">
        <v>76988000</v>
      </c>
    </row>
    <row r="93" spans="2:4">
      <c r="B93" s="1">
        <v>43921</v>
      </c>
      <c r="C93">
        <v>68.38</v>
      </c>
      <c r="D93" s="53">
        <v>128000000</v>
      </c>
    </row>
    <row r="94" spans="2:4">
      <c r="B94" s="1">
        <v>43922</v>
      </c>
      <c r="C94">
        <v>71.069999999999993</v>
      </c>
      <c r="D94" s="53">
        <v>152000000</v>
      </c>
    </row>
    <row r="95" spans="2:4">
      <c r="B95" s="1">
        <v>43923</v>
      </c>
      <c r="C95">
        <v>71.319999999999993</v>
      </c>
      <c r="D95" s="53">
        <v>81601000</v>
      </c>
    </row>
    <row r="96" spans="2:4">
      <c r="B96" s="1">
        <v>43924</v>
      </c>
      <c r="C96">
        <v>71.17</v>
      </c>
      <c r="D96" s="53">
        <v>76999000</v>
      </c>
    </row>
    <row r="97" spans="2:4">
      <c r="B97" s="1">
        <v>43927</v>
      </c>
      <c r="C97">
        <v>74</v>
      </c>
      <c r="D97" s="53">
        <v>110000000</v>
      </c>
    </row>
    <row r="98" spans="2:4">
      <c r="B98" s="1">
        <v>43928</v>
      </c>
      <c r="C98">
        <v>75.569999999999993</v>
      </c>
      <c r="D98" s="53">
        <v>114000000</v>
      </c>
    </row>
    <row r="99" spans="2:4">
      <c r="B99" s="1">
        <v>43929</v>
      </c>
      <c r="C99">
        <v>75.790000000000006</v>
      </c>
      <c r="D99" s="53">
        <v>71238000</v>
      </c>
    </row>
    <row r="100" spans="2:4">
      <c r="B100" s="1">
        <v>43930</v>
      </c>
      <c r="C100">
        <v>74.849999999999994</v>
      </c>
      <c r="D100" s="53">
        <v>116000000</v>
      </c>
    </row>
    <row r="101" spans="2:4">
      <c r="B101" s="1">
        <v>43934</v>
      </c>
      <c r="C101">
        <v>71.81</v>
      </c>
      <c r="D101" s="53">
        <v>53266000</v>
      </c>
    </row>
    <row r="102" spans="2:4">
      <c r="B102" s="1">
        <v>43935</v>
      </c>
      <c r="C102">
        <v>72.959999999999994</v>
      </c>
      <c r="D102" s="53">
        <v>68951000</v>
      </c>
    </row>
    <row r="103" spans="2:4">
      <c r="B103" s="1">
        <v>43936</v>
      </c>
      <c r="C103">
        <v>73.209999999999994</v>
      </c>
      <c r="D103" s="53">
        <v>80193000</v>
      </c>
    </row>
    <row r="104" spans="2:4">
      <c r="B104" s="1">
        <v>43937</v>
      </c>
      <c r="C104">
        <v>73.7</v>
      </c>
      <c r="D104" s="53">
        <v>60256000</v>
      </c>
    </row>
    <row r="105" spans="2:4">
      <c r="B105" s="1">
        <v>43938</v>
      </c>
      <c r="C105">
        <v>74.599999999999994</v>
      </c>
      <c r="D105" s="53">
        <v>75529000</v>
      </c>
    </row>
    <row r="106" spans="2:4">
      <c r="B106" s="1">
        <v>43941</v>
      </c>
      <c r="C106">
        <v>73.3</v>
      </c>
      <c r="D106" s="53">
        <v>44583000</v>
      </c>
    </row>
    <row r="107" spans="2:4">
      <c r="B107" s="1">
        <v>43942</v>
      </c>
      <c r="C107">
        <v>73.819999999999993</v>
      </c>
      <c r="D107" s="53">
        <v>66927000</v>
      </c>
    </row>
    <row r="108" spans="2:4">
      <c r="B108" s="1">
        <v>43943</v>
      </c>
      <c r="C108">
        <v>72.97</v>
      </c>
      <c r="D108" s="53">
        <v>83203000</v>
      </c>
    </row>
    <row r="109" spans="2:4">
      <c r="B109" s="1">
        <v>43944</v>
      </c>
      <c r="C109">
        <v>74.47</v>
      </c>
      <c r="D109" s="53">
        <v>57022000</v>
      </c>
    </row>
    <row r="110" spans="2:4">
      <c r="B110" s="1">
        <v>43945</v>
      </c>
      <c r="C110">
        <v>74.31</v>
      </c>
      <c r="D110" s="53">
        <v>56796000</v>
      </c>
    </row>
    <row r="111" spans="2:4">
      <c r="B111" s="1">
        <v>43948</v>
      </c>
      <c r="C111">
        <v>75.25</v>
      </c>
      <c r="D111" s="53">
        <v>50137000</v>
      </c>
    </row>
    <row r="112" spans="2:4">
      <c r="B112" s="1">
        <v>43949</v>
      </c>
      <c r="C112">
        <v>75.14</v>
      </c>
      <c r="D112" s="53">
        <v>103000000</v>
      </c>
    </row>
    <row r="113" spans="2:4">
      <c r="B113" s="1">
        <v>43950</v>
      </c>
      <c r="C113">
        <v>74</v>
      </c>
      <c r="D113" s="53">
        <v>107000000</v>
      </c>
    </row>
    <row r="114" spans="2:4">
      <c r="B114" s="1">
        <v>43951</v>
      </c>
      <c r="C114">
        <v>70.75</v>
      </c>
      <c r="D114" s="53">
        <v>141000000</v>
      </c>
    </row>
    <row r="115" spans="2:4">
      <c r="B115" s="1">
        <v>43952</v>
      </c>
      <c r="C115">
        <v>68.03</v>
      </c>
      <c r="D115" s="53">
        <v>45469000</v>
      </c>
    </row>
    <row r="116" spans="2:4">
      <c r="B116" s="1">
        <v>43955</v>
      </c>
      <c r="C116">
        <v>68.33</v>
      </c>
      <c r="D116" s="53">
        <v>52861000</v>
      </c>
    </row>
    <row r="117" spans="2:4">
      <c r="B117" s="1">
        <v>43956</v>
      </c>
      <c r="C117">
        <v>67.77</v>
      </c>
      <c r="D117" s="53">
        <v>93220000</v>
      </c>
    </row>
    <row r="118" spans="2:4">
      <c r="B118" s="1">
        <v>43957</v>
      </c>
      <c r="C118">
        <v>69.25</v>
      </c>
      <c r="D118" s="53">
        <v>62093000</v>
      </c>
    </row>
    <row r="119" spans="2:4">
      <c r="B119" s="1">
        <v>43958</v>
      </c>
      <c r="C119">
        <v>68.510000000000005</v>
      </c>
      <c r="D119" s="53">
        <v>59384000</v>
      </c>
    </row>
    <row r="120" spans="2:4">
      <c r="B120" s="1">
        <v>43959</v>
      </c>
      <c r="C120">
        <v>67.7</v>
      </c>
      <c r="D120" s="53">
        <v>44662000</v>
      </c>
    </row>
    <row r="121" spans="2:4">
      <c r="B121" s="1">
        <v>43962</v>
      </c>
      <c r="C121">
        <v>69.290000000000006</v>
      </c>
      <c r="D121" s="53">
        <v>63704000</v>
      </c>
    </row>
    <row r="122" spans="2:4">
      <c r="B122" s="1">
        <v>43963</v>
      </c>
      <c r="C122">
        <v>71.55</v>
      </c>
      <c r="D122" s="53">
        <v>54342000</v>
      </c>
    </row>
    <row r="123" spans="2:4">
      <c r="B123" s="1">
        <v>43964</v>
      </c>
      <c r="C123">
        <v>69.989999999999995</v>
      </c>
      <c r="D123" s="53">
        <v>51133000</v>
      </c>
    </row>
    <row r="124" spans="2:4">
      <c r="B124" s="1">
        <v>43965</v>
      </c>
      <c r="C124">
        <v>67.680000000000007</v>
      </c>
      <c r="D124" s="53">
        <v>41116000</v>
      </c>
    </row>
    <row r="125" spans="2:4">
      <c r="B125" s="1">
        <v>43966</v>
      </c>
      <c r="C125">
        <v>67.790000000000006</v>
      </c>
      <c r="D125" s="53">
        <v>55754000</v>
      </c>
    </row>
    <row r="126" spans="2:4">
      <c r="B126" s="1">
        <v>43970</v>
      </c>
      <c r="C126">
        <v>68.489999999999995</v>
      </c>
      <c r="D126" s="53">
        <v>67945000</v>
      </c>
    </row>
    <row r="127" spans="2:4">
      <c r="B127" s="1">
        <v>43971</v>
      </c>
      <c r="C127">
        <v>69.19</v>
      </c>
      <c r="D127" s="53">
        <v>74604000</v>
      </c>
    </row>
    <row r="128" spans="2:4">
      <c r="B128" s="1">
        <v>43972</v>
      </c>
      <c r="C128">
        <v>67.599999999999994</v>
      </c>
      <c r="D128" s="53">
        <v>71937000</v>
      </c>
    </row>
    <row r="129" spans="2:4">
      <c r="B129" s="1">
        <v>43973</v>
      </c>
      <c r="C129">
        <v>67.05</v>
      </c>
      <c r="D129" s="53">
        <v>75508000</v>
      </c>
    </row>
    <row r="130" spans="2:4">
      <c r="B130" s="1">
        <v>43976</v>
      </c>
      <c r="C130">
        <v>66.73</v>
      </c>
      <c r="D130" s="53">
        <v>23571000</v>
      </c>
    </row>
    <row r="131" spans="2:4">
      <c r="B131" s="1">
        <v>43977</v>
      </c>
      <c r="C131">
        <v>67.44</v>
      </c>
      <c r="D131" s="53">
        <v>82665000</v>
      </c>
    </row>
    <row r="132" spans="2:4">
      <c r="B132" s="1">
        <v>43978</v>
      </c>
      <c r="C132">
        <v>67.2</v>
      </c>
      <c r="D132" s="53">
        <v>117000000</v>
      </c>
    </row>
    <row r="133" spans="2:4">
      <c r="B133" s="1">
        <v>43979</v>
      </c>
      <c r="C133">
        <v>66.69</v>
      </c>
      <c r="D133" s="53">
        <v>72470000</v>
      </c>
    </row>
    <row r="134" spans="2:4">
      <c r="B134" s="1">
        <v>43980</v>
      </c>
      <c r="C134">
        <v>68.09</v>
      </c>
      <c r="D134" s="53">
        <v>110000000</v>
      </c>
    </row>
    <row r="135" spans="2:4">
      <c r="B135" s="1">
        <v>43983</v>
      </c>
      <c r="C135">
        <v>68.19</v>
      </c>
      <c r="D135" s="53">
        <v>42820000</v>
      </c>
    </row>
    <row r="136" spans="2:4">
      <c r="B136" s="1">
        <v>43984</v>
      </c>
      <c r="C136">
        <v>67.2</v>
      </c>
      <c r="D136" s="53">
        <v>57380000</v>
      </c>
    </row>
    <row r="137" spans="2:4">
      <c r="B137" s="1">
        <v>43985</v>
      </c>
      <c r="C137">
        <v>68</v>
      </c>
      <c r="D137" s="53">
        <v>58722000</v>
      </c>
    </row>
    <row r="138" spans="2:4">
      <c r="B138" s="1">
        <v>43986</v>
      </c>
      <c r="C138">
        <v>67.81</v>
      </c>
      <c r="D138" s="53">
        <v>61259000</v>
      </c>
    </row>
    <row r="139" spans="2:4">
      <c r="B139" s="1">
        <v>43987</v>
      </c>
      <c r="C139">
        <v>67.98</v>
      </c>
      <c r="D139" s="53">
        <v>70743000</v>
      </c>
    </row>
    <row r="140" spans="2:4">
      <c r="B140" s="1">
        <v>43990</v>
      </c>
      <c r="C140">
        <v>67.47</v>
      </c>
      <c r="D140" s="53">
        <v>98700000</v>
      </c>
    </row>
    <row r="141" spans="2:4">
      <c r="B141" s="1">
        <v>43991</v>
      </c>
      <c r="C141">
        <v>66.27</v>
      </c>
      <c r="D141" s="53">
        <v>62967000</v>
      </c>
    </row>
    <row r="142" spans="2:4">
      <c r="B142" s="1">
        <v>43992</v>
      </c>
      <c r="C142">
        <v>66.08</v>
      </c>
      <c r="D142" s="53">
        <v>84963000</v>
      </c>
    </row>
    <row r="143" spans="2:4">
      <c r="B143" s="1">
        <v>43993</v>
      </c>
      <c r="C143">
        <v>66.42</v>
      </c>
      <c r="D143" s="53">
        <v>87075000</v>
      </c>
    </row>
    <row r="144" spans="2:4">
      <c r="B144" s="1">
        <v>43994</v>
      </c>
      <c r="C144">
        <v>66.239999999999995</v>
      </c>
      <c r="D144" s="53">
        <v>133000000</v>
      </c>
    </row>
    <row r="145" spans="2:4">
      <c r="B145" s="1">
        <v>43997</v>
      </c>
      <c r="C145">
        <v>65.95</v>
      </c>
      <c r="D145" s="53">
        <v>74549000</v>
      </c>
    </row>
    <row r="146" spans="2:4">
      <c r="B146" s="1">
        <v>43998</v>
      </c>
      <c r="C146">
        <v>67.06</v>
      </c>
      <c r="D146" s="53">
        <v>84753000</v>
      </c>
    </row>
    <row r="147" spans="2:4">
      <c r="B147" s="1">
        <v>43999</v>
      </c>
      <c r="C147">
        <v>66.88</v>
      </c>
      <c r="D147" s="53">
        <v>81407000</v>
      </c>
    </row>
    <row r="148" spans="2:4">
      <c r="B148" s="1">
        <v>44000</v>
      </c>
      <c r="C148">
        <v>66.12</v>
      </c>
      <c r="D148" s="53">
        <v>40516000</v>
      </c>
    </row>
    <row r="149" spans="2:4">
      <c r="B149" s="1">
        <v>44001</v>
      </c>
      <c r="C149">
        <v>66.7</v>
      </c>
      <c r="D149" s="53">
        <v>295000000</v>
      </c>
    </row>
    <row r="150" spans="2:4">
      <c r="B150" s="1">
        <v>44004</v>
      </c>
      <c r="C150">
        <v>67.13</v>
      </c>
      <c r="D150" s="53">
        <v>98326000</v>
      </c>
    </row>
    <row r="151" spans="2:4">
      <c r="B151" s="1">
        <v>44005</v>
      </c>
      <c r="C151">
        <v>66.75</v>
      </c>
      <c r="D151" s="53">
        <v>127000000</v>
      </c>
    </row>
    <row r="152" spans="2:4">
      <c r="B152" s="1">
        <v>44006</v>
      </c>
      <c r="C152">
        <v>65.16</v>
      </c>
      <c r="D152" s="53">
        <v>105000000</v>
      </c>
    </row>
    <row r="153" spans="2:4">
      <c r="B153" s="1">
        <v>44007</v>
      </c>
      <c r="C153">
        <v>66.150000000000006</v>
      </c>
      <c r="D153" s="53">
        <v>46519000</v>
      </c>
    </row>
    <row r="154" spans="2:4">
      <c r="B154" s="1">
        <v>44008</v>
      </c>
      <c r="C154">
        <v>66.64</v>
      </c>
      <c r="D154" s="53">
        <v>49538000</v>
      </c>
    </row>
    <row r="155" spans="2:4">
      <c r="B155" s="1">
        <v>44011</v>
      </c>
      <c r="C155">
        <v>65.489999999999995</v>
      </c>
      <c r="D155" s="53">
        <v>73535000</v>
      </c>
    </row>
    <row r="156" spans="2:4">
      <c r="B156" s="1">
        <v>44012</v>
      </c>
      <c r="C156">
        <v>67.06</v>
      </c>
      <c r="D156" s="53">
        <v>68385000</v>
      </c>
    </row>
    <row r="157" spans="2:4">
      <c r="B157" s="1">
        <v>44014</v>
      </c>
      <c r="C157">
        <v>66.62</v>
      </c>
      <c r="D157" s="53">
        <v>68402000</v>
      </c>
    </row>
    <row r="158" spans="2:4">
      <c r="B158" s="1">
        <v>44015</v>
      </c>
      <c r="C158">
        <v>66.819999999999993</v>
      </c>
      <c r="D158" s="53">
        <v>23753000</v>
      </c>
    </row>
    <row r="159" spans="2:4">
      <c r="B159" s="1">
        <v>44018</v>
      </c>
      <c r="C159">
        <v>66.88</v>
      </c>
      <c r="D159" s="53">
        <v>44833000</v>
      </c>
    </row>
    <row r="160" spans="2:4">
      <c r="B160" s="1">
        <v>44019</v>
      </c>
      <c r="C160">
        <v>67.22</v>
      </c>
      <c r="D160" s="53">
        <v>37237000</v>
      </c>
    </row>
    <row r="161" spans="2:4">
      <c r="B161" s="1">
        <v>44020</v>
      </c>
      <c r="C161">
        <v>67.25</v>
      </c>
      <c r="D161" s="53">
        <v>35479000</v>
      </c>
    </row>
    <row r="162" spans="2:4">
      <c r="B162" s="1">
        <v>44021</v>
      </c>
      <c r="C162">
        <v>66.81</v>
      </c>
      <c r="D162" s="53">
        <v>29201000</v>
      </c>
    </row>
    <row r="163" spans="2:4">
      <c r="B163" s="1">
        <v>44022</v>
      </c>
      <c r="C163">
        <v>66.959999999999994</v>
      </c>
      <c r="D163" s="53">
        <v>32791000</v>
      </c>
    </row>
    <row r="164" spans="2:4">
      <c r="B164" s="1">
        <v>44025</v>
      </c>
      <c r="C164">
        <v>67.42</v>
      </c>
      <c r="D164" s="53">
        <v>44269000</v>
      </c>
    </row>
    <row r="165" spans="2:4">
      <c r="B165" s="1">
        <v>44026</v>
      </c>
      <c r="C165">
        <v>67.87</v>
      </c>
      <c r="D165" s="53">
        <v>66907000</v>
      </c>
    </row>
    <row r="166" spans="2:4">
      <c r="B166" s="1">
        <v>44027</v>
      </c>
      <c r="C166">
        <v>68.69</v>
      </c>
      <c r="D166" s="53">
        <v>55839000</v>
      </c>
    </row>
    <row r="167" spans="2:4">
      <c r="B167" s="1">
        <v>44028</v>
      </c>
      <c r="C167">
        <v>69.14</v>
      </c>
      <c r="D167" s="53">
        <v>27112000</v>
      </c>
    </row>
    <row r="168" spans="2:4">
      <c r="B168" s="1">
        <v>44029</v>
      </c>
      <c r="C168">
        <v>69.540000000000006</v>
      </c>
      <c r="D168" s="53">
        <v>36799000</v>
      </c>
    </row>
    <row r="169" spans="2:4">
      <c r="B169" s="1">
        <v>44032</v>
      </c>
      <c r="C169">
        <v>70.540000000000006</v>
      </c>
      <c r="D169" s="53">
        <v>28252000</v>
      </c>
    </row>
    <row r="170" spans="2:4">
      <c r="B170" s="1">
        <v>44033</v>
      </c>
      <c r="C170">
        <v>70.19</v>
      </c>
      <c r="D170" s="53">
        <v>44948000</v>
      </c>
    </row>
    <row r="171" spans="2:4">
      <c r="B171" s="1">
        <v>44034</v>
      </c>
      <c r="C171">
        <v>68.989999999999995</v>
      </c>
      <c r="D171" s="53">
        <v>40025000</v>
      </c>
    </row>
    <row r="172" spans="2:4">
      <c r="B172" s="1">
        <v>44035</v>
      </c>
      <c r="C172">
        <v>69.23</v>
      </c>
      <c r="D172" s="53">
        <v>66520000</v>
      </c>
    </row>
    <row r="173" spans="2:4">
      <c r="B173" s="1">
        <v>44036</v>
      </c>
      <c r="C173">
        <v>69.53</v>
      </c>
      <c r="D173" s="53">
        <v>35744000</v>
      </c>
    </row>
    <row r="174" spans="2:4">
      <c r="B174" s="1">
        <v>44039</v>
      </c>
      <c r="C174">
        <v>68.790000000000006</v>
      </c>
      <c r="D174" s="53">
        <v>22245000</v>
      </c>
    </row>
    <row r="175" spans="2:4">
      <c r="B175" s="1">
        <v>44040</v>
      </c>
      <c r="C175">
        <v>69</v>
      </c>
      <c r="D175" s="53">
        <v>31005000</v>
      </c>
    </row>
    <row r="176" spans="2:4">
      <c r="B176" s="1">
        <v>44041</v>
      </c>
      <c r="C176">
        <v>69.12</v>
      </c>
      <c r="D176" s="53">
        <v>68720000</v>
      </c>
    </row>
    <row r="177" spans="2:4">
      <c r="B177" s="1">
        <v>44042</v>
      </c>
      <c r="C177">
        <v>69.599999999999994</v>
      </c>
      <c r="D177" s="53">
        <v>34126000</v>
      </c>
    </row>
    <row r="178" spans="2:4">
      <c r="B178" s="1">
        <v>44043</v>
      </c>
      <c r="C178">
        <v>69.55</v>
      </c>
      <c r="D178" s="53">
        <v>36046000</v>
      </c>
    </row>
    <row r="179" spans="2:4">
      <c r="B179" s="1">
        <v>44047</v>
      </c>
      <c r="C179">
        <v>69.849999999999994</v>
      </c>
      <c r="D179" s="53">
        <v>48375000</v>
      </c>
    </row>
    <row r="180" spans="2:4">
      <c r="B180" s="1">
        <v>44048</v>
      </c>
      <c r="C180">
        <v>69.790000000000006</v>
      </c>
      <c r="D180" s="53">
        <v>29750000</v>
      </c>
    </row>
    <row r="181" spans="2:4">
      <c r="B181" s="1">
        <v>44049</v>
      </c>
      <c r="C181">
        <v>69.56</v>
      </c>
      <c r="D181" s="53">
        <v>44622000</v>
      </c>
    </row>
    <row r="182" spans="2:4">
      <c r="B182" s="1">
        <v>44050</v>
      </c>
      <c r="C182">
        <v>69.91</v>
      </c>
      <c r="D182" s="53">
        <v>28957000</v>
      </c>
    </row>
    <row r="183" spans="2:4">
      <c r="B183" s="1">
        <v>44053</v>
      </c>
      <c r="C183">
        <v>69.91</v>
      </c>
      <c r="D183" s="53">
        <v>50921000</v>
      </c>
    </row>
    <row r="184" spans="2:4">
      <c r="B184" s="1">
        <v>44054</v>
      </c>
      <c r="C184">
        <v>69.760000000000005</v>
      </c>
      <c r="D184" s="53">
        <v>71000000</v>
      </c>
    </row>
    <row r="185" spans="2:4">
      <c r="B185" s="1">
        <v>44055</v>
      </c>
      <c r="C185">
        <v>70.31</v>
      </c>
      <c r="D185" s="53">
        <v>64736000</v>
      </c>
    </row>
    <row r="186" spans="2:4">
      <c r="B186" s="1">
        <v>44056</v>
      </c>
      <c r="C186">
        <v>70.13</v>
      </c>
      <c r="D186" s="53">
        <v>61187000</v>
      </c>
    </row>
    <row r="187" spans="2:4">
      <c r="B187" s="1">
        <v>44057</v>
      </c>
      <c r="C187">
        <v>70.88</v>
      </c>
      <c r="D187" s="53">
        <v>69675000</v>
      </c>
    </row>
    <row r="188" spans="2:4">
      <c r="B188" s="1">
        <v>44060</v>
      </c>
      <c r="C188">
        <v>70.78</v>
      </c>
      <c r="D188" s="53">
        <v>43378000</v>
      </c>
    </row>
    <row r="189" spans="2:4">
      <c r="B189" s="1">
        <v>44061</v>
      </c>
      <c r="C189">
        <v>70.81</v>
      </c>
      <c r="D189" s="53">
        <v>42942000</v>
      </c>
    </row>
    <row r="190" spans="2:4">
      <c r="B190" s="1">
        <v>44062</v>
      </c>
      <c r="C190">
        <v>70.89</v>
      </c>
      <c r="D190" s="53">
        <v>68875000</v>
      </c>
    </row>
    <row r="191" spans="2:4">
      <c r="B191" s="1">
        <v>44063</v>
      </c>
      <c r="C191">
        <v>70.790000000000006</v>
      </c>
      <c r="D191" s="53">
        <v>46151000</v>
      </c>
    </row>
    <row r="192" spans="2:4">
      <c r="B192" s="1">
        <v>44064</v>
      </c>
      <c r="C192">
        <v>70.760000000000005</v>
      </c>
      <c r="D192" s="53">
        <v>68890000</v>
      </c>
    </row>
    <row r="193" spans="2:4">
      <c r="B193" s="1">
        <v>44067</v>
      </c>
      <c r="C193">
        <v>71.09</v>
      </c>
      <c r="D193" s="53">
        <v>54746000</v>
      </c>
    </row>
    <row r="194" spans="2:4">
      <c r="B194" s="1">
        <v>44068</v>
      </c>
      <c r="C194">
        <v>71.040000000000006</v>
      </c>
      <c r="D194" s="53">
        <v>38209000</v>
      </c>
    </row>
    <row r="195" spans="2:4">
      <c r="B195" s="1">
        <v>44069</v>
      </c>
      <c r="C195">
        <v>70.34</v>
      </c>
      <c r="D195" s="53">
        <v>60515000</v>
      </c>
    </row>
    <row r="196" spans="2:4">
      <c r="B196" s="1">
        <v>44070</v>
      </c>
      <c r="C196">
        <v>69.69</v>
      </c>
      <c r="D196" s="53">
        <v>37460000</v>
      </c>
    </row>
    <row r="197" spans="2:4">
      <c r="B197" s="1">
        <v>44071</v>
      </c>
      <c r="C197">
        <v>69.709999999999994</v>
      </c>
      <c r="D197" s="53">
        <v>42266000</v>
      </c>
    </row>
    <row r="198" spans="2:4">
      <c r="B198" s="1">
        <v>44074</v>
      </c>
      <c r="C198">
        <v>68.400000000000006</v>
      </c>
      <c r="D198" s="53">
        <v>85414000</v>
      </c>
    </row>
    <row r="199" spans="2:4">
      <c r="B199" s="1">
        <v>44075</v>
      </c>
      <c r="C199">
        <v>67.03</v>
      </c>
      <c r="D199" s="53">
        <v>76386000</v>
      </c>
    </row>
    <row r="200" spans="2:4">
      <c r="B200" s="1">
        <v>44076</v>
      </c>
      <c r="C200">
        <v>67.209999999999994</v>
      </c>
      <c r="D200" s="53">
        <v>72861000</v>
      </c>
    </row>
    <row r="201" spans="2:4">
      <c r="B201" s="1">
        <v>44077</v>
      </c>
      <c r="C201">
        <v>68.8</v>
      </c>
      <c r="D201" s="53">
        <v>60696000</v>
      </c>
    </row>
    <row r="202" spans="2:4">
      <c r="B202" s="1">
        <v>44078</v>
      </c>
      <c r="C202">
        <v>68.099999999999994</v>
      </c>
      <c r="D202" s="53">
        <v>77820000</v>
      </c>
    </row>
    <row r="203" spans="2:4">
      <c r="B203" s="1">
        <v>44082</v>
      </c>
      <c r="C203">
        <v>66.849999999999994</v>
      </c>
      <c r="D203" s="53">
        <v>166000000</v>
      </c>
    </row>
    <row r="204" spans="2:4">
      <c r="B204" s="1">
        <v>44083</v>
      </c>
      <c r="C204">
        <v>67.19</v>
      </c>
      <c r="D204" s="53">
        <v>63999000</v>
      </c>
    </row>
    <row r="205" spans="2:4">
      <c r="B205" s="1">
        <v>44084</v>
      </c>
      <c r="C205">
        <v>68.599999999999994</v>
      </c>
      <c r="D205" s="53">
        <v>53730000</v>
      </c>
    </row>
    <row r="206" spans="2:4">
      <c r="B206" s="1">
        <v>44085</v>
      </c>
      <c r="C206">
        <v>68.81</v>
      </c>
      <c r="D206" s="53">
        <v>62653000</v>
      </c>
    </row>
    <row r="207" spans="2:4">
      <c r="B207" s="1">
        <v>44088</v>
      </c>
      <c r="C207">
        <v>68</v>
      </c>
      <c r="D207" s="53">
        <v>80493000</v>
      </c>
    </row>
    <row r="208" spans="2:4">
      <c r="B208" s="1">
        <v>44089</v>
      </c>
      <c r="C208">
        <v>68.489999999999995</v>
      </c>
      <c r="D208" s="53">
        <v>58818000</v>
      </c>
    </row>
    <row r="209" spans="2:4">
      <c r="B209" s="1">
        <v>44090</v>
      </c>
      <c r="C209">
        <v>68.64</v>
      </c>
      <c r="D209" s="53">
        <v>58961000</v>
      </c>
    </row>
    <row r="210" spans="2:4">
      <c r="B210" s="1">
        <v>44091</v>
      </c>
      <c r="C210">
        <v>67.180000000000007</v>
      </c>
      <c r="D210" s="53">
        <v>57778000</v>
      </c>
    </row>
    <row r="211" spans="2:4">
      <c r="B211" s="1">
        <v>44092</v>
      </c>
      <c r="C211">
        <v>68.22</v>
      </c>
      <c r="D211" s="53">
        <v>163000000</v>
      </c>
    </row>
    <row r="212" spans="2:4">
      <c r="B212" s="1">
        <v>44095</v>
      </c>
      <c r="C212">
        <v>67.5</v>
      </c>
      <c r="D212" s="53">
        <v>43752000</v>
      </c>
    </row>
    <row r="213" spans="2:4">
      <c r="B213" s="1">
        <v>44096</v>
      </c>
      <c r="C213">
        <v>68.14</v>
      </c>
      <c r="D213" s="53">
        <v>61860000</v>
      </c>
    </row>
    <row r="214" spans="2:4">
      <c r="B214" s="1">
        <v>44097</v>
      </c>
      <c r="C214">
        <v>69.900000000000006</v>
      </c>
      <c r="D214" s="53">
        <v>42986000</v>
      </c>
    </row>
    <row r="215" spans="2:4">
      <c r="B215" s="1">
        <v>44098</v>
      </c>
      <c r="C215">
        <v>69.489999999999995</v>
      </c>
      <c r="D215" s="53">
        <v>78108000</v>
      </c>
    </row>
    <row r="216" spans="2:4">
      <c r="B216" s="1">
        <v>44099</v>
      </c>
      <c r="C216">
        <v>69.95</v>
      </c>
      <c r="D216" s="53">
        <v>140000000</v>
      </c>
    </row>
    <row r="217" spans="2:4">
      <c r="B217" s="1">
        <v>44102</v>
      </c>
      <c r="C217">
        <v>70.73</v>
      </c>
      <c r="D217" s="53">
        <v>45337000</v>
      </c>
    </row>
    <row r="218" spans="2:4">
      <c r="B218" s="1">
        <v>44103</v>
      </c>
      <c r="C218">
        <v>70.599999999999994</v>
      </c>
      <c r="D218" s="53">
        <v>32618000</v>
      </c>
    </row>
    <row r="219" spans="2:4">
      <c r="B219" s="1">
        <v>44104</v>
      </c>
      <c r="C219">
        <v>70.319999999999993</v>
      </c>
      <c r="D219" s="53">
        <v>53334000</v>
      </c>
    </row>
    <row r="220" spans="2:4">
      <c r="B220" s="1">
        <v>44105</v>
      </c>
      <c r="C220">
        <v>69.73</v>
      </c>
      <c r="D220" s="53">
        <v>39411000</v>
      </c>
    </row>
    <row r="221" spans="2:4">
      <c r="B221" s="1">
        <v>44106</v>
      </c>
      <c r="C221">
        <v>69.260000000000005</v>
      </c>
      <c r="D221" s="53">
        <v>35059000</v>
      </c>
    </row>
    <row r="222" spans="2:4">
      <c r="B222" s="1">
        <v>44109</v>
      </c>
      <c r="C222">
        <v>69.19</v>
      </c>
      <c r="D222" s="53">
        <v>57416000</v>
      </c>
    </row>
    <row r="223" spans="2:4">
      <c r="B223" s="1">
        <v>44110</v>
      </c>
      <c r="C223">
        <v>69.55</v>
      </c>
      <c r="D223" s="53">
        <v>51358000</v>
      </c>
    </row>
    <row r="224" spans="2:4">
      <c r="B224" s="1">
        <v>44111</v>
      </c>
      <c r="C224">
        <v>69.75</v>
      </c>
      <c r="D224" s="53">
        <v>29538000</v>
      </c>
    </row>
    <row r="225" spans="2:4">
      <c r="B225" s="1">
        <v>44112</v>
      </c>
      <c r="C225">
        <v>69.48</v>
      </c>
      <c r="D225" s="53">
        <v>135000000</v>
      </c>
    </row>
    <row r="226" spans="2:4">
      <c r="B226" s="1">
        <v>44113</v>
      </c>
      <c r="C226">
        <v>69.38</v>
      </c>
      <c r="D226" s="53">
        <v>35434000</v>
      </c>
    </row>
    <row r="227" spans="2:4">
      <c r="B227" s="1">
        <v>44117</v>
      </c>
      <c r="C227">
        <v>69.709999999999994</v>
      </c>
      <c r="D227" s="53">
        <v>38834000</v>
      </c>
    </row>
    <row r="228" spans="2:4">
      <c r="B228" s="1">
        <v>44118</v>
      </c>
      <c r="C228">
        <v>68.78</v>
      </c>
      <c r="D228" s="53">
        <v>42816000</v>
      </c>
    </row>
    <row r="229" spans="2:4">
      <c r="B229" s="1">
        <v>44119</v>
      </c>
      <c r="C229">
        <v>68.569999999999993</v>
      </c>
      <c r="D229" s="53">
        <v>34025000</v>
      </c>
    </row>
    <row r="230" spans="2:4">
      <c r="B230" s="1">
        <v>44120</v>
      </c>
      <c r="C230">
        <v>69.319999999999993</v>
      </c>
      <c r="D230" s="53">
        <v>31387000</v>
      </c>
    </row>
    <row r="231" spans="2:4">
      <c r="B231" s="1">
        <v>44123</v>
      </c>
      <c r="C231">
        <v>69.37</v>
      </c>
      <c r="D231" s="53">
        <v>37959000</v>
      </c>
    </row>
    <row r="232" spans="2:4">
      <c r="B232" s="1">
        <v>44124</v>
      </c>
      <c r="C232">
        <v>68.62</v>
      </c>
      <c r="D232" s="53">
        <v>53073000</v>
      </c>
    </row>
    <row r="233" spans="2:4">
      <c r="B233" s="1">
        <v>44125</v>
      </c>
      <c r="C233">
        <v>68.45</v>
      </c>
      <c r="D233" s="53">
        <v>25852000</v>
      </c>
    </row>
    <row r="234" spans="2:4">
      <c r="B234" s="1">
        <v>44126</v>
      </c>
      <c r="C234">
        <v>68.459999999999994</v>
      </c>
      <c r="D234" s="53">
        <v>71419000</v>
      </c>
    </row>
    <row r="235" spans="2:4">
      <c r="B235" s="1">
        <v>44127</v>
      </c>
      <c r="C235">
        <v>67.849999999999994</v>
      </c>
      <c r="D235" s="53">
        <v>28191000</v>
      </c>
    </row>
    <row r="236" spans="2:4">
      <c r="B236" s="1">
        <v>44130</v>
      </c>
      <c r="C236">
        <v>67.48</v>
      </c>
      <c r="D236" s="53">
        <v>32845000</v>
      </c>
    </row>
    <row r="237" spans="2:4">
      <c r="B237" s="1">
        <v>44131</v>
      </c>
      <c r="C237">
        <v>67.19</v>
      </c>
      <c r="D237" s="53">
        <v>32253000</v>
      </c>
    </row>
    <row r="238" spans="2:4">
      <c r="B238" s="1">
        <v>44132</v>
      </c>
      <c r="C238">
        <v>66.88</v>
      </c>
      <c r="D238" s="53">
        <v>51296000</v>
      </c>
    </row>
    <row r="239" spans="2:4">
      <c r="B239" s="1">
        <v>44133</v>
      </c>
      <c r="C239">
        <v>67</v>
      </c>
      <c r="D239" s="53">
        <v>37327000</v>
      </c>
    </row>
    <row r="240" spans="2:4">
      <c r="B240" s="1">
        <v>44134</v>
      </c>
      <c r="C240">
        <v>66.650000000000006</v>
      </c>
      <c r="D240" s="53">
        <v>66393000</v>
      </c>
    </row>
    <row r="241" spans="2:4">
      <c r="B241" s="1">
        <v>44137</v>
      </c>
      <c r="C241">
        <v>66.760000000000005</v>
      </c>
      <c r="D241" s="53">
        <v>32427000</v>
      </c>
    </row>
    <row r="242" spans="2:4">
      <c r="B242" s="1">
        <v>44138</v>
      </c>
      <c r="C242">
        <v>66.17</v>
      </c>
      <c r="D242" s="53">
        <v>38044000</v>
      </c>
    </row>
    <row r="243" spans="2:4">
      <c r="B243" s="1">
        <v>44139</v>
      </c>
      <c r="C243">
        <v>66.2</v>
      </c>
      <c r="D243" s="53">
        <v>101000000</v>
      </c>
    </row>
    <row r="244" spans="2:4">
      <c r="B244" s="1">
        <v>44140</v>
      </c>
      <c r="C244">
        <v>66.23</v>
      </c>
      <c r="D244" s="53">
        <v>99739000</v>
      </c>
    </row>
    <row r="245" spans="2:4">
      <c r="B245" s="1">
        <v>44141</v>
      </c>
      <c r="C245">
        <v>65.86</v>
      </c>
      <c r="D245" s="53">
        <v>89477000</v>
      </c>
    </row>
    <row r="246" spans="2:4">
      <c r="B246" s="1">
        <v>44144</v>
      </c>
      <c r="C246">
        <v>67.25</v>
      </c>
      <c r="D246" s="53">
        <v>97603000</v>
      </c>
    </row>
    <row r="247" spans="2:4">
      <c r="B247" s="1">
        <v>44145</v>
      </c>
      <c r="C247">
        <v>66.02</v>
      </c>
      <c r="D247" s="53">
        <v>85671000</v>
      </c>
    </row>
    <row r="248" spans="2:4">
      <c r="B248" s="1">
        <v>44146</v>
      </c>
      <c r="C248">
        <v>66.040000000000006</v>
      </c>
      <c r="D248" s="53">
        <v>65351000</v>
      </c>
    </row>
    <row r="249" spans="2:4">
      <c r="B249" s="1">
        <v>44147</v>
      </c>
      <c r="C249">
        <v>67.94</v>
      </c>
      <c r="D249" s="53">
        <v>73645000</v>
      </c>
    </row>
    <row r="250" spans="2:4">
      <c r="B250" s="1">
        <v>44148</v>
      </c>
      <c r="C250">
        <v>67.2</v>
      </c>
      <c r="D250" s="53">
        <v>130000000</v>
      </c>
    </row>
    <row r="251" spans="2:4">
      <c r="B251" s="1">
        <v>44151</v>
      </c>
      <c r="C251">
        <v>65.7</v>
      </c>
      <c r="D251" s="53">
        <v>156000000</v>
      </c>
    </row>
    <row r="252" spans="2:4">
      <c r="B252" s="1">
        <v>44152</v>
      </c>
      <c r="C252">
        <v>65.099999999999994</v>
      </c>
      <c r="D252" s="53">
        <v>116000000</v>
      </c>
    </row>
    <row r="253" spans="2:4">
      <c r="B253" s="1">
        <v>44153</v>
      </c>
      <c r="C253">
        <v>65.150000000000006</v>
      </c>
      <c r="D253" s="53">
        <v>118000000</v>
      </c>
    </row>
    <row r="254" spans="2:4">
      <c r="B254" s="1">
        <v>44154</v>
      </c>
      <c r="C254">
        <v>64.08</v>
      </c>
      <c r="D254" s="53">
        <v>56032000</v>
      </c>
    </row>
    <row r="255" spans="2:4">
      <c r="B255" s="1">
        <v>44155</v>
      </c>
      <c r="C255">
        <v>64.400000000000006</v>
      </c>
      <c r="D255" s="53">
        <v>64988000</v>
      </c>
    </row>
    <row r="256" spans="2:4">
      <c r="B256" s="1">
        <v>44158</v>
      </c>
      <c r="C256">
        <v>64.510000000000005</v>
      </c>
      <c r="D256" s="53">
        <v>80917000</v>
      </c>
    </row>
    <row r="257" spans="2:4">
      <c r="B257" s="1">
        <v>44159</v>
      </c>
      <c r="C257">
        <v>64.91</v>
      </c>
      <c r="D257" s="53">
        <v>82811000</v>
      </c>
    </row>
    <row r="258" spans="2:4">
      <c r="B258" s="1">
        <v>44160</v>
      </c>
      <c r="C258">
        <v>64.349999999999994</v>
      </c>
      <c r="D258" s="53">
        <v>80427000</v>
      </c>
    </row>
    <row r="259" spans="2:4">
      <c r="B259" s="1">
        <v>44161</v>
      </c>
      <c r="C259">
        <v>64</v>
      </c>
      <c r="D259" s="53">
        <v>20271000</v>
      </c>
    </row>
    <row r="260" spans="2:4">
      <c r="B260" s="1">
        <v>44162</v>
      </c>
      <c r="C260">
        <v>64.03</v>
      </c>
      <c r="D260" s="53">
        <v>44131000</v>
      </c>
    </row>
    <row r="261" spans="2:4">
      <c r="B261" s="1">
        <v>44165</v>
      </c>
      <c r="C261">
        <v>64.599999999999994</v>
      </c>
      <c r="D261" s="53">
        <v>119000000</v>
      </c>
    </row>
    <row r="262" spans="2:4">
      <c r="B262" s="1">
        <v>44166</v>
      </c>
      <c r="C262">
        <v>64.37</v>
      </c>
      <c r="D262" s="53">
        <v>69216000</v>
      </c>
    </row>
    <row r="263" spans="2:4">
      <c r="B263" s="1">
        <v>44167</v>
      </c>
      <c r="C263">
        <v>63.5</v>
      </c>
      <c r="D263" s="53">
        <v>68880000</v>
      </c>
    </row>
    <row r="264" spans="2:4">
      <c r="B264" s="1">
        <v>44168</v>
      </c>
      <c r="C264">
        <v>63.43</v>
      </c>
      <c r="D264" s="53">
        <v>59094000</v>
      </c>
    </row>
    <row r="265" spans="2:4">
      <c r="B265" s="1">
        <v>44169</v>
      </c>
      <c r="C265">
        <v>64.09</v>
      </c>
      <c r="D265" s="53">
        <v>86035000</v>
      </c>
    </row>
    <row r="266" spans="2:4">
      <c r="B266" s="1">
        <v>44172</v>
      </c>
      <c r="C266">
        <v>63.56</v>
      </c>
      <c r="D266" s="53">
        <v>85896000</v>
      </c>
    </row>
    <row r="267" spans="2:4">
      <c r="B267" s="1">
        <v>44173</v>
      </c>
      <c r="C267">
        <v>63.14</v>
      </c>
      <c r="D267" s="53">
        <v>102000000</v>
      </c>
    </row>
    <row r="268" spans="2:4">
      <c r="B268" s="1">
        <v>44174</v>
      </c>
      <c r="C268">
        <v>64.28</v>
      </c>
      <c r="D268" s="53">
        <v>122000000</v>
      </c>
    </row>
    <row r="269" spans="2:4">
      <c r="B269" s="1">
        <v>44175</v>
      </c>
      <c r="C269">
        <v>65.680000000000007</v>
      </c>
      <c r="D269" s="53">
        <v>84857000</v>
      </c>
    </row>
    <row r="270" spans="2:4">
      <c r="B270" s="1">
        <v>44176</v>
      </c>
      <c r="C270">
        <v>65.25</v>
      </c>
      <c r="D270" s="53">
        <v>83461000</v>
      </c>
    </row>
    <row r="271" spans="2:4">
      <c r="B271" s="1">
        <v>44179</v>
      </c>
      <c r="C271">
        <v>65.239999999999995</v>
      </c>
      <c r="D271" s="53">
        <v>100000000</v>
      </c>
    </row>
    <row r="272" spans="2:4">
      <c r="B272" s="1">
        <v>44180</v>
      </c>
      <c r="C272">
        <v>65.22</v>
      </c>
      <c r="D272" s="53">
        <v>101000000</v>
      </c>
    </row>
    <row r="273" spans="2:4">
      <c r="B273" s="1">
        <v>44181</v>
      </c>
      <c r="C273">
        <v>65.52</v>
      </c>
      <c r="D273" s="53">
        <v>92815000</v>
      </c>
    </row>
    <row r="274" spans="2:4">
      <c r="B274" s="1">
        <v>44182</v>
      </c>
      <c r="C274">
        <v>65.58</v>
      </c>
      <c r="D274" s="53">
        <v>69030000</v>
      </c>
    </row>
    <row r="275" spans="2:4">
      <c r="B275" s="1">
        <v>44183</v>
      </c>
      <c r="C275">
        <v>64.67</v>
      </c>
      <c r="D275" s="53">
        <v>150000000</v>
      </c>
    </row>
    <row r="276" spans="2:4">
      <c r="B276" s="1">
        <v>44186</v>
      </c>
      <c r="C276">
        <v>64.5</v>
      </c>
      <c r="D276" s="53">
        <v>378000000</v>
      </c>
    </row>
    <row r="277" spans="2:4">
      <c r="B277" s="1">
        <v>44187</v>
      </c>
      <c r="C277">
        <v>64.099999999999994</v>
      </c>
      <c r="D277" s="53">
        <v>59611000</v>
      </c>
    </row>
    <row r="278" spans="2:4">
      <c r="B278" s="1">
        <v>44188</v>
      </c>
      <c r="C278">
        <v>64.12</v>
      </c>
      <c r="D278" s="53">
        <v>41920000</v>
      </c>
    </row>
    <row r="279" spans="2:4">
      <c r="B279" s="1">
        <v>44189</v>
      </c>
      <c r="C279">
        <v>63.57</v>
      </c>
      <c r="D279" s="53">
        <v>23542000</v>
      </c>
    </row>
    <row r="280" spans="2:4">
      <c r="B280" s="1">
        <v>44194</v>
      </c>
      <c r="C280">
        <v>63.67</v>
      </c>
      <c r="D280" s="53">
        <v>36037000</v>
      </c>
    </row>
    <row r="281" spans="2:4">
      <c r="B281" s="1">
        <v>44195</v>
      </c>
      <c r="C281">
        <v>63.52</v>
      </c>
      <c r="D281" s="53">
        <v>29288000</v>
      </c>
    </row>
    <row r="282" spans="2:4">
      <c r="B282" s="1">
        <v>44196</v>
      </c>
      <c r="C282">
        <v>63.06</v>
      </c>
      <c r="D282" s="53">
        <v>39341000</v>
      </c>
    </row>
    <row r="283" spans="2:4">
      <c r="B283" s="1">
        <v>44200</v>
      </c>
      <c r="C283">
        <v>63.01</v>
      </c>
      <c r="D283" s="53">
        <v>34094000</v>
      </c>
    </row>
    <row r="284" spans="2:4">
      <c r="B284" s="1">
        <v>44201</v>
      </c>
      <c r="C284">
        <v>63.49</v>
      </c>
      <c r="D284" s="53">
        <v>45314000</v>
      </c>
    </row>
    <row r="285" spans="2:4">
      <c r="B285" s="1">
        <v>44202</v>
      </c>
      <c r="C285">
        <v>63.52</v>
      </c>
      <c r="D285" s="53">
        <v>66148000</v>
      </c>
    </row>
    <row r="286" spans="2:4">
      <c r="B286" s="1">
        <v>44203</v>
      </c>
      <c r="C286">
        <v>64.62</v>
      </c>
      <c r="D286" s="53">
        <v>60314000</v>
      </c>
    </row>
    <row r="287" spans="2:4">
      <c r="B287" s="1">
        <v>44204</v>
      </c>
      <c r="C287">
        <v>64.2</v>
      </c>
      <c r="D287" s="53">
        <v>46950000</v>
      </c>
    </row>
    <row r="288" spans="2:4">
      <c r="B288" s="1">
        <v>44207</v>
      </c>
      <c r="C288">
        <v>65.260000000000005</v>
      </c>
      <c r="D288" s="53">
        <v>47685000</v>
      </c>
    </row>
    <row r="289" spans="2:4">
      <c r="B289" s="1">
        <v>44208</v>
      </c>
      <c r="C289">
        <v>64.34</v>
      </c>
      <c r="D289" s="53">
        <v>47829000</v>
      </c>
    </row>
    <row r="290" spans="2:4">
      <c r="B290" s="1">
        <v>44209</v>
      </c>
      <c r="C290">
        <v>64</v>
      </c>
      <c r="D290" s="53">
        <v>58432000</v>
      </c>
    </row>
    <row r="291" spans="2:4">
      <c r="B291" s="1">
        <v>44210</v>
      </c>
      <c r="C291">
        <v>63.52</v>
      </c>
      <c r="D291" s="53">
        <v>47249000</v>
      </c>
    </row>
    <row r="292" spans="2:4">
      <c r="B292" s="1">
        <v>44211</v>
      </c>
      <c r="C292">
        <v>63.47</v>
      </c>
      <c r="D292" s="53">
        <v>61576000</v>
      </c>
    </row>
    <row r="293" spans="2:4">
      <c r="B293" s="1">
        <v>44214</v>
      </c>
      <c r="C293">
        <v>64.459999999999994</v>
      </c>
      <c r="D293" s="53">
        <v>18781000</v>
      </c>
    </row>
    <row r="294" spans="2:4">
      <c r="B294" s="1">
        <v>44215</v>
      </c>
      <c r="C294">
        <v>63.98</v>
      </c>
      <c r="D294" s="53">
        <v>55642000</v>
      </c>
    </row>
    <row r="295" spans="2:4">
      <c r="B295" s="1">
        <v>44216</v>
      </c>
      <c r="C295">
        <v>63.63</v>
      </c>
      <c r="D295" s="53">
        <v>84362000</v>
      </c>
    </row>
    <row r="296" spans="2:4">
      <c r="B296" s="1">
        <v>44217</v>
      </c>
      <c r="C296">
        <v>63.24</v>
      </c>
      <c r="D296" s="53">
        <v>76562000</v>
      </c>
    </row>
    <row r="297" spans="2:4">
      <c r="B297" s="1">
        <v>44218</v>
      </c>
      <c r="C297">
        <v>63.44</v>
      </c>
      <c r="D297" s="53">
        <v>40696000</v>
      </c>
    </row>
    <row r="298" spans="2:4">
      <c r="B298" s="1">
        <v>44221</v>
      </c>
      <c r="C298">
        <v>63.35</v>
      </c>
      <c r="D298" s="53">
        <v>56321000</v>
      </c>
    </row>
    <row r="299" spans="2:4">
      <c r="B299" s="1">
        <v>44222</v>
      </c>
      <c r="C299">
        <v>64.25</v>
      </c>
      <c r="D299" s="53">
        <v>62500000</v>
      </c>
    </row>
    <row r="300" spans="2:4">
      <c r="B300" s="1">
        <v>44223</v>
      </c>
      <c r="C300">
        <v>64.150000000000006</v>
      </c>
      <c r="D300" s="53">
        <v>71320000</v>
      </c>
    </row>
    <row r="301" spans="2:4">
      <c r="B301" s="1">
        <v>44224</v>
      </c>
      <c r="C301">
        <v>63.58</v>
      </c>
      <c r="D301" s="53">
        <v>61346000</v>
      </c>
    </row>
    <row r="302" spans="2:4">
      <c r="B302" s="1">
        <v>44225</v>
      </c>
      <c r="C302">
        <v>63</v>
      </c>
      <c r="D302" s="53">
        <v>94197000</v>
      </c>
    </row>
    <row r="303" spans="2:4">
      <c r="B303" s="1">
        <v>44228</v>
      </c>
      <c r="C303">
        <v>61.8</v>
      </c>
      <c r="D303" s="53">
        <v>88047000</v>
      </c>
    </row>
    <row r="304" spans="2:4">
      <c r="B304" s="1">
        <v>44229</v>
      </c>
      <c r="C304">
        <v>63.11</v>
      </c>
      <c r="D304" s="53">
        <v>64323000</v>
      </c>
    </row>
    <row r="305" spans="2:4">
      <c r="B305" s="1">
        <v>44230</v>
      </c>
      <c r="C305">
        <v>62.65</v>
      </c>
      <c r="D305" s="53">
        <v>89794000</v>
      </c>
    </row>
    <row r="306" spans="2:4">
      <c r="B306" s="1">
        <v>44231</v>
      </c>
      <c r="C306">
        <v>61.84</v>
      </c>
      <c r="D306" s="53">
        <v>43926000</v>
      </c>
    </row>
    <row r="307" spans="2:4">
      <c r="B307" s="1">
        <v>44232</v>
      </c>
      <c r="C307">
        <v>62.14</v>
      </c>
      <c r="D307" s="53">
        <v>59018000</v>
      </c>
    </row>
    <row r="308" spans="2:4">
      <c r="B308" s="1">
        <v>44235</v>
      </c>
      <c r="C308">
        <v>62.04</v>
      </c>
      <c r="D308" s="53">
        <v>41734000</v>
      </c>
    </row>
    <row r="309" spans="2:4">
      <c r="B309" s="1">
        <v>44236</v>
      </c>
      <c r="C309">
        <v>62.11</v>
      </c>
      <c r="D309" s="53">
        <v>43572000</v>
      </c>
    </row>
    <row r="310" spans="2:4">
      <c r="B310" s="1">
        <v>44237</v>
      </c>
      <c r="C310">
        <v>62.6</v>
      </c>
      <c r="D310" s="53">
        <v>56143000</v>
      </c>
    </row>
    <row r="311" spans="2:4">
      <c r="B311" s="1">
        <v>44238</v>
      </c>
      <c r="C311">
        <v>62.23</v>
      </c>
      <c r="D311" s="53">
        <v>41119000</v>
      </c>
    </row>
    <row r="312" spans="2:4">
      <c r="B312" s="1">
        <v>44239</v>
      </c>
      <c r="C312">
        <v>62.04</v>
      </c>
      <c r="D312" s="53">
        <v>44049000</v>
      </c>
    </row>
    <row r="313" spans="2:4">
      <c r="B313" s="1">
        <v>44243</v>
      </c>
      <c r="C313">
        <v>62.76</v>
      </c>
      <c r="D313" s="53">
        <v>49167000</v>
      </c>
    </row>
    <row r="314" spans="2:4">
      <c r="B314" s="1">
        <v>44244</v>
      </c>
      <c r="C314">
        <v>62.57</v>
      </c>
      <c r="D314" s="53">
        <v>50064000</v>
      </c>
    </row>
    <row r="315" spans="2:4">
      <c r="B315" s="1">
        <v>44245</v>
      </c>
      <c r="C315">
        <v>62.12</v>
      </c>
      <c r="D315" s="53">
        <v>55307000</v>
      </c>
    </row>
    <row r="316" spans="2:4">
      <c r="B316" s="1">
        <v>44246</v>
      </c>
      <c r="C316">
        <v>62.12</v>
      </c>
      <c r="D316" s="53">
        <v>62147000</v>
      </c>
    </row>
    <row r="317" spans="2:4">
      <c r="B317" s="1">
        <v>44249</v>
      </c>
      <c r="C317">
        <v>61.81</v>
      </c>
      <c r="D317" s="53">
        <v>70584000</v>
      </c>
    </row>
    <row r="318" spans="2:4">
      <c r="B318" s="1">
        <v>44250</v>
      </c>
      <c r="C318">
        <v>61.62</v>
      </c>
      <c r="D318" s="53">
        <v>66126000</v>
      </c>
    </row>
    <row r="319" spans="2:4">
      <c r="B319" s="1">
        <v>44251</v>
      </c>
      <c r="C319">
        <v>61.67</v>
      </c>
      <c r="D319" s="53">
        <v>72713000</v>
      </c>
    </row>
    <row r="320" spans="2:4">
      <c r="B320" s="1">
        <v>44252</v>
      </c>
      <c r="C320">
        <v>61.3</v>
      </c>
      <c r="D320" s="53">
        <v>114000000</v>
      </c>
    </row>
    <row r="321" spans="2:4">
      <c r="B321" s="1">
        <v>44253</v>
      </c>
      <c r="C321">
        <v>62.6</v>
      </c>
      <c r="D321" s="53">
        <v>180000000</v>
      </c>
    </row>
    <row r="322" spans="2:4">
      <c r="B322" s="1">
        <v>44256</v>
      </c>
      <c r="C322">
        <v>61.89</v>
      </c>
      <c r="D322" s="53">
        <v>113000000</v>
      </c>
    </row>
    <row r="323" spans="2:4">
      <c r="B323" s="1">
        <v>44257</v>
      </c>
      <c r="C323">
        <v>61.81</v>
      </c>
      <c r="D323" s="53">
        <v>90491000</v>
      </c>
    </row>
    <row r="324" spans="2:4">
      <c r="B324" s="1">
        <v>44258</v>
      </c>
      <c r="C324">
        <v>62.57</v>
      </c>
      <c r="D324" s="53">
        <v>86626000</v>
      </c>
    </row>
    <row r="325" spans="2:4">
      <c r="B325" s="1">
        <v>44259</v>
      </c>
      <c r="C325">
        <v>62.77</v>
      </c>
      <c r="D325" s="53">
        <v>130000000</v>
      </c>
    </row>
    <row r="326" spans="2:4">
      <c r="B326" s="1">
        <v>44260</v>
      </c>
      <c r="C326">
        <v>64.13</v>
      </c>
      <c r="D326" s="53">
        <v>96999000</v>
      </c>
    </row>
    <row r="327" spans="2:4">
      <c r="B327" s="1">
        <v>44263</v>
      </c>
      <c r="C327">
        <v>64.739999999999995</v>
      </c>
      <c r="D327" s="53">
        <v>105000000</v>
      </c>
    </row>
    <row r="328" spans="2:4">
      <c r="B328" s="1">
        <v>44264</v>
      </c>
      <c r="C328">
        <v>65.180000000000007</v>
      </c>
      <c r="D328" s="53">
        <v>87778000</v>
      </c>
    </row>
    <row r="329" spans="2:4">
      <c r="B329" s="1">
        <v>44265</v>
      </c>
      <c r="C329">
        <v>65.48</v>
      </c>
      <c r="D329" s="53">
        <v>86760000</v>
      </c>
    </row>
    <row r="330" spans="2:4">
      <c r="B330" s="1">
        <v>44266</v>
      </c>
      <c r="C330">
        <v>65.95</v>
      </c>
      <c r="D330" s="53">
        <v>107000000</v>
      </c>
    </row>
    <row r="331" spans="2:4">
      <c r="B331" s="1">
        <v>44267</v>
      </c>
      <c r="C331">
        <v>65.56</v>
      </c>
      <c r="D331" s="53">
        <v>87442000</v>
      </c>
    </row>
    <row r="332" spans="2:4">
      <c r="B332" s="1">
        <v>44270</v>
      </c>
      <c r="C332">
        <v>65.709999999999994</v>
      </c>
      <c r="D332" s="53">
        <v>91205000</v>
      </c>
    </row>
    <row r="333" spans="2:4">
      <c r="B333" s="1">
        <v>44271</v>
      </c>
      <c r="C333">
        <v>66.3</v>
      </c>
      <c r="D333" s="53">
        <v>107000000</v>
      </c>
    </row>
    <row r="334" spans="2:4">
      <c r="B334" s="1">
        <v>44272</v>
      </c>
      <c r="C334">
        <v>67.38</v>
      </c>
      <c r="D334" s="53">
        <v>104000000</v>
      </c>
    </row>
    <row r="335" spans="2:4">
      <c r="B335" s="1">
        <v>44273</v>
      </c>
      <c r="C335">
        <v>66.64</v>
      </c>
      <c r="D335" s="53">
        <v>73706000</v>
      </c>
    </row>
    <row r="336" spans="2:4">
      <c r="B336" s="1">
        <v>44274</v>
      </c>
      <c r="C336">
        <v>66.41</v>
      </c>
      <c r="D336" s="53">
        <v>199000000</v>
      </c>
    </row>
    <row r="337" spans="2:4">
      <c r="B337" s="1">
        <v>44277</v>
      </c>
      <c r="C337">
        <v>66.56</v>
      </c>
      <c r="D337" s="53">
        <v>82364000</v>
      </c>
    </row>
    <row r="338" spans="2:4">
      <c r="B338" s="1">
        <v>44278</v>
      </c>
      <c r="C338">
        <v>67.27</v>
      </c>
      <c r="D338" s="53">
        <v>98912000</v>
      </c>
    </row>
    <row r="339" spans="2:4">
      <c r="B339" s="1">
        <v>44279</v>
      </c>
      <c r="C339">
        <v>69.14</v>
      </c>
      <c r="D339" s="53">
        <v>60948000</v>
      </c>
    </row>
    <row r="340" spans="2:4">
      <c r="B340" s="1">
        <v>44280</v>
      </c>
      <c r="C340">
        <v>69.069999999999993</v>
      </c>
      <c r="D340" s="53">
        <v>63118000</v>
      </c>
    </row>
    <row r="341" spans="2:4">
      <c r="B341" s="1">
        <v>44281</v>
      </c>
      <c r="C341">
        <v>68.150000000000006</v>
      </c>
      <c r="D341" s="53">
        <v>49961000</v>
      </c>
    </row>
    <row r="342" spans="2:4">
      <c r="B342" s="1">
        <v>44284</v>
      </c>
      <c r="C342">
        <v>68.38</v>
      </c>
      <c r="D342" s="53">
        <v>79091000</v>
      </c>
    </row>
    <row r="343" spans="2:4">
      <c r="B343" s="1">
        <v>44285</v>
      </c>
      <c r="C343">
        <v>69.87</v>
      </c>
      <c r="D343" s="53">
        <v>47105000</v>
      </c>
    </row>
    <row r="344" spans="2:4">
      <c r="B344" s="1">
        <v>44286</v>
      </c>
      <c r="C344">
        <v>69.97</v>
      </c>
      <c r="D344" s="53">
        <v>70180000</v>
      </c>
    </row>
    <row r="345" spans="2:4">
      <c r="B345" s="1">
        <v>44287</v>
      </c>
      <c r="C345">
        <v>70.319999999999993</v>
      </c>
      <c r="D345" s="53">
        <v>47495000</v>
      </c>
    </row>
    <row r="346" spans="2:4">
      <c r="B346" s="1">
        <v>44291</v>
      </c>
      <c r="C346">
        <v>70.36</v>
      </c>
      <c r="D346" s="53">
        <v>21212000</v>
      </c>
    </row>
    <row r="347" spans="2:4">
      <c r="B347" s="1">
        <v>44292</v>
      </c>
      <c r="C347">
        <v>70.709999999999994</v>
      </c>
      <c r="D347" s="53">
        <v>35077000</v>
      </c>
    </row>
    <row r="348" spans="2:4">
      <c r="B348" s="1">
        <v>44293</v>
      </c>
      <c r="C348">
        <v>71.2</v>
      </c>
      <c r="D348" s="53">
        <v>32776000</v>
      </c>
    </row>
    <row r="349" spans="2:4">
      <c r="B349" s="1">
        <v>44294</v>
      </c>
      <c r="C349">
        <v>71.09</v>
      </c>
      <c r="D349" s="53">
        <v>51957000</v>
      </c>
    </row>
    <row r="350" spans="2:4">
      <c r="B350" s="1">
        <v>44295</v>
      </c>
      <c r="C350">
        <v>70.22</v>
      </c>
      <c r="D350" s="53">
        <v>36024000</v>
      </c>
    </row>
    <row r="351" spans="2:4">
      <c r="B351" s="1">
        <v>44298</v>
      </c>
      <c r="C351">
        <v>70.16</v>
      </c>
      <c r="D351" s="53">
        <v>25690000</v>
      </c>
    </row>
    <row r="352" spans="2:4">
      <c r="B352" s="1">
        <v>44299</v>
      </c>
      <c r="C352">
        <v>70.489999999999995</v>
      </c>
      <c r="D352" s="53">
        <v>32619000</v>
      </c>
    </row>
    <row r="353" spans="2:4">
      <c r="B353" s="1">
        <v>44300</v>
      </c>
      <c r="C353">
        <v>69.510000000000005</v>
      </c>
      <c r="D353" s="53">
        <v>34186000</v>
      </c>
    </row>
    <row r="354" spans="2:4">
      <c r="B354" s="1">
        <v>44301</v>
      </c>
      <c r="C354">
        <v>69.069999999999993</v>
      </c>
      <c r="D354" s="53">
        <v>32622000</v>
      </c>
    </row>
    <row r="355" spans="2:4">
      <c r="B355" s="1">
        <v>44302</v>
      </c>
      <c r="C355">
        <v>70.02</v>
      </c>
      <c r="D355" s="53">
        <v>27316000</v>
      </c>
    </row>
    <row r="356" spans="2:4">
      <c r="B356" s="1">
        <v>44305</v>
      </c>
      <c r="C356">
        <v>69.81</v>
      </c>
      <c r="D356" s="53">
        <v>25100000</v>
      </c>
    </row>
    <row r="357" spans="2:4">
      <c r="B357" s="1">
        <v>44306</v>
      </c>
      <c r="C357">
        <v>69.900000000000006</v>
      </c>
      <c r="D357" s="53">
        <v>34822000</v>
      </c>
    </row>
    <row r="358" spans="2:4">
      <c r="B358" s="1">
        <v>44307</v>
      </c>
      <c r="C358">
        <v>70.63</v>
      </c>
      <c r="D358" s="53">
        <v>22640000</v>
      </c>
    </row>
    <row r="359" spans="2:4">
      <c r="B359" s="1">
        <v>44308</v>
      </c>
      <c r="C359">
        <v>70.11</v>
      </c>
      <c r="D359" s="53">
        <v>33242000</v>
      </c>
    </row>
    <row r="360" spans="2:4">
      <c r="B360" s="1">
        <v>44309</v>
      </c>
      <c r="C360">
        <v>70.11</v>
      </c>
      <c r="D360" s="53">
        <v>25103000</v>
      </c>
    </row>
    <row r="361" spans="2:4">
      <c r="B361" s="1">
        <v>44312</v>
      </c>
      <c r="C361">
        <v>69.150000000000006</v>
      </c>
      <c r="D361" s="53">
        <v>22413000</v>
      </c>
    </row>
    <row r="362" spans="2:4">
      <c r="B362" s="1">
        <v>44313</v>
      </c>
      <c r="C362">
        <v>69.23</v>
      </c>
      <c r="D362" s="53">
        <v>50191000</v>
      </c>
    </row>
    <row r="363" spans="2:4">
      <c r="B363" s="1">
        <v>44314</v>
      </c>
      <c r="C363">
        <v>68.62</v>
      </c>
      <c r="D363" s="53">
        <v>44441000</v>
      </c>
    </row>
    <row r="364" spans="2:4">
      <c r="B364" s="1">
        <v>44315</v>
      </c>
      <c r="C364">
        <v>68.400000000000006</v>
      </c>
      <c r="D364" s="53">
        <v>46246000</v>
      </c>
    </row>
    <row r="365" spans="2:4">
      <c r="B365" s="1">
        <v>44316</v>
      </c>
      <c r="C365">
        <v>68.22</v>
      </c>
      <c r="D365" s="53">
        <v>75136000</v>
      </c>
    </row>
    <row r="366" spans="2:4">
      <c r="B366" s="1">
        <v>44319</v>
      </c>
      <c r="C366">
        <v>68.45</v>
      </c>
      <c r="D366" s="53">
        <v>18275000</v>
      </c>
    </row>
    <row r="367" spans="2:4">
      <c r="B367" s="1">
        <v>44320</v>
      </c>
      <c r="C367">
        <v>68.06</v>
      </c>
      <c r="D367" s="53">
        <v>29937000</v>
      </c>
    </row>
    <row r="368" spans="2:4">
      <c r="B368" s="1">
        <v>44321</v>
      </c>
      <c r="C368">
        <v>68.5</v>
      </c>
      <c r="D368" s="53">
        <v>37438000</v>
      </c>
    </row>
    <row r="369" spans="2:4">
      <c r="B369" s="1">
        <v>44322</v>
      </c>
      <c r="C369">
        <v>70.09</v>
      </c>
      <c r="D369" s="53">
        <v>80343000</v>
      </c>
    </row>
    <row r="370" spans="2:4">
      <c r="B370" s="1">
        <v>44323</v>
      </c>
      <c r="C370">
        <v>70.05</v>
      </c>
      <c r="D370" s="53">
        <v>70041000</v>
      </c>
    </row>
    <row r="371" spans="2:4">
      <c r="B371" s="1">
        <v>44326</v>
      </c>
      <c r="C371">
        <v>70.38</v>
      </c>
      <c r="D371" s="53">
        <v>80401000</v>
      </c>
    </row>
    <row r="372" spans="2:4">
      <c r="B372" s="1">
        <v>44327</v>
      </c>
      <c r="C372">
        <v>71.209999999999994</v>
      </c>
      <c r="D372" s="53">
        <v>78460000</v>
      </c>
    </row>
    <row r="373" spans="2:4">
      <c r="B373" s="1">
        <v>44328</v>
      </c>
      <c r="C373">
        <v>71.180000000000007</v>
      </c>
      <c r="D373" s="53">
        <v>86573000</v>
      </c>
    </row>
    <row r="374" spans="2:4">
      <c r="B374" s="1">
        <v>44329</v>
      </c>
      <c r="C374">
        <v>71.34</v>
      </c>
      <c r="D374" s="53">
        <v>86902000</v>
      </c>
    </row>
    <row r="375" spans="2:4">
      <c r="B375" s="1">
        <v>44330</v>
      </c>
      <c r="C375">
        <v>71.900000000000006</v>
      </c>
      <c r="D375" s="53">
        <v>68588000</v>
      </c>
    </row>
    <row r="376" spans="2:4">
      <c r="B376" s="1">
        <v>44333</v>
      </c>
      <c r="C376">
        <v>71.91</v>
      </c>
      <c r="D376" s="53">
        <v>70721000</v>
      </c>
    </row>
    <row r="377" spans="2:4">
      <c r="B377" s="1">
        <v>44334</v>
      </c>
      <c r="C377">
        <v>72.19</v>
      </c>
      <c r="D377" s="53">
        <v>78440000</v>
      </c>
    </row>
    <row r="378" spans="2:4">
      <c r="B378" s="1">
        <v>44335</v>
      </c>
      <c r="C378">
        <v>72.150000000000006</v>
      </c>
      <c r="D378" s="53">
        <v>147000000</v>
      </c>
    </row>
    <row r="379" spans="2:4">
      <c r="B379" s="1">
        <v>44336</v>
      </c>
      <c r="C379">
        <v>73.930000000000007</v>
      </c>
      <c r="D379" s="53">
        <v>99709000</v>
      </c>
    </row>
    <row r="380" spans="2:4">
      <c r="B380" s="1">
        <v>44337</v>
      </c>
      <c r="C380">
        <v>74.36</v>
      </c>
      <c r="D380" s="53">
        <v>81231000</v>
      </c>
    </row>
    <row r="381" spans="2:4">
      <c r="B381" s="1">
        <v>44341</v>
      </c>
      <c r="C381">
        <v>74</v>
      </c>
      <c r="D381" s="53">
        <v>103000000</v>
      </c>
    </row>
    <row r="382" spans="2:4">
      <c r="B382" s="1">
        <v>44342</v>
      </c>
      <c r="C382">
        <v>74.91</v>
      </c>
      <c r="D382" s="53">
        <v>80874000</v>
      </c>
    </row>
    <row r="383" spans="2:4">
      <c r="B383" s="1">
        <v>44343</v>
      </c>
      <c r="C383">
        <v>75.16</v>
      </c>
      <c r="D383" s="53">
        <v>122000000</v>
      </c>
    </row>
    <row r="384" spans="2:4">
      <c r="B384" s="1">
        <v>44344</v>
      </c>
      <c r="C384">
        <v>74.23</v>
      </c>
      <c r="D384" s="53">
        <v>50833000</v>
      </c>
    </row>
    <row r="385" spans="2:4">
      <c r="B385" s="1">
        <v>44347</v>
      </c>
      <c r="C385">
        <v>74.36</v>
      </c>
      <c r="D385" s="53">
        <v>23532000</v>
      </c>
    </row>
    <row r="386" spans="2:4">
      <c r="B386" s="1">
        <v>44348</v>
      </c>
      <c r="C386">
        <v>74.069999999999993</v>
      </c>
      <c r="D386" s="53">
        <v>60148000</v>
      </c>
    </row>
    <row r="387" spans="2:4">
      <c r="B387" s="1">
        <v>44349</v>
      </c>
      <c r="C387">
        <v>74.94</v>
      </c>
      <c r="D387" s="53">
        <v>45485000</v>
      </c>
    </row>
    <row r="388" spans="2:4">
      <c r="B388" s="1">
        <v>44350</v>
      </c>
      <c r="C388">
        <v>74.5</v>
      </c>
      <c r="D388" s="53">
        <v>54807000</v>
      </c>
    </row>
    <row r="389" spans="2:4">
      <c r="B389" s="1">
        <v>44351</v>
      </c>
      <c r="C389">
        <v>74.91</v>
      </c>
      <c r="D389" s="53">
        <v>25365000</v>
      </c>
    </row>
    <row r="390" spans="2:4">
      <c r="B390" s="1">
        <v>44354</v>
      </c>
      <c r="C390">
        <v>75.08</v>
      </c>
      <c r="D390" s="53">
        <v>56501000</v>
      </c>
    </row>
    <row r="391" spans="2:4">
      <c r="B391" s="1">
        <v>44355</v>
      </c>
      <c r="C391">
        <v>75.5</v>
      </c>
      <c r="D391" s="53">
        <v>34719000</v>
      </c>
    </row>
    <row r="392" spans="2:4">
      <c r="B392" s="1">
        <v>44356</v>
      </c>
      <c r="C392">
        <v>75.64</v>
      </c>
      <c r="D392" s="53">
        <v>55463000</v>
      </c>
    </row>
    <row r="393" spans="2:4">
      <c r="B393" s="1">
        <v>44357</v>
      </c>
      <c r="C393">
        <v>75.69</v>
      </c>
      <c r="D393" s="53">
        <v>40326000</v>
      </c>
    </row>
    <row r="394" spans="2:4">
      <c r="B394" s="1">
        <v>44358</v>
      </c>
      <c r="C394">
        <v>76.11</v>
      </c>
      <c r="D394" s="53">
        <v>19471000</v>
      </c>
    </row>
    <row r="395" spans="2:4">
      <c r="B395" s="1">
        <v>44361</v>
      </c>
      <c r="C395">
        <v>75.510000000000005</v>
      </c>
      <c r="D395" s="53">
        <v>40738000</v>
      </c>
    </row>
    <row r="396" spans="2:4">
      <c r="B396" s="1">
        <v>44362</v>
      </c>
      <c r="C396">
        <v>75.8</v>
      </c>
      <c r="D396" s="53">
        <v>26376000</v>
      </c>
    </row>
    <row r="397" spans="2:4">
      <c r="B397" s="1">
        <v>44363</v>
      </c>
      <c r="C397">
        <v>76.05</v>
      </c>
      <c r="D397" s="53">
        <v>35101000</v>
      </c>
    </row>
    <row r="398" spans="2:4">
      <c r="B398" s="1">
        <v>44364</v>
      </c>
      <c r="C398">
        <v>75.459999999999994</v>
      </c>
      <c r="D398" s="53">
        <v>50557000</v>
      </c>
    </row>
    <row r="399" spans="2:4">
      <c r="B399" s="1">
        <v>44365</v>
      </c>
      <c r="C399">
        <v>75.41</v>
      </c>
      <c r="D399" s="53">
        <v>108000000</v>
      </c>
    </row>
    <row r="400" spans="2:4">
      <c r="B400" s="1">
        <v>44368</v>
      </c>
      <c r="C400">
        <v>74.83</v>
      </c>
      <c r="D400" s="53">
        <v>31451000</v>
      </c>
    </row>
    <row r="401" spans="2:4">
      <c r="B401" s="1">
        <v>44369</v>
      </c>
      <c r="C401">
        <v>75.19</v>
      </c>
      <c r="D401" s="53">
        <v>44840000</v>
      </c>
    </row>
    <row r="402" spans="2:4">
      <c r="B402" s="1">
        <v>44370</v>
      </c>
      <c r="C402">
        <v>75.78</v>
      </c>
      <c r="D402" s="53">
        <v>69233000</v>
      </c>
    </row>
    <row r="403" spans="2:4">
      <c r="B403" s="1">
        <v>44371</v>
      </c>
      <c r="C403">
        <v>75.84</v>
      </c>
      <c r="D403" s="53">
        <v>46572000</v>
      </c>
    </row>
    <row r="404" spans="2:4">
      <c r="B404" s="1">
        <v>44372</v>
      </c>
      <c r="C404">
        <v>76.11</v>
      </c>
      <c r="D404" s="53">
        <v>54270000</v>
      </c>
    </row>
    <row r="405" spans="2:4">
      <c r="B405" s="1">
        <v>44375</v>
      </c>
      <c r="C405">
        <v>75.959999999999994</v>
      </c>
      <c r="D405" s="53">
        <v>46474000</v>
      </c>
    </row>
    <row r="406" spans="2:4">
      <c r="B406" s="1">
        <v>44376</v>
      </c>
      <c r="C406">
        <v>76.06</v>
      </c>
      <c r="D406" s="53">
        <v>25955000</v>
      </c>
    </row>
    <row r="407" spans="2:4">
      <c r="B407" s="1">
        <v>44377</v>
      </c>
      <c r="C407">
        <v>76.33</v>
      </c>
      <c r="D407" s="53">
        <v>53647000</v>
      </c>
    </row>
    <row r="408" spans="2:4">
      <c r="B408" s="1">
        <v>44379</v>
      </c>
      <c r="C408">
        <v>76.63</v>
      </c>
      <c r="D408" s="53">
        <v>38238000</v>
      </c>
    </row>
    <row r="409" spans="2:4">
      <c r="B409" s="1">
        <v>44382</v>
      </c>
      <c r="C409">
        <v>77.099999999999994</v>
      </c>
      <c r="D409" s="53">
        <v>11851000</v>
      </c>
    </row>
    <row r="410" spans="2:4">
      <c r="B410" s="1">
        <v>44383</v>
      </c>
      <c r="C410">
        <v>76.790000000000006</v>
      </c>
      <c r="D410" s="53">
        <v>33822000</v>
      </c>
    </row>
    <row r="411" spans="2:4">
      <c r="B411" s="1">
        <v>44384</v>
      </c>
      <c r="C411">
        <v>76.14</v>
      </c>
      <c r="D411" s="53">
        <v>39670000</v>
      </c>
    </row>
    <row r="412" spans="2:4">
      <c r="B412" s="1">
        <v>44385</v>
      </c>
      <c r="C412">
        <v>77.099999999999994</v>
      </c>
      <c r="D412" s="53">
        <v>59746000</v>
      </c>
    </row>
    <row r="413" spans="2:4">
      <c r="B413" s="1">
        <v>44386</v>
      </c>
      <c r="C413">
        <v>78.33</v>
      </c>
      <c r="D413" s="53">
        <v>40606000</v>
      </c>
    </row>
    <row r="414" spans="2:4">
      <c r="B414" s="1">
        <v>44389</v>
      </c>
      <c r="C414">
        <v>78.5</v>
      </c>
      <c r="D414" s="53">
        <v>18817000</v>
      </c>
    </row>
    <row r="415" spans="2:4">
      <c r="B415" s="1">
        <v>44390</v>
      </c>
      <c r="C415">
        <v>78.44</v>
      </c>
      <c r="D415" s="53">
        <v>34042000</v>
      </c>
    </row>
    <row r="416" spans="2:4">
      <c r="B416" s="1">
        <v>44391</v>
      </c>
      <c r="C416">
        <v>78.680000000000007</v>
      </c>
      <c r="D416" s="53">
        <v>28918000</v>
      </c>
    </row>
    <row r="417" spans="2:4">
      <c r="B417" s="1">
        <v>44392</v>
      </c>
      <c r="C417">
        <v>78.48</v>
      </c>
      <c r="D417" s="53">
        <v>40095000</v>
      </c>
    </row>
    <row r="418" spans="2:4">
      <c r="B418" s="1">
        <v>44393</v>
      </c>
      <c r="C418">
        <v>79.349999999999994</v>
      </c>
      <c r="D418" s="53">
        <v>29018000</v>
      </c>
    </row>
    <row r="419" spans="2:4">
      <c r="B419" s="1">
        <v>44396</v>
      </c>
      <c r="C419">
        <v>80.08</v>
      </c>
      <c r="D419" s="53">
        <v>53889000</v>
      </c>
    </row>
    <row r="420" spans="2:4">
      <c r="B420" s="1">
        <v>44397</v>
      </c>
      <c r="C420">
        <v>80.44</v>
      </c>
      <c r="D420" s="53">
        <v>36501000</v>
      </c>
    </row>
    <row r="421" spans="2:4">
      <c r="B421" s="1">
        <v>44398</v>
      </c>
      <c r="C421">
        <v>80.33</v>
      </c>
      <c r="D421" s="53">
        <v>33478000</v>
      </c>
    </row>
    <row r="422" spans="2:4">
      <c r="B422" s="1">
        <v>44399</v>
      </c>
      <c r="C422">
        <v>79.16</v>
      </c>
      <c r="D422" s="53">
        <v>19304000</v>
      </c>
    </row>
    <row r="423" spans="2:4">
      <c r="B423" s="1">
        <v>44400</v>
      </c>
      <c r="C423">
        <v>79.45</v>
      </c>
      <c r="D423" s="53">
        <v>27269000</v>
      </c>
    </row>
    <row r="424" spans="2:4">
      <c r="B424" s="1">
        <v>44403</v>
      </c>
      <c r="C424">
        <v>80.25</v>
      </c>
      <c r="D424" s="53">
        <v>24150000</v>
      </c>
    </row>
    <row r="425" spans="2:4">
      <c r="B425" s="1">
        <v>44404</v>
      </c>
      <c r="C425">
        <v>81.34</v>
      </c>
      <c r="D425" s="53">
        <v>34748000</v>
      </c>
    </row>
    <row r="426" spans="2:4">
      <c r="B426" s="1">
        <v>44405</v>
      </c>
      <c r="C426">
        <v>81.02</v>
      </c>
      <c r="D426" s="53">
        <v>42099000</v>
      </c>
    </row>
    <row r="427" spans="2:4">
      <c r="B427" s="1">
        <v>44406</v>
      </c>
      <c r="C427">
        <v>82.33</v>
      </c>
      <c r="D427" s="53">
        <v>65523000</v>
      </c>
    </row>
    <row r="428" spans="2:4">
      <c r="B428" s="1">
        <v>44407</v>
      </c>
      <c r="C428">
        <v>83.95</v>
      </c>
      <c r="D428" s="53">
        <v>52086000</v>
      </c>
    </row>
    <row r="429" spans="2:4">
      <c r="B429" s="1">
        <v>44411</v>
      </c>
      <c r="C429">
        <v>84.44</v>
      </c>
      <c r="D429" s="53">
        <v>62970000</v>
      </c>
    </row>
    <row r="430" spans="2:4">
      <c r="B430" s="1">
        <v>44412</v>
      </c>
      <c r="C430">
        <v>86.5</v>
      </c>
      <c r="D430" s="53">
        <v>48962000</v>
      </c>
    </row>
    <row r="431" spans="2:4">
      <c r="B431" s="1">
        <v>44413</v>
      </c>
      <c r="C431">
        <v>86.49</v>
      </c>
      <c r="D431" s="53">
        <v>31102000</v>
      </c>
    </row>
    <row r="432" spans="2:4">
      <c r="B432" s="1">
        <v>44414</v>
      </c>
      <c r="C432">
        <v>85.33</v>
      </c>
      <c r="D432" s="53">
        <v>24555000</v>
      </c>
    </row>
    <row r="433" spans="2:4">
      <c r="B433" s="1">
        <v>44417</v>
      </c>
      <c r="C433">
        <v>85.66</v>
      </c>
      <c r="D433" s="53">
        <v>42153000</v>
      </c>
    </row>
    <row r="434" spans="2:4">
      <c r="B434" s="1">
        <v>44418</v>
      </c>
      <c r="C434">
        <v>85.74</v>
      </c>
      <c r="D434" s="53">
        <v>47630000</v>
      </c>
    </row>
    <row r="435" spans="2:4">
      <c r="B435" s="1">
        <v>44419</v>
      </c>
      <c r="C435">
        <v>86.15</v>
      </c>
      <c r="D435" s="53">
        <v>56510000</v>
      </c>
    </row>
    <row r="436" spans="2:4">
      <c r="B436" s="1">
        <v>44420</v>
      </c>
      <c r="C436">
        <v>85.94</v>
      </c>
      <c r="D436" s="53">
        <v>63435000</v>
      </c>
    </row>
    <row r="437" spans="2:4">
      <c r="B437" s="1">
        <v>44421</v>
      </c>
      <c r="C437">
        <v>86.6</v>
      </c>
      <c r="D437" s="53">
        <v>57319000</v>
      </c>
    </row>
    <row r="438" spans="2:4">
      <c r="B438" s="1">
        <v>44424</v>
      </c>
      <c r="C438">
        <v>86.93</v>
      </c>
      <c r="D438" s="53">
        <v>45039000</v>
      </c>
    </row>
    <row r="439" spans="2:4">
      <c r="B439" s="1">
        <v>44425</v>
      </c>
      <c r="C439">
        <v>87.21</v>
      </c>
      <c r="D439" s="53">
        <v>67429000</v>
      </c>
    </row>
    <row r="440" spans="2:4">
      <c r="B440" s="1">
        <v>44426</v>
      </c>
      <c r="C440">
        <v>87.36</v>
      </c>
      <c r="D440" s="53">
        <v>94736000</v>
      </c>
    </row>
    <row r="441" spans="2:4">
      <c r="B441" s="1">
        <v>44427</v>
      </c>
      <c r="C441">
        <v>87.32</v>
      </c>
      <c r="D441" s="53">
        <v>71628000</v>
      </c>
    </row>
    <row r="442" spans="2:4">
      <c r="B442" s="1">
        <v>44428</v>
      </c>
      <c r="C442">
        <v>88.98</v>
      </c>
      <c r="D442" s="53">
        <v>61310000</v>
      </c>
    </row>
    <row r="443" spans="2:4">
      <c r="B443" s="1">
        <v>44431</v>
      </c>
      <c r="C443">
        <v>88.91</v>
      </c>
      <c r="D443" s="53">
        <v>40139000</v>
      </c>
    </row>
    <row r="444" spans="2:4">
      <c r="B444" s="1">
        <v>44432</v>
      </c>
      <c r="C444">
        <v>88.5</v>
      </c>
      <c r="D444" s="53">
        <v>37696000</v>
      </c>
    </row>
    <row r="445" spans="2:4">
      <c r="B445" s="1">
        <v>44433</v>
      </c>
      <c r="C445">
        <v>88.8</v>
      </c>
      <c r="D445" s="53">
        <v>29869000</v>
      </c>
    </row>
    <row r="446" spans="2:4">
      <c r="B446" s="1">
        <v>44434</v>
      </c>
      <c r="C446">
        <v>88.77</v>
      </c>
      <c r="D446" s="53">
        <v>32261000</v>
      </c>
    </row>
    <row r="447" spans="2:4">
      <c r="B447" s="1">
        <v>44435</v>
      </c>
      <c r="C447">
        <v>88.65</v>
      </c>
      <c r="D447" s="53">
        <v>37994000</v>
      </c>
    </row>
    <row r="448" spans="2:4">
      <c r="B448" s="1">
        <v>44438</v>
      </c>
      <c r="C448">
        <v>88.03</v>
      </c>
      <c r="D448" s="53">
        <v>22275000</v>
      </c>
    </row>
    <row r="449" spans="2:4">
      <c r="B449" s="1">
        <v>44439</v>
      </c>
      <c r="C449">
        <v>88.8</v>
      </c>
      <c r="D449" s="53">
        <v>89276000</v>
      </c>
    </row>
    <row r="450" spans="2:4">
      <c r="B450" s="1">
        <v>44440</v>
      </c>
      <c r="C450">
        <v>89</v>
      </c>
      <c r="D450" s="53">
        <v>64065000</v>
      </c>
    </row>
    <row r="451" spans="2:4">
      <c r="B451" s="1">
        <v>44441</v>
      </c>
      <c r="C451">
        <v>89.25</v>
      </c>
      <c r="D451" s="53">
        <v>34341000</v>
      </c>
    </row>
    <row r="452" spans="2:4">
      <c r="B452" s="1">
        <v>44442</v>
      </c>
      <c r="C452">
        <v>89.6</v>
      </c>
      <c r="D452" s="53">
        <v>26327000</v>
      </c>
    </row>
    <row r="453" spans="2:4">
      <c r="B453" s="1">
        <v>44446</v>
      </c>
      <c r="C453">
        <v>89.74</v>
      </c>
      <c r="D453" s="53">
        <v>55135000</v>
      </c>
    </row>
    <row r="454" spans="2:4">
      <c r="B454" s="1">
        <v>44447</v>
      </c>
      <c r="C454">
        <v>89.82</v>
      </c>
      <c r="D454" s="53">
        <v>64970000</v>
      </c>
    </row>
    <row r="455" spans="2:4">
      <c r="B455" s="1">
        <v>44448</v>
      </c>
      <c r="C455">
        <v>91.85</v>
      </c>
      <c r="D455" s="53">
        <v>99812000</v>
      </c>
    </row>
    <row r="456" spans="2:4">
      <c r="B456" s="1">
        <v>44449</v>
      </c>
      <c r="C456">
        <v>91.18</v>
      </c>
      <c r="D456" s="53">
        <v>52172000</v>
      </c>
    </row>
    <row r="457" spans="2:4">
      <c r="B457" s="1">
        <v>44452</v>
      </c>
      <c r="C457">
        <v>90.78</v>
      </c>
      <c r="D457" s="53">
        <v>74348000</v>
      </c>
    </row>
    <row r="458" spans="2:4">
      <c r="B458" s="1">
        <v>44453</v>
      </c>
      <c r="C458">
        <v>88.1</v>
      </c>
      <c r="D458" s="53">
        <v>49893000</v>
      </c>
    </row>
    <row r="459" spans="2:4">
      <c r="B459" s="1">
        <v>44454</v>
      </c>
      <c r="C459">
        <v>87.57</v>
      </c>
      <c r="D459" s="53">
        <v>46665000</v>
      </c>
    </row>
    <row r="460" spans="2:4">
      <c r="B460" s="1">
        <v>44455</v>
      </c>
      <c r="C460">
        <v>87.85</v>
      </c>
      <c r="D460" s="53">
        <v>28032000</v>
      </c>
    </row>
    <row r="461" spans="2:4">
      <c r="B461" s="1">
        <v>44456</v>
      </c>
      <c r="C461">
        <v>87.03</v>
      </c>
      <c r="D461" s="53">
        <v>176000000</v>
      </c>
    </row>
    <row r="462" spans="2:4">
      <c r="B462" s="1">
        <v>44459</v>
      </c>
      <c r="C462">
        <v>84.9</v>
      </c>
      <c r="D462" s="53">
        <v>36814000</v>
      </c>
    </row>
    <row r="463" spans="2:4">
      <c r="B463" s="1">
        <v>44460</v>
      </c>
      <c r="C463">
        <v>85.62</v>
      </c>
      <c r="D463" s="53">
        <v>35213000</v>
      </c>
    </row>
    <row r="464" spans="2:4">
      <c r="B464" s="1">
        <v>44461</v>
      </c>
      <c r="C464">
        <v>86.38</v>
      </c>
      <c r="D464" s="53">
        <v>40959000</v>
      </c>
    </row>
    <row r="465" spans="2:4">
      <c r="B465" s="1">
        <v>44462</v>
      </c>
      <c r="C465">
        <v>86.06</v>
      </c>
      <c r="D465" s="53">
        <v>31726000</v>
      </c>
    </row>
    <row r="466" spans="2:4">
      <c r="B466" s="1">
        <v>44463</v>
      </c>
      <c r="C466">
        <v>85.06</v>
      </c>
      <c r="D466" s="53">
        <v>34713000</v>
      </c>
    </row>
    <row r="467" spans="2:4">
      <c r="B467" s="1">
        <v>44466</v>
      </c>
      <c r="C467">
        <v>85.42</v>
      </c>
      <c r="D467" s="53">
        <v>32969000</v>
      </c>
    </row>
    <row r="468" spans="2:4">
      <c r="B468" s="1">
        <v>44467</v>
      </c>
      <c r="C468">
        <v>84.01</v>
      </c>
      <c r="D468" s="53">
        <v>31661000</v>
      </c>
    </row>
    <row r="469" spans="2:4">
      <c r="B469" s="1">
        <v>44468</v>
      </c>
      <c r="C469">
        <v>84.75</v>
      </c>
      <c r="D469" s="53">
        <v>59802000</v>
      </c>
    </row>
    <row r="470" spans="2:4">
      <c r="B470" s="1">
        <v>44469</v>
      </c>
      <c r="C470">
        <v>85.87</v>
      </c>
      <c r="D470" s="53">
        <v>56934000</v>
      </c>
    </row>
    <row r="471" spans="2:4">
      <c r="B471" s="1">
        <v>44470</v>
      </c>
      <c r="C471">
        <v>87.28</v>
      </c>
      <c r="D471" s="53">
        <v>31408000</v>
      </c>
    </row>
    <row r="472" spans="2:4">
      <c r="B472" s="1">
        <v>44473</v>
      </c>
      <c r="C472">
        <v>86.2</v>
      </c>
      <c r="D472" s="53">
        <v>53074000</v>
      </c>
    </row>
    <row r="473" spans="2:4">
      <c r="B473" s="1">
        <v>44474</v>
      </c>
      <c r="C473">
        <v>87.86</v>
      </c>
      <c r="D473" s="53">
        <v>84412000</v>
      </c>
    </row>
    <row r="474" spans="2:4">
      <c r="B474" s="1">
        <v>44475</v>
      </c>
      <c r="C474">
        <v>89.56</v>
      </c>
      <c r="D474" s="53">
        <v>101000000</v>
      </c>
    </row>
    <row r="475" spans="2:4">
      <c r="B475" s="1">
        <v>44476</v>
      </c>
      <c r="C475">
        <v>90.58</v>
      </c>
      <c r="D475" s="53">
        <v>53834000</v>
      </c>
    </row>
    <row r="476" spans="2:4">
      <c r="B476" s="1">
        <v>44477</v>
      </c>
      <c r="C476">
        <v>90.83</v>
      </c>
      <c r="D476" s="53">
        <v>42890000</v>
      </c>
    </row>
    <row r="477" spans="2:4">
      <c r="B477" s="1">
        <v>44481</v>
      </c>
      <c r="C477">
        <v>89.51</v>
      </c>
      <c r="D477" s="53">
        <v>77601000</v>
      </c>
    </row>
    <row r="478" spans="2:4">
      <c r="B478" s="1">
        <v>44482</v>
      </c>
      <c r="C478">
        <v>90.5</v>
      </c>
      <c r="D478" s="53">
        <v>126000000</v>
      </c>
    </row>
    <row r="479" spans="2:4">
      <c r="B479" s="1">
        <v>44483</v>
      </c>
      <c r="C479">
        <v>92</v>
      </c>
      <c r="D479" s="53">
        <v>36144000</v>
      </c>
    </row>
    <row r="480" spans="2:4">
      <c r="B480" s="1">
        <v>44484</v>
      </c>
      <c r="C480">
        <v>91.07</v>
      </c>
      <c r="D480" s="53">
        <v>30893000</v>
      </c>
    </row>
    <row r="481" spans="2:4">
      <c r="B481" s="1">
        <v>44487</v>
      </c>
      <c r="C481">
        <v>92</v>
      </c>
      <c r="D481" s="53">
        <v>30568000</v>
      </c>
    </row>
    <row r="482" spans="2:4">
      <c r="B482" s="1">
        <v>44488</v>
      </c>
      <c r="C482">
        <v>93.12</v>
      </c>
      <c r="D482" s="53">
        <v>34617000</v>
      </c>
    </row>
    <row r="483" spans="2:4">
      <c r="B483" s="1">
        <v>44489</v>
      </c>
      <c r="C483">
        <v>91.61</v>
      </c>
      <c r="D483" s="53">
        <v>35673000</v>
      </c>
    </row>
    <row r="484" spans="2:4">
      <c r="B484" s="1">
        <v>44490</v>
      </c>
      <c r="C484">
        <v>91.6</v>
      </c>
      <c r="D484" s="53">
        <v>32717000</v>
      </c>
    </row>
    <row r="485" spans="2:4">
      <c r="B485" s="1">
        <v>44491</v>
      </c>
      <c r="C485">
        <v>93.37</v>
      </c>
      <c r="D485" s="53">
        <v>21777000</v>
      </c>
    </row>
    <row r="486" spans="2:4">
      <c r="B486" s="1">
        <v>44494</v>
      </c>
      <c r="C486">
        <v>94.11</v>
      </c>
      <c r="D486" s="53">
        <v>49164000</v>
      </c>
    </row>
    <row r="487" spans="2:4">
      <c r="B487" s="1">
        <v>44495</v>
      </c>
      <c r="C487">
        <v>95.28</v>
      </c>
      <c r="D487" s="53">
        <v>50070000</v>
      </c>
    </row>
    <row r="488" spans="2:4">
      <c r="B488" s="1">
        <v>44496</v>
      </c>
      <c r="C488">
        <v>94.58</v>
      </c>
      <c r="D488" s="53">
        <v>51047000</v>
      </c>
    </row>
    <row r="489" spans="2:4">
      <c r="B489" s="1">
        <v>44497</v>
      </c>
      <c r="C489">
        <v>92.88</v>
      </c>
      <c r="D489" s="53">
        <v>41389000</v>
      </c>
    </row>
    <row r="490" spans="2:4">
      <c r="B490" s="1">
        <v>44498</v>
      </c>
      <c r="C490">
        <v>93.04</v>
      </c>
      <c r="D490" s="53">
        <v>51314000</v>
      </c>
    </row>
    <row r="491" spans="2:4">
      <c r="B491" s="1">
        <v>44501</v>
      </c>
      <c r="C491">
        <v>93.2</v>
      </c>
      <c r="D491" s="53">
        <v>25185000</v>
      </c>
    </row>
    <row r="492" spans="2:4">
      <c r="B492" s="1">
        <v>44502</v>
      </c>
      <c r="C492">
        <v>93.28</v>
      </c>
      <c r="D492" s="53">
        <v>35194000</v>
      </c>
    </row>
    <row r="493" spans="2:4">
      <c r="B493" s="1">
        <v>44503</v>
      </c>
      <c r="C493">
        <v>94.88</v>
      </c>
      <c r="D493" s="53">
        <v>36753000</v>
      </c>
    </row>
    <row r="494" spans="2:4">
      <c r="B494" s="1">
        <v>44504</v>
      </c>
      <c r="C494">
        <v>93.9</v>
      </c>
      <c r="D494" s="53">
        <v>32860000</v>
      </c>
    </row>
    <row r="495" spans="2:4">
      <c r="B495" s="1">
        <v>44505</v>
      </c>
      <c r="C495">
        <v>95.66</v>
      </c>
      <c r="D495" s="53">
        <v>30114000</v>
      </c>
    </row>
    <row r="496" spans="2:4">
      <c r="B496" s="1">
        <v>44508</v>
      </c>
      <c r="C496">
        <v>95.37</v>
      </c>
      <c r="D496" s="53">
        <v>32170000</v>
      </c>
    </row>
    <row r="497" spans="2:4">
      <c r="B497" s="1">
        <v>44509</v>
      </c>
      <c r="C497">
        <v>96.31</v>
      </c>
      <c r="D497" s="53">
        <v>37376000</v>
      </c>
    </row>
    <row r="498" spans="2:4">
      <c r="B498" s="1">
        <v>44510</v>
      </c>
      <c r="C498">
        <v>96.94</v>
      </c>
      <c r="D498" s="53">
        <v>19219000</v>
      </c>
    </row>
    <row r="499" spans="2:4">
      <c r="B499" s="1">
        <v>44511</v>
      </c>
      <c r="C499">
        <v>97.59</v>
      </c>
      <c r="D499" s="53">
        <v>24252000</v>
      </c>
    </row>
    <row r="500" spans="2:4">
      <c r="B500" s="1">
        <v>44512</v>
      </c>
      <c r="C500">
        <v>98.42</v>
      </c>
      <c r="D500" s="53">
        <v>25635000</v>
      </c>
    </row>
    <row r="501" spans="2:4">
      <c r="B501" s="1">
        <v>44515</v>
      </c>
      <c r="C501">
        <v>98.29</v>
      </c>
      <c r="D501" s="53">
        <v>31963000</v>
      </c>
    </row>
    <row r="502" spans="2:4">
      <c r="B502" s="1">
        <v>44516</v>
      </c>
      <c r="C502">
        <v>98.3</v>
      </c>
      <c r="D502" s="53">
        <v>32194000</v>
      </c>
    </row>
    <row r="503" spans="2:4">
      <c r="B503" s="1">
        <v>44517</v>
      </c>
      <c r="C503">
        <v>98.69</v>
      </c>
      <c r="D503" s="53">
        <v>55665000</v>
      </c>
    </row>
    <row r="504" spans="2:4">
      <c r="B504" s="1">
        <v>44518</v>
      </c>
      <c r="C504">
        <v>96.8</v>
      </c>
      <c r="D504" s="53">
        <v>66634000</v>
      </c>
    </row>
    <row r="505" spans="2:4">
      <c r="B505" s="1">
        <v>44519</v>
      </c>
      <c r="C505">
        <v>98.25</v>
      </c>
      <c r="D505" s="53">
        <v>55971000</v>
      </c>
    </row>
    <row r="506" spans="2:4">
      <c r="B506" s="1">
        <v>44522</v>
      </c>
      <c r="C506">
        <v>98</v>
      </c>
      <c r="D506" s="53">
        <v>101000000</v>
      </c>
    </row>
    <row r="507" spans="2:4">
      <c r="B507" s="1">
        <v>44523</v>
      </c>
      <c r="C507">
        <v>95.44</v>
      </c>
      <c r="D507" s="53">
        <v>85380000</v>
      </c>
    </row>
    <row r="508" spans="2:4">
      <c r="B508" s="1">
        <v>44524</v>
      </c>
      <c r="C508">
        <v>97.56</v>
      </c>
      <c r="D508" s="53">
        <v>81764000</v>
      </c>
    </row>
    <row r="509" spans="2:4">
      <c r="B509" s="1">
        <v>44525</v>
      </c>
      <c r="C509">
        <v>96.41</v>
      </c>
      <c r="D509" s="53">
        <v>42789000</v>
      </c>
    </row>
    <row r="510" spans="2:4">
      <c r="B510" s="1">
        <v>44526</v>
      </c>
      <c r="C510">
        <v>97.2</v>
      </c>
      <c r="D510" s="53">
        <v>76269000</v>
      </c>
    </row>
    <row r="511" spans="2:4">
      <c r="B511" s="1">
        <v>44529</v>
      </c>
      <c r="C511">
        <v>96.66</v>
      </c>
      <c r="D511" s="53">
        <v>73809000</v>
      </c>
    </row>
    <row r="512" spans="2:4">
      <c r="B512" s="1">
        <v>44530</v>
      </c>
      <c r="C512">
        <v>97.7</v>
      </c>
      <c r="D512" s="53">
        <v>130000000</v>
      </c>
    </row>
    <row r="513" spans="2:4">
      <c r="B513" s="1">
        <v>44531</v>
      </c>
      <c r="C513">
        <v>96.57</v>
      </c>
      <c r="D513" s="53">
        <v>36153000</v>
      </c>
    </row>
    <row r="514" spans="2:4">
      <c r="B514" s="1">
        <v>44532</v>
      </c>
      <c r="C514">
        <v>95.53</v>
      </c>
      <c r="D514" s="53">
        <v>54736000</v>
      </c>
    </row>
    <row r="515" spans="2:4">
      <c r="B515" s="1">
        <v>44533</v>
      </c>
      <c r="C515">
        <v>97.65</v>
      </c>
      <c r="D515" s="53">
        <v>27450000</v>
      </c>
    </row>
    <row r="516" spans="2:4">
      <c r="B516" s="1">
        <v>44536</v>
      </c>
      <c r="C516">
        <v>97.52</v>
      </c>
      <c r="D516" s="53">
        <v>25772000</v>
      </c>
    </row>
    <row r="517" spans="2:4">
      <c r="B517" s="1">
        <v>44537</v>
      </c>
      <c r="C517">
        <v>98.33</v>
      </c>
      <c r="D517" s="53">
        <v>42164000</v>
      </c>
    </row>
    <row r="518" spans="2:4">
      <c r="B518" s="1">
        <v>44538</v>
      </c>
      <c r="C518">
        <v>97.7</v>
      </c>
      <c r="D518" s="53">
        <v>67745000</v>
      </c>
    </row>
    <row r="519" spans="2:4">
      <c r="B519" s="1">
        <v>44539</v>
      </c>
      <c r="C519">
        <v>97.15</v>
      </c>
      <c r="D519" s="53">
        <v>60673000</v>
      </c>
    </row>
    <row r="520" spans="2:4">
      <c r="B520" s="1">
        <v>44540</v>
      </c>
      <c r="C520">
        <v>98.63</v>
      </c>
      <c r="D520" s="53">
        <v>56350000</v>
      </c>
    </row>
    <row r="521" spans="2:4">
      <c r="B521" s="1">
        <v>44543</v>
      </c>
      <c r="C521">
        <v>98.75</v>
      </c>
      <c r="D521" s="53">
        <v>74515000</v>
      </c>
    </row>
    <row r="522" spans="2:4">
      <c r="B522" s="1">
        <v>44544</v>
      </c>
      <c r="C522">
        <v>99.02</v>
      </c>
      <c r="D522" s="53">
        <v>44947000</v>
      </c>
    </row>
    <row r="523" spans="2:4">
      <c r="B523" s="1">
        <v>44545</v>
      </c>
      <c r="C523">
        <v>101</v>
      </c>
      <c r="D523" s="53">
        <v>83332000</v>
      </c>
    </row>
    <row r="524" spans="2:4">
      <c r="B524" s="1">
        <v>44546</v>
      </c>
      <c r="C524">
        <v>102.37</v>
      </c>
      <c r="D524" s="53">
        <v>54219000</v>
      </c>
    </row>
    <row r="525" spans="2:4">
      <c r="B525" s="1">
        <v>44547</v>
      </c>
      <c r="C525">
        <v>102.96</v>
      </c>
      <c r="D525" s="53">
        <v>134000000</v>
      </c>
    </row>
    <row r="526" spans="2:4">
      <c r="B526" s="1">
        <v>44550</v>
      </c>
      <c r="C526">
        <v>103.41</v>
      </c>
      <c r="D526" s="53">
        <v>52914000</v>
      </c>
    </row>
    <row r="527" spans="2:4">
      <c r="B527" s="1">
        <v>44551</v>
      </c>
      <c r="C527">
        <v>103.14</v>
      </c>
      <c r="D527" s="53">
        <v>39539000</v>
      </c>
    </row>
    <row r="528" spans="2:4">
      <c r="B528" s="1">
        <v>44552</v>
      </c>
      <c r="C528">
        <v>103.14</v>
      </c>
      <c r="D528" s="53">
        <v>32052000</v>
      </c>
    </row>
    <row r="529" spans="2:4">
      <c r="B529" s="1">
        <v>44553</v>
      </c>
      <c r="C529">
        <v>103.46</v>
      </c>
      <c r="D529" s="53">
        <v>46670000</v>
      </c>
    </row>
    <row r="530" spans="2:4">
      <c r="B530" s="1">
        <v>44554</v>
      </c>
      <c r="C530">
        <v>103.48</v>
      </c>
      <c r="D530" s="53">
        <v>11265000</v>
      </c>
    </row>
    <row r="531" spans="2:4">
      <c r="B531" s="1">
        <v>44559</v>
      </c>
      <c r="C531">
        <v>103.6</v>
      </c>
      <c r="D531" s="53">
        <v>34917000</v>
      </c>
    </row>
    <row r="532" spans="2:4">
      <c r="B532" s="1">
        <v>44560</v>
      </c>
      <c r="C532">
        <v>104.44</v>
      </c>
      <c r="D532" s="53">
        <v>12605000</v>
      </c>
    </row>
    <row r="533" spans="2:4">
      <c r="B533" s="1">
        <v>44561</v>
      </c>
      <c r="C533">
        <v>103.65</v>
      </c>
      <c r="D533" s="53">
        <v>17873000</v>
      </c>
    </row>
    <row r="534" spans="2:4">
      <c r="B534" s="1">
        <v>44565</v>
      </c>
      <c r="C534">
        <v>103.35</v>
      </c>
      <c r="D534" s="53">
        <v>34264000</v>
      </c>
    </row>
    <row r="535" spans="2:4">
      <c r="B535" s="1">
        <v>44566</v>
      </c>
      <c r="C535">
        <v>102.51</v>
      </c>
      <c r="D535" s="53">
        <v>45328000</v>
      </c>
    </row>
    <row r="536" spans="2:4">
      <c r="B536" s="1">
        <v>44567</v>
      </c>
      <c r="C536">
        <v>102</v>
      </c>
      <c r="D536" s="53">
        <v>26914000</v>
      </c>
    </row>
    <row r="537" spans="2:4">
      <c r="B537" s="1">
        <v>44568</v>
      </c>
      <c r="C537">
        <v>103.34</v>
      </c>
      <c r="D537" s="53">
        <v>24617000</v>
      </c>
    </row>
    <row r="538" spans="2:4">
      <c r="B538" s="1">
        <v>44571</v>
      </c>
      <c r="C538">
        <v>101.12</v>
      </c>
      <c r="D538" s="53">
        <v>38777000</v>
      </c>
    </row>
    <row r="539" spans="2:4">
      <c r="B539" s="1">
        <v>44572</v>
      </c>
      <c r="C539">
        <v>101.41</v>
      </c>
      <c r="D539" s="53">
        <v>49213000</v>
      </c>
    </row>
    <row r="540" spans="2:4">
      <c r="B540" s="1">
        <v>44573</v>
      </c>
      <c r="C540">
        <v>101.02</v>
      </c>
      <c r="D540" s="53">
        <v>37863000</v>
      </c>
    </row>
    <row r="541" spans="2:4">
      <c r="B541" s="1">
        <v>44574</v>
      </c>
      <c r="C541">
        <v>101.09</v>
      </c>
      <c r="D541" s="53">
        <v>34627000</v>
      </c>
    </row>
    <row r="542" spans="2:4">
      <c r="B542" s="1">
        <v>44575</v>
      </c>
      <c r="C542">
        <v>100.25</v>
      </c>
      <c r="D542" s="53">
        <v>46375000</v>
      </c>
    </row>
    <row r="543" spans="2:4">
      <c r="B543" s="1">
        <v>44578</v>
      </c>
      <c r="C543">
        <v>99</v>
      </c>
      <c r="D543" s="53">
        <v>16016000</v>
      </c>
    </row>
    <row r="544" spans="2:4">
      <c r="B544" s="1">
        <v>44579</v>
      </c>
      <c r="C544">
        <v>98</v>
      </c>
      <c r="D544" s="53">
        <v>86647000</v>
      </c>
    </row>
    <row r="545" spans="2:4">
      <c r="B545" s="1">
        <v>44580</v>
      </c>
      <c r="C545">
        <v>96.57</v>
      </c>
      <c r="D545" s="53">
        <v>50713000</v>
      </c>
    </row>
    <row r="546" spans="2:4">
      <c r="B546" s="1">
        <v>44581</v>
      </c>
      <c r="C546">
        <v>95.73</v>
      </c>
      <c r="D546" s="53">
        <v>78433000</v>
      </c>
    </row>
    <row r="547" spans="2:4">
      <c r="B547" s="1">
        <v>44582</v>
      </c>
      <c r="C547">
        <v>93.12</v>
      </c>
      <c r="D547" s="53">
        <v>51156000</v>
      </c>
    </row>
    <row r="548" spans="2:4">
      <c r="B548" s="1">
        <v>44585</v>
      </c>
      <c r="C548">
        <v>92</v>
      </c>
      <c r="D548" s="53">
        <v>79028000</v>
      </c>
    </row>
    <row r="549" spans="2:4">
      <c r="B549" s="1">
        <v>44586</v>
      </c>
      <c r="C549">
        <v>92.46</v>
      </c>
      <c r="D549" s="53">
        <v>60233000</v>
      </c>
    </row>
    <row r="550" spans="2:4">
      <c r="B550" s="1">
        <v>44587</v>
      </c>
      <c r="C550">
        <v>94.17</v>
      </c>
      <c r="D550" s="53">
        <v>69587000</v>
      </c>
    </row>
    <row r="551" spans="2:4">
      <c r="B551" s="1">
        <v>44588</v>
      </c>
      <c r="C551">
        <v>96.36</v>
      </c>
      <c r="D551" s="53">
        <v>74751000</v>
      </c>
    </row>
    <row r="552" spans="2:4">
      <c r="B552" s="1">
        <v>44589</v>
      </c>
      <c r="C552">
        <v>98.1</v>
      </c>
      <c r="D552" s="53">
        <v>38181000</v>
      </c>
    </row>
    <row r="553" spans="2:4">
      <c r="B553" s="1">
        <v>44592</v>
      </c>
      <c r="C553">
        <v>97.43</v>
      </c>
      <c r="D553" s="53">
        <v>48205000</v>
      </c>
    </row>
    <row r="554" spans="2:4">
      <c r="B554" s="1">
        <v>44593</v>
      </c>
      <c r="C554">
        <v>98.67</v>
      </c>
      <c r="D554" s="53">
        <v>40825000</v>
      </c>
    </row>
    <row r="555" spans="2:4">
      <c r="B555" s="1">
        <v>44594</v>
      </c>
      <c r="C555">
        <v>97.75</v>
      </c>
      <c r="D555" s="53">
        <v>52431000</v>
      </c>
    </row>
    <row r="556" spans="2:4">
      <c r="B556" s="1">
        <v>44595</v>
      </c>
      <c r="C556">
        <v>100.77</v>
      </c>
      <c r="D556" s="53">
        <v>35239000</v>
      </c>
    </row>
    <row r="557" spans="2:4">
      <c r="B557" s="1">
        <v>44596</v>
      </c>
      <c r="C557">
        <v>101.25</v>
      </c>
      <c r="D557" s="53">
        <v>32247000</v>
      </c>
    </row>
    <row r="558" spans="2:4">
      <c r="B558" s="1">
        <v>44599</v>
      </c>
      <c r="C558">
        <v>100.8</v>
      </c>
      <c r="D558" s="53">
        <v>31095000</v>
      </c>
    </row>
    <row r="559" spans="2:4">
      <c r="B559" s="1">
        <v>44600</v>
      </c>
      <c r="C559">
        <v>100.86</v>
      </c>
      <c r="D559" s="53">
        <v>45582000</v>
      </c>
    </row>
    <row r="560" spans="2:4">
      <c r="B560" s="1">
        <v>44601</v>
      </c>
      <c r="C560">
        <v>101.64</v>
      </c>
      <c r="D560" s="53">
        <v>20024000</v>
      </c>
    </row>
    <row r="561" spans="2:4">
      <c r="B561" s="1">
        <v>44602</v>
      </c>
      <c r="C561">
        <v>100.86</v>
      </c>
      <c r="D561" s="53">
        <v>40990000</v>
      </c>
    </row>
    <row r="562" spans="2:4">
      <c r="B562" s="1">
        <v>44603</v>
      </c>
      <c r="C562">
        <v>100.99</v>
      </c>
      <c r="D562" s="53">
        <v>32722000</v>
      </c>
    </row>
    <row r="563" spans="2:4">
      <c r="B563" s="1">
        <v>44606</v>
      </c>
      <c r="C563">
        <v>101.04</v>
      </c>
      <c r="D563" s="53">
        <v>30259000</v>
      </c>
    </row>
    <row r="564" spans="2:4">
      <c r="B564" s="1">
        <v>44607</v>
      </c>
      <c r="C564">
        <v>101.05</v>
      </c>
      <c r="D564" s="53">
        <v>47505000</v>
      </c>
    </row>
    <row r="565" spans="2:4">
      <c r="B565" s="1">
        <v>44608</v>
      </c>
      <c r="C565">
        <v>99.4</v>
      </c>
      <c r="D565" s="53">
        <v>40652000</v>
      </c>
    </row>
    <row r="566" spans="2:4">
      <c r="B566" s="1">
        <v>44609</v>
      </c>
      <c r="C566">
        <v>99.01</v>
      </c>
      <c r="D566" s="53">
        <v>33221000</v>
      </c>
    </row>
    <row r="567" spans="2:4">
      <c r="B567" s="1">
        <v>44610</v>
      </c>
      <c r="C567">
        <v>99.11</v>
      </c>
      <c r="D567" s="53">
        <v>46024000</v>
      </c>
    </row>
    <row r="568" spans="2:4">
      <c r="B568" s="1">
        <v>44614</v>
      </c>
      <c r="C568">
        <v>97.5</v>
      </c>
      <c r="D568" s="53">
        <v>45386000</v>
      </c>
    </row>
    <row r="569" spans="2:4">
      <c r="B569" s="1">
        <v>44615</v>
      </c>
      <c r="C569">
        <v>97.67</v>
      </c>
      <c r="D569" s="53">
        <v>29710000</v>
      </c>
    </row>
    <row r="570" spans="2:4">
      <c r="B570" s="1">
        <v>44616</v>
      </c>
      <c r="C570">
        <v>95.12</v>
      </c>
      <c r="D570" s="53">
        <v>69449000</v>
      </c>
    </row>
    <row r="571" spans="2:4">
      <c r="B571" s="1">
        <v>44617</v>
      </c>
      <c r="C571">
        <v>99.57</v>
      </c>
      <c r="D571" s="53">
        <v>81031000</v>
      </c>
    </row>
    <row r="572" spans="2:4">
      <c r="B572" s="1">
        <v>44620</v>
      </c>
      <c r="C572">
        <v>99.92</v>
      </c>
      <c r="D572" s="53">
        <v>108000000</v>
      </c>
    </row>
    <row r="573" spans="2:4">
      <c r="B573" s="1">
        <v>44621</v>
      </c>
      <c r="C573">
        <v>98.84</v>
      </c>
      <c r="D573" s="53">
        <v>49722000</v>
      </c>
    </row>
    <row r="574" spans="2:4">
      <c r="B574" s="1">
        <v>44622</v>
      </c>
      <c r="C574">
        <v>98.13</v>
      </c>
      <c r="D574" s="53">
        <v>43905000</v>
      </c>
    </row>
    <row r="575" spans="2:4">
      <c r="B575" s="1">
        <v>44623</v>
      </c>
      <c r="C575">
        <v>99.58</v>
      </c>
      <c r="D575" s="53">
        <v>55680000</v>
      </c>
    </row>
    <row r="576" spans="2:4">
      <c r="B576" s="1">
        <v>44624</v>
      </c>
      <c r="C576">
        <v>101.01</v>
      </c>
      <c r="D576" s="53">
        <v>60144000</v>
      </c>
    </row>
    <row r="577" spans="2:4">
      <c r="B577" s="1">
        <v>44627</v>
      </c>
      <c r="C577">
        <v>105.41</v>
      </c>
      <c r="D577" s="53">
        <v>123000000</v>
      </c>
    </row>
    <row r="578" spans="2:4">
      <c r="B578" s="1">
        <v>44628</v>
      </c>
      <c r="C578">
        <v>110.5</v>
      </c>
      <c r="D578" s="53">
        <v>142000000</v>
      </c>
    </row>
    <row r="579" spans="2:4">
      <c r="B579" s="1">
        <v>44629</v>
      </c>
      <c r="C579">
        <v>113.01</v>
      </c>
      <c r="D579" s="53">
        <v>97504000</v>
      </c>
    </row>
    <row r="580" spans="2:4">
      <c r="B580" s="1">
        <v>44630</v>
      </c>
      <c r="C580">
        <v>111.54</v>
      </c>
      <c r="D580" s="53">
        <v>98496000</v>
      </c>
    </row>
    <row r="581" spans="2:4">
      <c r="B581" s="1">
        <v>44631</v>
      </c>
      <c r="C581">
        <v>115.1</v>
      </c>
      <c r="D581" s="53">
        <v>81938000</v>
      </c>
    </row>
    <row r="582" spans="2:4">
      <c r="B582" s="1">
        <v>44634</v>
      </c>
      <c r="C582">
        <v>113.64</v>
      </c>
      <c r="D582" s="53">
        <v>79563000</v>
      </c>
    </row>
    <row r="583" spans="2:4">
      <c r="B583" s="1">
        <v>44635</v>
      </c>
      <c r="C583">
        <v>114.59</v>
      </c>
      <c r="D583" s="53">
        <v>105000000</v>
      </c>
    </row>
    <row r="584" spans="2:4">
      <c r="B584" s="1">
        <v>44636</v>
      </c>
      <c r="C584">
        <v>112.78</v>
      </c>
      <c r="D584" s="53">
        <v>101000000</v>
      </c>
    </row>
    <row r="585" spans="2:4">
      <c r="B585" s="1">
        <v>44637</v>
      </c>
      <c r="C585">
        <v>114</v>
      </c>
      <c r="D585" s="53">
        <v>65174000</v>
      </c>
    </row>
    <row r="586" spans="2:4">
      <c r="B586" s="1">
        <v>44638</v>
      </c>
      <c r="C586">
        <v>113</v>
      </c>
      <c r="D586" s="53">
        <v>248000000</v>
      </c>
    </row>
    <row r="587" spans="2:4">
      <c r="B587" s="1">
        <v>44641</v>
      </c>
      <c r="C587">
        <v>111.22</v>
      </c>
      <c r="D587" s="53">
        <v>35539000</v>
      </c>
    </row>
    <row r="588" spans="2:4">
      <c r="B588" s="1">
        <v>44642</v>
      </c>
      <c r="C588">
        <v>110.5</v>
      </c>
      <c r="D588" s="53">
        <v>42922000</v>
      </c>
    </row>
    <row r="589" spans="2:4">
      <c r="B589" s="1">
        <v>44643</v>
      </c>
      <c r="C589">
        <v>110.11</v>
      </c>
      <c r="D589" s="53">
        <v>71620000</v>
      </c>
    </row>
    <row r="590" spans="2:4">
      <c r="B590" s="1">
        <v>44644</v>
      </c>
      <c r="C590">
        <v>110.39</v>
      </c>
      <c r="D590" s="53">
        <v>55516000</v>
      </c>
    </row>
    <row r="591" spans="2:4">
      <c r="B591" s="1">
        <v>44645</v>
      </c>
      <c r="C591">
        <v>110.03</v>
      </c>
      <c r="D591" s="53">
        <v>27624000</v>
      </c>
    </row>
    <row r="592" spans="2:4">
      <c r="B592" s="1">
        <v>44648</v>
      </c>
      <c r="C592">
        <v>109.28</v>
      </c>
      <c r="D592" s="53">
        <v>35148000</v>
      </c>
    </row>
    <row r="593" spans="2:4">
      <c r="B593" s="1">
        <v>44649</v>
      </c>
      <c r="C593">
        <v>110.96</v>
      </c>
      <c r="D593" s="53">
        <v>36710000</v>
      </c>
    </row>
    <row r="594" spans="2:4">
      <c r="B594" s="1">
        <v>44650</v>
      </c>
      <c r="C594">
        <v>110.67</v>
      </c>
      <c r="D594" s="53">
        <v>49728000</v>
      </c>
    </row>
    <row r="595" spans="2:4">
      <c r="B595" s="1">
        <v>44651</v>
      </c>
      <c r="C595">
        <v>111.26</v>
      </c>
      <c r="D595" s="53">
        <v>69687000</v>
      </c>
    </row>
    <row r="596" spans="2:4">
      <c r="B596" s="1">
        <v>44652</v>
      </c>
      <c r="C596">
        <v>112.01</v>
      </c>
      <c r="D596" s="53">
        <v>42210000</v>
      </c>
    </row>
    <row r="597" spans="2:4">
      <c r="B597" s="1">
        <v>44655</v>
      </c>
      <c r="C597">
        <v>110.79</v>
      </c>
      <c r="D597" s="53">
        <v>26928000</v>
      </c>
    </row>
    <row r="598" spans="2:4">
      <c r="B598" s="1">
        <v>44656</v>
      </c>
      <c r="C598">
        <v>111.99</v>
      </c>
      <c r="D598" s="53">
        <v>53567000</v>
      </c>
    </row>
    <row r="599" spans="2:4">
      <c r="B599" s="1">
        <v>44657</v>
      </c>
      <c r="C599">
        <v>114.54</v>
      </c>
      <c r="D599" s="53">
        <v>46142000</v>
      </c>
    </row>
    <row r="600" spans="2:4">
      <c r="B600" s="1">
        <v>44658</v>
      </c>
      <c r="C600">
        <v>115.33</v>
      </c>
      <c r="D600" s="53">
        <v>33012000</v>
      </c>
    </row>
    <row r="601" spans="2:4">
      <c r="B601" s="1">
        <v>44659</v>
      </c>
      <c r="C601">
        <v>117</v>
      </c>
      <c r="D601" s="53">
        <v>34754000</v>
      </c>
    </row>
    <row r="602" spans="2:4">
      <c r="B602" s="1">
        <v>44662</v>
      </c>
      <c r="C602">
        <v>117.59</v>
      </c>
      <c r="D602" s="53">
        <v>35173000</v>
      </c>
    </row>
    <row r="603" spans="2:4">
      <c r="B603" s="1">
        <v>44663</v>
      </c>
      <c r="C603">
        <v>118.74</v>
      </c>
      <c r="D603" s="53">
        <v>47475000</v>
      </c>
    </row>
    <row r="604" spans="2:4">
      <c r="B604" s="1">
        <v>44664</v>
      </c>
      <c r="C604">
        <v>118.2</v>
      </c>
      <c r="D604" s="53">
        <v>37899000</v>
      </c>
    </row>
    <row r="605" spans="2:4">
      <c r="B605" s="1">
        <v>44665</v>
      </c>
      <c r="C605">
        <v>115.71</v>
      </c>
      <c r="D605" s="53">
        <v>34096000</v>
      </c>
    </row>
    <row r="606" spans="2:4">
      <c r="B606" s="1">
        <v>44669</v>
      </c>
      <c r="C606">
        <v>115.27</v>
      </c>
      <c r="D606" s="53">
        <v>23771000</v>
      </c>
    </row>
    <row r="607" spans="2:4">
      <c r="B607" s="1">
        <v>44670</v>
      </c>
      <c r="C607">
        <v>115.23</v>
      </c>
      <c r="D607" s="53">
        <v>50247000</v>
      </c>
    </row>
    <row r="608" spans="2:4">
      <c r="B608" s="1">
        <v>44671</v>
      </c>
      <c r="C608">
        <v>118.56</v>
      </c>
      <c r="D608" s="53">
        <v>43930000</v>
      </c>
    </row>
    <row r="609" spans="2:4">
      <c r="B609" s="1">
        <v>44672</v>
      </c>
      <c r="C609">
        <v>117.05</v>
      </c>
      <c r="D609" s="53">
        <v>61538000</v>
      </c>
    </row>
    <row r="610" spans="2:4">
      <c r="B610" s="1">
        <v>44673</v>
      </c>
      <c r="C610">
        <v>116.68</v>
      </c>
      <c r="D610" s="53">
        <v>62123000</v>
      </c>
    </row>
    <row r="611" spans="2:4">
      <c r="B611" s="1">
        <v>44676</v>
      </c>
      <c r="C611">
        <v>116.31</v>
      </c>
      <c r="D611" s="53">
        <v>53073000</v>
      </c>
    </row>
    <row r="612" spans="2:4">
      <c r="B612" s="1">
        <v>44677</v>
      </c>
      <c r="C612">
        <v>117.17</v>
      </c>
      <c r="D612" s="53">
        <v>65390000</v>
      </c>
    </row>
    <row r="613" spans="2:4">
      <c r="B613" s="1">
        <v>44678</v>
      </c>
      <c r="C613">
        <v>116.11</v>
      </c>
      <c r="D613" s="53">
        <v>58683000</v>
      </c>
    </row>
    <row r="614" spans="2:4">
      <c r="B614" s="1">
        <v>44679</v>
      </c>
      <c r="C614">
        <v>118.83</v>
      </c>
      <c r="D614" s="53">
        <v>68424000</v>
      </c>
    </row>
    <row r="615" spans="2:4">
      <c r="B615" s="1">
        <v>44680</v>
      </c>
      <c r="C615">
        <v>118.19</v>
      </c>
      <c r="D615" s="53">
        <v>42334000</v>
      </c>
    </row>
    <row r="616" spans="2:4">
      <c r="B616" s="1">
        <v>44683</v>
      </c>
      <c r="C616">
        <v>117.57</v>
      </c>
      <c r="D616" s="53">
        <v>41267000</v>
      </c>
    </row>
    <row r="617" spans="2:4">
      <c r="B617" s="1">
        <v>44684</v>
      </c>
      <c r="C617">
        <v>116.41</v>
      </c>
      <c r="D617" s="53">
        <v>56836000</v>
      </c>
    </row>
    <row r="618" spans="2:4">
      <c r="B618" s="1">
        <v>44685</v>
      </c>
      <c r="C618">
        <v>114.12</v>
      </c>
      <c r="D618" s="53">
        <v>76291000</v>
      </c>
    </row>
    <row r="619" spans="2:4">
      <c r="B619" s="1">
        <v>44686</v>
      </c>
      <c r="C619">
        <v>113</v>
      </c>
      <c r="D619" s="53">
        <v>158000000</v>
      </c>
    </row>
    <row r="620" spans="2:4">
      <c r="B620" s="1">
        <v>44687</v>
      </c>
      <c r="C620">
        <v>111.7</v>
      </c>
      <c r="D620" s="53">
        <v>75408000</v>
      </c>
    </row>
    <row r="621" spans="2:4">
      <c r="B621" s="1">
        <v>44690</v>
      </c>
      <c r="C621">
        <v>111.12</v>
      </c>
      <c r="D621" s="53">
        <v>89364000</v>
      </c>
    </row>
    <row r="622" spans="2:4">
      <c r="B622" s="1">
        <v>44691</v>
      </c>
      <c r="C622">
        <v>115.85</v>
      </c>
      <c r="D622" s="53">
        <v>80768000</v>
      </c>
    </row>
    <row r="623" spans="2:4">
      <c r="B623" s="1">
        <v>44692</v>
      </c>
      <c r="C623">
        <v>115.12</v>
      </c>
      <c r="D623" s="53">
        <v>90637000</v>
      </c>
    </row>
    <row r="624" spans="2:4">
      <c r="B624" s="1">
        <v>44693</v>
      </c>
      <c r="C624">
        <v>111.08</v>
      </c>
      <c r="D624" s="53">
        <v>96147000</v>
      </c>
    </row>
    <row r="625" spans="2:4">
      <c r="B625" s="1">
        <v>44694</v>
      </c>
      <c r="C625">
        <v>113.92</v>
      </c>
      <c r="D625" s="53">
        <v>97119000</v>
      </c>
    </row>
    <row r="626" spans="2:4">
      <c r="B626" s="1">
        <v>44697</v>
      </c>
      <c r="C626">
        <v>114.2</v>
      </c>
      <c r="D626" s="53">
        <v>53645000</v>
      </c>
    </row>
    <row r="627" spans="2:4">
      <c r="B627" s="1">
        <v>44698</v>
      </c>
      <c r="C627">
        <v>115</v>
      </c>
      <c r="D627" s="53">
        <v>49384000</v>
      </c>
    </row>
    <row r="628" spans="2:4">
      <c r="B628" s="1">
        <v>44699</v>
      </c>
      <c r="C628">
        <v>112.56</v>
      </c>
      <c r="D628" s="53">
        <v>90699000</v>
      </c>
    </row>
    <row r="629" spans="2:4">
      <c r="B629" s="1">
        <v>44700</v>
      </c>
      <c r="C629">
        <v>110</v>
      </c>
      <c r="D629" s="53">
        <v>114000000</v>
      </c>
    </row>
    <row r="630" spans="2:4">
      <c r="B630" s="1">
        <v>44701</v>
      </c>
      <c r="C630">
        <v>109.55</v>
      </c>
      <c r="D630" s="53">
        <v>66059000</v>
      </c>
    </row>
    <row r="631" spans="2:4">
      <c r="B631" s="1">
        <v>44705</v>
      </c>
      <c r="C631">
        <v>111.71</v>
      </c>
      <c r="D631" s="53">
        <v>99933000</v>
      </c>
    </row>
    <row r="632" spans="2:4">
      <c r="B632" s="1">
        <v>44706</v>
      </c>
      <c r="C632">
        <v>113.71</v>
      </c>
      <c r="D632" s="53">
        <v>56505000</v>
      </c>
    </row>
    <row r="633" spans="2:4">
      <c r="B633" s="1">
        <v>44707</v>
      </c>
      <c r="C633">
        <v>113.88</v>
      </c>
      <c r="D633" s="53">
        <v>67289000</v>
      </c>
    </row>
    <row r="634" spans="2:4">
      <c r="B634" s="1">
        <v>44708</v>
      </c>
      <c r="C634">
        <v>115.27</v>
      </c>
      <c r="D634" s="53">
        <v>55838000</v>
      </c>
    </row>
    <row r="635" spans="2:4">
      <c r="B635" s="1">
        <v>44711</v>
      </c>
      <c r="C635">
        <v>116.28</v>
      </c>
      <c r="D635" s="53">
        <v>11269000</v>
      </c>
    </row>
    <row r="636" spans="2:4">
      <c r="B636" s="1">
        <v>44712</v>
      </c>
      <c r="C636">
        <v>116.01</v>
      </c>
      <c r="D636" s="53">
        <v>197000000</v>
      </c>
    </row>
    <row r="637" spans="2:4">
      <c r="B637" s="1">
        <v>44713</v>
      </c>
      <c r="C637">
        <v>117.08</v>
      </c>
      <c r="D637" s="53">
        <v>60410000</v>
      </c>
    </row>
    <row r="638" spans="2:4">
      <c r="B638" s="1">
        <v>44714</v>
      </c>
      <c r="C638">
        <v>113.41</v>
      </c>
      <c r="D638" s="53">
        <v>47837000</v>
      </c>
    </row>
    <row r="639" spans="2:4">
      <c r="B639" s="1">
        <v>44715</v>
      </c>
      <c r="C639">
        <v>115.51</v>
      </c>
      <c r="D639" s="53">
        <v>67802000</v>
      </c>
    </row>
    <row r="640" spans="2:4">
      <c r="B640" s="1">
        <v>44718</v>
      </c>
      <c r="C640">
        <v>117.65</v>
      </c>
      <c r="D640" s="53">
        <v>51385000</v>
      </c>
    </row>
    <row r="641" spans="2:4">
      <c r="B641" s="1">
        <v>44719</v>
      </c>
      <c r="C641">
        <v>116.77</v>
      </c>
      <c r="D641" s="53">
        <v>53537000</v>
      </c>
    </row>
    <row r="642" spans="2:4">
      <c r="B642" s="1">
        <v>44720</v>
      </c>
      <c r="C642">
        <v>115.12</v>
      </c>
      <c r="D642" s="53">
        <v>50568000</v>
      </c>
    </row>
    <row r="643" spans="2:4">
      <c r="B643" s="1">
        <v>44721</v>
      </c>
      <c r="C643">
        <v>114.64</v>
      </c>
      <c r="D643" s="53">
        <v>37601000</v>
      </c>
    </row>
    <row r="644" spans="2:4">
      <c r="B644" s="1">
        <v>44722</v>
      </c>
      <c r="C644">
        <v>114.19</v>
      </c>
      <c r="D644" s="53">
        <v>69896000</v>
      </c>
    </row>
    <row r="645" spans="2:4">
      <c r="B645" s="1">
        <v>44725</v>
      </c>
      <c r="C645">
        <v>113.68</v>
      </c>
      <c r="D645" s="53">
        <v>80854000</v>
      </c>
    </row>
    <row r="646" spans="2:4">
      <c r="B646" s="1">
        <v>44726</v>
      </c>
      <c r="C646">
        <v>112.43</v>
      </c>
      <c r="D646" s="53">
        <v>63411000</v>
      </c>
    </row>
    <row r="647" spans="2:4">
      <c r="B647" s="1">
        <v>44727</v>
      </c>
      <c r="C647">
        <v>112.52</v>
      </c>
      <c r="D647" s="53">
        <v>39669000</v>
      </c>
    </row>
    <row r="648" spans="2:4">
      <c r="B648" s="1">
        <v>44728</v>
      </c>
      <c r="C648">
        <v>112.1</v>
      </c>
      <c r="D648" s="53">
        <v>40141000</v>
      </c>
    </row>
    <row r="649" spans="2:4">
      <c r="B649" s="1">
        <v>44729</v>
      </c>
      <c r="C649">
        <v>111.09</v>
      </c>
      <c r="D649" s="53">
        <v>133000000</v>
      </c>
    </row>
    <row r="650" spans="2:4">
      <c r="B650" s="1">
        <v>44732</v>
      </c>
      <c r="C650">
        <v>110.16</v>
      </c>
      <c r="D650" s="53">
        <v>13899000</v>
      </c>
    </row>
    <row r="651" spans="2:4">
      <c r="B651" s="1">
        <v>44733</v>
      </c>
      <c r="C651">
        <v>111.36</v>
      </c>
      <c r="D651" s="53">
        <v>47766000</v>
      </c>
    </row>
    <row r="652" spans="2:4">
      <c r="B652" s="1">
        <v>44734</v>
      </c>
      <c r="C652">
        <v>111.38</v>
      </c>
      <c r="D652" s="53">
        <v>44130000</v>
      </c>
    </row>
    <row r="653" spans="2:4">
      <c r="B653" s="1">
        <v>44735</v>
      </c>
      <c r="C653">
        <v>111.88</v>
      </c>
      <c r="D653" s="53">
        <v>38799000</v>
      </c>
    </row>
    <row r="654" spans="2:4">
      <c r="B654" s="1">
        <v>44736</v>
      </c>
      <c r="C654">
        <v>112.75</v>
      </c>
      <c r="D654" s="53">
        <v>40003000</v>
      </c>
    </row>
    <row r="655" spans="2:4">
      <c r="B655" s="1">
        <v>44739</v>
      </c>
      <c r="C655">
        <v>114.78</v>
      </c>
      <c r="D655" s="53">
        <v>51016000</v>
      </c>
    </row>
    <row r="656" spans="2:4">
      <c r="B656" s="1">
        <v>44740</v>
      </c>
      <c r="C656">
        <v>114.72</v>
      </c>
      <c r="D656" s="53">
        <v>39815000</v>
      </c>
    </row>
    <row r="657" spans="2:4">
      <c r="B657" s="1">
        <v>44741</v>
      </c>
      <c r="C657">
        <v>113.97</v>
      </c>
      <c r="D657" s="53">
        <v>39160000</v>
      </c>
    </row>
    <row r="658" spans="2:4">
      <c r="B658" s="1">
        <v>44742</v>
      </c>
      <c r="C658">
        <v>115.53</v>
      </c>
      <c r="D658" s="53">
        <v>65159000</v>
      </c>
    </row>
    <row r="659" spans="2:4">
      <c r="B659" s="1">
        <v>44746</v>
      </c>
      <c r="C659">
        <v>116.06</v>
      </c>
      <c r="D659" s="53">
        <v>20533000</v>
      </c>
    </row>
    <row r="660" spans="2:4">
      <c r="B660" s="1">
        <v>44747</v>
      </c>
      <c r="C660">
        <v>116.83</v>
      </c>
      <c r="D660" s="53">
        <v>65843000</v>
      </c>
    </row>
    <row r="661" spans="2:4">
      <c r="B661" s="1">
        <v>44748</v>
      </c>
      <c r="C661">
        <v>118.56</v>
      </c>
      <c r="D661" s="53">
        <v>57178000</v>
      </c>
    </row>
    <row r="662" spans="2:4">
      <c r="B662" s="1">
        <v>44749</v>
      </c>
      <c r="C662">
        <v>115.6</v>
      </c>
      <c r="D662" s="53">
        <v>66890000</v>
      </c>
    </row>
    <row r="663" spans="2:4">
      <c r="B663" s="1">
        <v>44750</v>
      </c>
      <c r="C663">
        <v>118.2</v>
      </c>
      <c r="D663" s="53">
        <v>42538000</v>
      </c>
    </row>
    <row r="664" spans="2:4">
      <c r="B664" s="1">
        <v>44753</v>
      </c>
      <c r="C664">
        <v>118.99</v>
      </c>
      <c r="D664" s="53">
        <v>30334000</v>
      </c>
    </row>
    <row r="665" spans="2:4">
      <c r="B665" s="1">
        <v>44754</v>
      </c>
      <c r="C665">
        <v>118.64</v>
      </c>
      <c r="D665" s="53">
        <v>35239000</v>
      </c>
    </row>
    <row r="666" spans="2:4">
      <c r="B666" s="1">
        <v>44755</v>
      </c>
      <c r="C666">
        <v>116.79</v>
      </c>
      <c r="D666" s="53">
        <v>61903000</v>
      </c>
    </row>
    <row r="667" spans="2:4">
      <c r="B667" s="1">
        <v>44756</v>
      </c>
      <c r="C667">
        <v>121.23</v>
      </c>
      <c r="D667" s="53">
        <v>52239000</v>
      </c>
    </row>
    <row r="668" spans="2:4">
      <c r="B668" s="1">
        <v>44757</v>
      </c>
      <c r="C668">
        <v>120.67</v>
      </c>
      <c r="D668" s="53">
        <v>42571000</v>
      </c>
    </row>
    <row r="669" spans="2:4">
      <c r="B669" s="1">
        <v>44760</v>
      </c>
      <c r="C669">
        <v>119.52</v>
      </c>
      <c r="D669" s="53">
        <v>44049000</v>
      </c>
    </row>
    <row r="670" spans="2:4">
      <c r="B670" s="1">
        <v>44761</v>
      </c>
      <c r="C670">
        <v>118.6</v>
      </c>
      <c r="D670" s="53">
        <v>33136000</v>
      </c>
    </row>
    <row r="671" spans="2:4">
      <c r="B671" s="1">
        <v>44762</v>
      </c>
      <c r="C671">
        <v>118.25</v>
      </c>
      <c r="D671" s="53">
        <v>32693000</v>
      </c>
    </row>
    <row r="672" spans="2:4">
      <c r="B672" s="1">
        <v>44763</v>
      </c>
      <c r="C672">
        <v>118.22</v>
      </c>
      <c r="D672" s="53">
        <v>34730000</v>
      </c>
    </row>
    <row r="673" spans="2:4">
      <c r="B673" s="1">
        <v>44764</v>
      </c>
      <c r="C673">
        <v>118.62</v>
      </c>
      <c r="D673" s="53">
        <v>25397000</v>
      </c>
    </row>
    <row r="674" spans="2:4">
      <c r="B674" s="1">
        <v>44767</v>
      </c>
      <c r="C674">
        <v>119.32</v>
      </c>
      <c r="D674" s="53">
        <v>20213000</v>
      </c>
    </row>
    <row r="675" spans="2:4">
      <c r="B675" s="1">
        <v>44768</v>
      </c>
      <c r="C675">
        <v>118.97</v>
      </c>
      <c r="D675" s="53">
        <v>23037000</v>
      </c>
    </row>
    <row r="676" spans="2:4">
      <c r="B676" s="1">
        <v>44769</v>
      </c>
      <c r="C676">
        <v>120.37</v>
      </c>
      <c r="D676" s="53">
        <v>83102000</v>
      </c>
    </row>
    <row r="677" spans="2:4">
      <c r="B677" s="1">
        <v>44770</v>
      </c>
      <c r="C677">
        <v>117.97</v>
      </c>
      <c r="D677" s="53">
        <v>47814000</v>
      </c>
    </row>
    <row r="678" spans="2:4">
      <c r="B678" s="1">
        <v>44771</v>
      </c>
      <c r="C678">
        <v>119.67</v>
      </c>
      <c r="D678" s="53">
        <v>71714000</v>
      </c>
    </row>
    <row r="679" spans="2:4">
      <c r="B679" s="1">
        <v>44775</v>
      </c>
      <c r="C679">
        <v>115.57</v>
      </c>
      <c r="D679" s="53">
        <v>48884000</v>
      </c>
    </row>
    <row r="680" spans="2:4">
      <c r="B680" s="1">
        <v>44776</v>
      </c>
      <c r="C680">
        <v>116.36</v>
      </c>
      <c r="D680" s="53">
        <v>25402000</v>
      </c>
    </row>
    <row r="681" spans="2:4">
      <c r="B681" s="1">
        <v>44777</v>
      </c>
      <c r="C681">
        <v>116.01</v>
      </c>
      <c r="D681" s="53">
        <v>52915000</v>
      </c>
    </row>
    <row r="682" spans="2:4">
      <c r="B682" s="1">
        <v>44778</v>
      </c>
      <c r="C682">
        <v>117.98</v>
      </c>
      <c r="D682" s="53">
        <v>32681000</v>
      </c>
    </row>
    <row r="683" spans="2:4">
      <c r="B683" s="1">
        <v>44781</v>
      </c>
      <c r="C683">
        <v>116.41</v>
      </c>
      <c r="D683" s="53">
        <v>44028000</v>
      </c>
    </row>
    <row r="684" spans="2:4">
      <c r="B684" s="1">
        <v>44782</v>
      </c>
      <c r="C684">
        <v>115.77</v>
      </c>
      <c r="D684" s="53">
        <v>58328000</v>
      </c>
    </row>
    <row r="685" spans="2:4">
      <c r="B685" s="1">
        <v>44783</v>
      </c>
      <c r="C685">
        <v>115.04</v>
      </c>
      <c r="D685" s="53">
        <v>43410000</v>
      </c>
    </row>
    <row r="686" spans="2:4">
      <c r="B686" s="1">
        <v>44784</v>
      </c>
      <c r="C686">
        <v>116.21</v>
      </c>
      <c r="D686" s="53">
        <v>39580000</v>
      </c>
    </row>
    <row r="687" spans="2:4">
      <c r="B687" s="1">
        <v>44785</v>
      </c>
      <c r="C687">
        <v>118.17</v>
      </c>
      <c r="D687" s="53">
        <v>42264000</v>
      </c>
    </row>
    <row r="688" spans="2:4">
      <c r="B688" s="1">
        <v>44788</v>
      </c>
      <c r="C688">
        <v>118</v>
      </c>
      <c r="D688" s="53">
        <v>43738000</v>
      </c>
    </row>
    <row r="689" spans="2:4">
      <c r="B689" s="1">
        <v>44789</v>
      </c>
      <c r="C689">
        <v>119.95</v>
      </c>
      <c r="D689" s="53">
        <v>70028000</v>
      </c>
    </row>
    <row r="690" spans="2:4">
      <c r="B690" s="1">
        <v>44790</v>
      </c>
      <c r="C690">
        <v>122.02</v>
      </c>
      <c r="D690" s="53">
        <v>57923000</v>
      </c>
    </row>
    <row r="691" spans="2:4">
      <c r="B691" s="1">
        <v>44791</v>
      </c>
      <c r="C691">
        <v>124</v>
      </c>
      <c r="D691" s="53">
        <v>46916000</v>
      </c>
    </row>
    <row r="692" spans="2:4">
      <c r="B692" s="1">
        <v>44792</v>
      </c>
      <c r="C692">
        <v>122.78</v>
      </c>
      <c r="D692" s="53">
        <v>47706000</v>
      </c>
    </row>
    <row r="693" spans="2:4">
      <c r="B693" s="1">
        <v>44795</v>
      </c>
      <c r="C693">
        <v>122.94</v>
      </c>
      <c r="D693" s="53">
        <v>40235000</v>
      </c>
    </row>
    <row r="694" spans="2:4">
      <c r="B694" s="1">
        <v>44796</v>
      </c>
      <c r="C694">
        <v>123.56</v>
      </c>
      <c r="D694" s="53">
        <v>38085000</v>
      </c>
    </row>
    <row r="695" spans="2:4">
      <c r="B695" s="1">
        <v>44797</v>
      </c>
      <c r="C695">
        <v>121.79</v>
      </c>
      <c r="D695" s="53">
        <v>53867000</v>
      </c>
    </row>
    <row r="696" spans="2:4">
      <c r="B696" s="1">
        <v>44798</v>
      </c>
      <c r="C696">
        <v>119.78</v>
      </c>
      <c r="D696" s="53">
        <v>32175000</v>
      </c>
    </row>
    <row r="697" spans="2:4">
      <c r="B697" s="1">
        <v>44799</v>
      </c>
      <c r="C697">
        <v>118.72</v>
      </c>
      <c r="D697" s="53">
        <v>49017000</v>
      </c>
    </row>
    <row r="698" spans="2:4">
      <c r="B698" s="1">
        <v>44802</v>
      </c>
      <c r="C698">
        <v>116.66</v>
      </c>
      <c r="D698" s="53">
        <v>25494000</v>
      </c>
    </row>
    <row r="699" spans="2:4">
      <c r="B699" s="1">
        <v>44803</v>
      </c>
      <c r="C699">
        <v>116.71</v>
      </c>
      <c r="D699" s="53">
        <v>29135000</v>
      </c>
    </row>
    <row r="700" spans="2:4">
      <c r="B700" s="1">
        <v>44804</v>
      </c>
      <c r="C700">
        <v>116</v>
      </c>
      <c r="D700" s="53">
        <v>77427000</v>
      </c>
    </row>
    <row r="701" spans="2:4">
      <c r="B701" s="1">
        <v>44805</v>
      </c>
      <c r="C701">
        <v>116.15</v>
      </c>
      <c r="D701" s="53">
        <v>37096000</v>
      </c>
    </row>
    <row r="702" spans="2:4">
      <c r="B702" s="1">
        <v>44806</v>
      </c>
      <c r="C702">
        <v>117.38</v>
      </c>
      <c r="D702" s="53">
        <v>42703000</v>
      </c>
    </row>
    <row r="703" spans="2:4">
      <c r="B703" s="1">
        <v>44810</v>
      </c>
      <c r="C703">
        <v>116.67</v>
      </c>
      <c r="D703" s="53">
        <v>45000000</v>
      </c>
    </row>
    <row r="704" spans="2:4">
      <c r="B704" s="1">
        <v>44811</v>
      </c>
      <c r="C704">
        <v>116.2</v>
      </c>
      <c r="D704" s="53">
        <v>35744000</v>
      </c>
    </row>
    <row r="705" spans="2:4">
      <c r="B705" s="1">
        <v>44812</v>
      </c>
      <c r="C705">
        <v>115.62</v>
      </c>
      <c r="D705" s="53">
        <v>34253000</v>
      </c>
    </row>
    <row r="706" spans="2:4">
      <c r="B706" s="1">
        <v>44813</v>
      </c>
      <c r="C706">
        <v>114.76</v>
      </c>
      <c r="D706" s="53">
        <v>37784000</v>
      </c>
    </row>
    <row r="707" spans="2:4">
      <c r="B707" s="1">
        <v>44816</v>
      </c>
      <c r="C707">
        <v>117.46</v>
      </c>
      <c r="D707" s="53">
        <v>55845000</v>
      </c>
    </row>
    <row r="708" spans="2:4">
      <c r="B708" s="1">
        <v>44817</v>
      </c>
      <c r="C708">
        <v>117.63</v>
      </c>
      <c r="D708" s="53">
        <v>33586000</v>
      </c>
    </row>
    <row r="709" spans="2:4">
      <c r="B709" s="1">
        <v>44818</v>
      </c>
      <c r="C709">
        <v>115.67</v>
      </c>
      <c r="D709" s="53">
        <v>37451000</v>
      </c>
    </row>
    <row r="710" spans="2:4">
      <c r="B710" s="1">
        <v>44819</v>
      </c>
      <c r="C710">
        <v>114.5</v>
      </c>
      <c r="D710" s="53">
        <v>46445000</v>
      </c>
    </row>
    <row r="711" spans="2:4">
      <c r="B711" s="1">
        <v>44820</v>
      </c>
      <c r="C711">
        <v>112.34</v>
      </c>
      <c r="D711" s="53">
        <v>183000000</v>
      </c>
    </row>
    <row r="712" spans="2:4">
      <c r="B712" s="1">
        <v>44823</v>
      </c>
      <c r="C712">
        <v>113.53</v>
      </c>
      <c r="D712" s="53">
        <v>43523000</v>
      </c>
    </row>
    <row r="713" spans="2:4">
      <c r="B713" s="1">
        <v>44824</v>
      </c>
      <c r="C713">
        <v>114.09</v>
      </c>
      <c r="D713" s="53">
        <v>63830000</v>
      </c>
    </row>
    <row r="714" spans="2:4">
      <c r="B714" s="1">
        <v>44825</v>
      </c>
      <c r="C714">
        <v>113.08</v>
      </c>
      <c r="D714" s="53">
        <v>39309000</v>
      </c>
    </row>
    <row r="715" spans="2:4">
      <c r="B715" s="1">
        <v>44826</v>
      </c>
      <c r="C715">
        <v>111.05</v>
      </c>
      <c r="D715" s="53">
        <v>60686000</v>
      </c>
    </row>
    <row r="716" spans="2:4">
      <c r="B716" s="1">
        <v>44827</v>
      </c>
      <c r="C716">
        <v>111.93</v>
      </c>
      <c r="D716" s="53">
        <v>55557000</v>
      </c>
    </row>
    <row r="717" spans="2:4">
      <c r="B717" s="1">
        <v>44830</v>
      </c>
      <c r="C717">
        <v>111.75</v>
      </c>
      <c r="D717" s="53">
        <v>46859000</v>
      </c>
    </row>
    <row r="718" spans="2:4">
      <c r="B718" s="1">
        <v>44831</v>
      </c>
      <c r="C718">
        <v>112.96</v>
      </c>
      <c r="D718" s="53">
        <v>32927000</v>
      </c>
    </row>
    <row r="719" spans="2:4">
      <c r="B719" s="1">
        <v>44832</v>
      </c>
      <c r="C719">
        <v>112.63</v>
      </c>
      <c r="D719" s="53">
        <v>44655000</v>
      </c>
    </row>
    <row r="720" spans="2:4">
      <c r="B720" s="1">
        <v>44833</v>
      </c>
      <c r="C720">
        <v>111.32</v>
      </c>
      <c r="D720" s="53">
        <v>31463000</v>
      </c>
    </row>
    <row r="721" spans="2:4">
      <c r="B721" s="1">
        <v>44834</v>
      </c>
      <c r="C721">
        <v>111.35</v>
      </c>
      <c r="D721" s="53">
        <v>37095000</v>
      </c>
    </row>
    <row r="722" spans="2:4">
      <c r="B722" s="1">
        <v>44837</v>
      </c>
      <c r="C722">
        <v>109.97</v>
      </c>
      <c r="D722" s="53">
        <v>32305000</v>
      </c>
    </row>
    <row r="723" spans="2:4">
      <c r="B723" s="1">
        <v>44838</v>
      </c>
      <c r="C723">
        <v>112.52</v>
      </c>
      <c r="D723" s="53">
        <v>34380000</v>
      </c>
    </row>
    <row r="724" spans="2:4">
      <c r="B724" s="1">
        <v>44839</v>
      </c>
      <c r="C724">
        <v>112.17</v>
      </c>
      <c r="D724" s="53">
        <v>25221000</v>
      </c>
    </row>
    <row r="725" spans="2:4">
      <c r="B725" s="1">
        <v>44840</v>
      </c>
      <c r="C725">
        <v>111.27</v>
      </c>
      <c r="D725" s="53">
        <v>43383000</v>
      </c>
    </row>
    <row r="726" spans="2:4">
      <c r="B726" s="1">
        <v>44841</v>
      </c>
      <c r="C726">
        <v>106.14</v>
      </c>
      <c r="D726" s="53">
        <v>71014000</v>
      </c>
    </row>
    <row r="727" spans="2:4">
      <c r="B727" s="1">
        <v>44845</v>
      </c>
      <c r="C727">
        <v>108</v>
      </c>
      <c r="D727" s="53">
        <v>39307000</v>
      </c>
    </row>
    <row r="728" spans="2:4">
      <c r="B728" s="1">
        <v>44846</v>
      </c>
      <c r="C728">
        <v>107.89</v>
      </c>
      <c r="D728" s="53">
        <v>36173000</v>
      </c>
    </row>
    <row r="729" spans="2:4">
      <c r="B729" s="1">
        <v>44847</v>
      </c>
      <c r="C729">
        <v>107.91</v>
      </c>
      <c r="D729" s="53">
        <v>33388000</v>
      </c>
    </row>
    <row r="730" spans="2:4">
      <c r="B730" s="1">
        <v>44848</v>
      </c>
      <c r="C730">
        <v>110.2</v>
      </c>
      <c r="D730" s="53">
        <v>34259000</v>
      </c>
    </row>
    <row r="731" spans="2:4">
      <c r="B731" s="1">
        <v>44851</v>
      </c>
      <c r="C731">
        <v>110.09</v>
      </c>
      <c r="D731" s="53">
        <v>22807000</v>
      </c>
    </row>
    <row r="732" spans="2:4">
      <c r="B732" s="1">
        <v>44852</v>
      </c>
      <c r="C732">
        <v>110.9</v>
      </c>
      <c r="D732" s="53">
        <v>26889000</v>
      </c>
    </row>
    <row r="733" spans="2:4">
      <c r="B733" s="1">
        <v>44853</v>
      </c>
      <c r="C733">
        <v>110.34</v>
      </c>
      <c r="D733" s="53">
        <v>26891000</v>
      </c>
    </row>
    <row r="734" spans="2:4">
      <c r="B734" s="1">
        <v>44854</v>
      </c>
      <c r="C734">
        <v>108.8</v>
      </c>
      <c r="D734" s="53">
        <v>30471000</v>
      </c>
    </row>
    <row r="735" spans="2:4">
      <c r="B735" s="1">
        <v>44855</v>
      </c>
      <c r="C735">
        <v>109.01</v>
      </c>
      <c r="D735" s="53">
        <v>26387000</v>
      </c>
    </row>
    <row r="736" spans="2:4">
      <c r="B736" s="1">
        <v>44858</v>
      </c>
      <c r="C736">
        <v>111.09</v>
      </c>
      <c r="D736" s="53">
        <v>25852000</v>
      </c>
    </row>
    <row r="737" spans="2:4">
      <c r="B737" s="1">
        <v>44859</v>
      </c>
      <c r="C737">
        <v>111.08</v>
      </c>
      <c r="D737" s="53">
        <v>38455000</v>
      </c>
    </row>
    <row r="738" spans="2:4">
      <c r="B738" s="1">
        <v>44860</v>
      </c>
      <c r="C738">
        <v>111.35</v>
      </c>
      <c r="D738" s="53">
        <v>38573000</v>
      </c>
    </row>
    <row r="739" spans="2:4">
      <c r="B739" s="1">
        <v>44861</v>
      </c>
      <c r="C739">
        <v>113.53</v>
      </c>
      <c r="D739" s="53">
        <v>33765000</v>
      </c>
    </row>
    <row r="740" spans="2:4">
      <c r="B740" s="1">
        <v>44862</v>
      </c>
      <c r="C740">
        <v>112.17</v>
      </c>
      <c r="D740" s="53">
        <v>37592000</v>
      </c>
    </row>
    <row r="741" spans="2:4">
      <c r="B741" s="1">
        <v>44865</v>
      </c>
      <c r="C741">
        <v>113.86</v>
      </c>
      <c r="D741" s="53">
        <v>46661000</v>
      </c>
    </row>
    <row r="742" spans="2:4">
      <c r="B742" s="1">
        <v>44866</v>
      </c>
      <c r="C742">
        <v>112.76</v>
      </c>
      <c r="D742" s="53">
        <v>32246000</v>
      </c>
    </row>
    <row r="743" spans="2:4">
      <c r="B743" s="1">
        <v>44867</v>
      </c>
      <c r="C743">
        <v>112.16</v>
      </c>
      <c r="D743" s="53">
        <v>25769000</v>
      </c>
    </row>
    <row r="744" spans="2:4">
      <c r="B744" s="1">
        <v>44868</v>
      </c>
      <c r="C744">
        <v>111.95</v>
      </c>
      <c r="D744" s="53">
        <v>20521000</v>
      </c>
    </row>
    <row r="745" spans="2:4">
      <c r="B745" s="1">
        <v>44869</v>
      </c>
      <c r="C745">
        <v>110.88</v>
      </c>
      <c r="D745" s="53">
        <v>25534000</v>
      </c>
    </row>
    <row r="746" spans="2:4">
      <c r="B746" s="1">
        <v>44872</v>
      </c>
      <c r="C746">
        <v>112.49</v>
      </c>
      <c r="D746" s="53">
        <v>35248000</v>
      </c>
    </row>
    <row r="747" spans="2:4">
      <c r="B747" s="1">
        <v>44873</v>
      </c>
      <c r="C747">
        <v>112.85</v>
      </c>
      <c r="D747" s="53">
        <v>27964000</v>
      </c>
    </row>
    <row r="748" spans="2:4">
      <c r="B748" s="1">
        <v>44874</v>
      </c>
      <c r="C748">
        <v>114.18</v>
      </c>
      <c r="D748" s="53">
        <v>43150000</v>
      </c>
    </row>
    <row r="749" spans="2:4">
      <c r="B749" s="1">
        <v>44875</v>
      </c>
      <c r="C749">
        <v>114.97</v>
      </c>
      <c r="D749" s="53">
        <v>65405000</v>
      </c>
    </row>
    <row r="750" spans="2:4">
      <c r="B750" s="1">
        <v>44876</v>
      </c>
      <c r="C750">
        <v>112.23</v>
      </c>
      <c r="D750" s="53">
        <v>51802000</v>
      </c>
    </row>
    <row r="751" spans="2:4">
      <c r="B751" s="1">
        <v>44879</v>
      </c>
      <c r="C751">
        <v>109.93</v>
      </c>
      <c r="D751" s="53">
        <v>83494000</v>
      </c>
    </row>
    <row r="752" spans="2:4">
      <c r="B752" s="1">
        <v>44880</v>
      </c>
      <c r="C752">
        <v>108.28</v>
      </c>
      <c r="D752" s="53">
        <v>58216000</v>
      </c>
    </row>
    <row r="753" spans="2:4">
      <c r="B753" s="1">
        <v>44881</v>
      </c>
      <c r="C753">
        <v>110.3</v>
      </c>
      <c r="D753" s="53">
        <v>78416000</v>
      </c>
    </row>
    <row r="754" spans="2:4">
      <c r="B754" s="1">
        <v>44882</v>
      </c>
      <c r="C754">
        <v>109.1</v>
      </c>
      <c r="D754" s="53">
        <v>64278000</v>
      </c>
    </row>
    <row r="755" spans="2:4">
      <c r="B755" s="1">
        <v>44883</v>
      </c>
      <c r="C755">
        <v>110.8</v>
      </c>
      <c r="D755" s="53">
        <v>54819000</v>
      </c>
    </row>
    <row r="756" spans="2:4">
      <c r="B756" s="1">
        <v>44886</v>
      </c>
      <c r="C756">
        <v>111.3</v>
      </c>
      <c r="D756" s="53">
        <v>39767000</v>
      </c>
    </row>
    <row r="757" spans="2:4">
      <c r="B757" s="1">
        <v>44887</v>
      </c>
      <c r="C757">
        <v>113.73</v>
      </c>
      <c r="D757" s="53">
        <v>47587000</v>
      </c>
    </row>
    <row r="758" spans="2:4">
      <c r="B758" s="1">
        <v>44888</v>
      </c>
      <c r="C758">
        <v>114.89</v>
      </c>
      <c r="D758" s="53">
        <v>46071000</v>
      </c>
    </row>
    <row r="759" spans="2:4">
      <c r="B759" s="1">
        <v>44889</v>
      </c>
      <c r="C759">
        <v>117.13</v>
      </c>
      <c r="D759" s="53">
        <v>16401000</v>
      </c>
    </row>
    <row r="760" spans="2:4">
      <c r="B760" s="1">
        <v>44890</v>
      </c>
      <c r="C760">
        <v>116.73</v>
      </c>
      <c r="D760" s="53">
        <v>21991000</v>
      </c>
    </row>
    <row r="761" spans="2:4">
      <c r="B761" s="1">
        <v>44893</v>
      </c>
      <c r="C761">
        <v>117.78</v>
      </c>
      <c r="D761" s="53">
        <v>73009000</v>
      </c>
    </row>
    <row r="762" spans="2:4">
      <c r="B762" s="1">
        <v>44894</v>
      </c>
      <c r="C762">
        <v>121.42</v>
      </c>
      <c r="D762" s="53">
        <v>62214000</v>
      </c>
    </row>
    <row r="763" spans="2:4">
      <c r="B763" s="1">
        <v>44895</v>
      </c>
      <c r="C763">
        <v>121.47</v>
      </c>
      <c r="D763" s="53">
        <v>159000000</v>
      </c>
    </row>
    <row r="764" spans="2:4">
      <c r="B764" s="1">
        <v>44896</v>
      </c>
      <c r="C764">
        <v>121.29</v>
      </c>
      <c r="D764" s="53">
        <v>51964000</v>
      </c>
    </row>
    <row r="765" spans="2:4">
      <c r="B765" s="1">
        <v>44897</v>
      </c>
      <c r="C765">
        <v>121</v>
      </c>
      <c r="D765" s="53">
        <v>74193000</v>
      </c>
    </row>
    <row r="766" spans="2:4">
      <c r="B766" s="1">
        <v>44900</v>
      </c>
      <c r="C766">
        <v>121.61</v>
      </c>
      <c r="D766" s="53">
        <v>61158000</v>
      </c>
    </row>
    <row r="767" spans="2:4">
      <c r="B767" s="1">
        <v>44901</v>
      </c>
      <c r="C767">
        <v>122.01</v>
      </c>
      <c r="D767" s="53">
        <v>33208000</v>
      </c>
    </row>
    <row r="768" spans="2:4">
      <c r="B768" s="1">
        <v>44902</v>
      </c>
      <c r="C768">
        <v>120.82</v>
      </c>
      <c r="D768" s="53">
        <v>52580000</v>
      </c>
    </row>
    <row r="769" spans="2:4">
      <c r="B769" s="1">
        <v>44903</v>
      </c>
      <c r="C769">
        <v>122.09</v>
      </c>
      <c r="D769" s="53">
        <v>45491000</v>
      </c>
    </row>
    <row r="770" spans="2:4">
      <c r="B770" s="1">
        <v>44904</v>
      </c>
      <c r="C770">
        <v>124.91</v>
      </c>
      <c r="D770" s="53">
        <v>56997000</v>
      </c>
    </row>
    <row r="771" spans="2:4">
      <c r="B771" s="1">
        <v>44907</v>
      </c>
      <c r="C771">
        <v>125.56</v>
      </c>
      <c r="D771" s="53">
        <v>46522000</v>
      </c>
    </row>
    <row r="772" spans="2:4">
      <c r="B772" s="1">
        <v>44908</v>
      </c>
      <c r="C772">
        <v>124.99</v>
      </c>
      <c r="D772" s="53">
        <v>52219000</v>
      </c>
    </row>
    <row r="773" spans="2:4">
      <c r="B773" s="1">
        <v>44909</v>
      </c>
      <c r="C773">
        <v>123.98</v>
      </c>
      <c r="D773" s="53">
        <v>45179000</v>
      </c>
    </row>
    <row r="774" spans="2:4">
      <c r="B774" s="1">
        <v>44910</v>
      </c>
      <c r="C774">
        <v>123.09</v>
      </c>
      <c r="D774" s="53">
        <v>46834000</v>
      </c>
    </row>
    <row r="775" spans="2:4">
      <c r="B775" s="1">
        <v>44911</v>
      </c>
      <c r="C775">
        <v>120.91</v>
      </c>
      <c r="D775" s="53">
        <v>113000000</v>
      </c>
    </row>
    <row r="776" spans="2:4">
      <c r="B776" s="1">
        <v>44914</v>
      </c>
      <c r="C776">
        <v>122.14</v>
      </c>
      <c r="D776" s="53">
        <v>87345000</v>
      </c>
    </row>
    <row r="777" spans="2:4">
      <c r="B777" s="1">
        <v>44915</v>
      </c>
      <c r="C777">
        <v>123.01</v>
      </c>
      <c r="D777" s="53">
        <v>58568000</v>
      </c>
    </row>
    <row r="778" spans="2:4">
      <c r="B778" s="1">
        <v>44916</v>
      </c>
      <c r="C778">
        <v>122.69</v>
      </c>
      <c r="D778" s="53">
        <v>22651000</v>
      </c>
    </row>
    <row r="779" spans="2:4">
      <c r="B779" s="1">
        <v>44917</v>
      </c>
      <c r="C779">
        <v>122.15</v>
      </c>
      <c r="D779" s="53">
        <v>21810000</v>
      </c>
    </row>
    <row r="780" spans="2:4">
      <c r="B780" s="1">
        <v>44918</v>
      </c>
      <c r="C780">
        <v>122.23</v>
      </c>
      <c r="D780" s="53">
        <v>27104000</v>
      </c>
    </row>
    <row r="781" spans="2:4">
      <c r="B781" s="1">
        <v>44923</v>
      </c>
      <c r="C781">
        <v>122.66</v>
      </c>
      <c r="D781" s="53">
        <v>19137000</v>
      </c>
    </row>
    <row r="782" spans="2:4">
      <c r="B782" s="1">
        <v>44924</v>
      </c>
      <c r="C782">
        <v>122.06</v>
      </c>
      <c r="D782" s="53">
        <v>19443000</v>
      </c>
    </row>
    <row r="783" spans="2:4">
      <c r="B783" s="1">
        <v>44925</v>
      </c>
      <c r="C783">
        <v>119.99</v>
      </c>
      <c r="D783" s="53">
        <v>36156000</v>
      </c>
    </row>
    <row r="784" spans="2:4">
      <c r="B784" s="1">
        <v>44929</v>
      </c>
      <c r="C784">
        <v>120.45</v>
      </c>
      <c r="D784" s="53">
        <v>28293000</v>
      </c>
    </row>
    <row r="785" spans="2:4">
      <c r="B785" s="1">
        <v>44930</v>
      </c>
      <c r="C785">
        <v>120.64</v>
      </c>
      <c r="D785" s="53">
        <v>27150000</v>
      </c>
    </row>
    <row r="786" spans="2:4">
      <c r="B786" s="1">
        <v>44931</v>
      </c>
      <c r="C786">
        <v>119.33</v>
      </c>
      <c r="D786" s="53">
        <v>37665000</v>
      </c>
    </row>
    <row r="787" spans="2:4">
      <c r="B787" s="1">
        <v>44932</v>
      </c>
      <c r="C787">
        <v>118.41</v>
      </c>
      <c r="D787" s="53">
        <v>59442000</v>
      </c>
    </row>
    <row r="788" spans="2:4">
      <c r="B788" s="1">
        <v>44935</v>
      </c>
      <c r="C788">
        <v>119.94</v>
      </c>
      <c r="D788" s="53">
        <v>31792000</v>
      </c>
    </row>
    <row r="789" spans="2:4">
      <c r="B789" s="1">
        <v>44936</v>
      </c>
      <c r="C789">
        <v>120.36</v>
      </c>
      <c r="D789" s="53">
        <v>28367000</v>
      </c>
    </row>
    <row r="790" spans="2:4">
      <c r="B790" s="1">
        <v>44937</v>
      </c>
      <c r="C790">
        <v>118.8</v>
      </c>
      <c r="D790" s="53">
        <v>54625000</v>
      </c>
    </row>
    <row r="791" spans="2:4">
      <c r="B791" s="1">
        <v>44938</v>
      </c>
      <c r="C791">
        <v>117.95</v>
      </c>
      <c r="D791" s="53">
        <v>65332000</v>
      </c>
    </row>
    <row r="792" spans="2:4">
      <c r="B792" s="1">
        <v>44939</v>
      </c>
      <c r="C792">
        <v>116.47</v>
      </c>
      <c r="D792" s="53">
        <v>69621000</v>
      </c>
    </row>
    <row r="793" spans="2:4">
      <c r="B793" s="1">
        <v>44942</v>
      </c>
      <c r="C793">
        <v>115.53</v>
      </c>
      <c r="D793" s="53">
        <v>21438000</v>
      </c>
    </row>
    <row r="794" spans="2:4">
      <c r="B794" s="1">
        <v>44943</v>
      </c>
      <c r="C794">
        <v>118.42</v>
      </c>
      <c r="D794" s="53">
        <v>54034000</v>
      </c>
    </row>
    <row r="795" spans="2:4">
      <c r="B795" s="1">
        <v>44944</v>
      </c>
      <c r="C795">
        <v>117.79</v>
      </c>
      <c r="D795" s="53">
        <v>44884000</v>
      </c>
    </row>
    <row r="796" spans="2:4">
      <c r="B796" s="1">
        <v>44945</v>
      </c>
      <c r="C796">
        <v>117.3</v>
      </c>
      <c r="D796" s="53">
        <v>47356000</v>
      </c>
    </row>
    <row r="797" spans="2:4">
      <c r="B797" s="1">
        <v>44946</v>
      </c>
      <c r="C797">
        <v>117.79</v>
      </c>
      <c r="D797" s="53">
        <v>37949000</v>
      </c>
    </row>
    <row r="798" spans="2:4">
      <c r="B798" s="1">
        <v>44949</v>
      </c>
      <c r="C798">
        <v>118.15</v>
      </c>
      <c r="D798" s="53">
        <v>29110000</v>
      </c>
    </row>
    <row r="799" spans="2:4">
      <c r="B799" s="1">
        <v>44950</v>
      </c>
      <c r="C799">
        <v>118.57</v>
      </c>
      <c r="D799" s="53">
        <v>31056000</v>
      </c>
    </row>
    <row r="800" spans="2:4">
      <c r="B800" s="1">
        <v>44951</v>
      </c>
      <c r="C800">
        <v>119.38</v>
      </c>
      <c r="D800" s="53">
        <v>38771000</v>
      </c>
    </row>
    <row r="801" spans="2:4">
      <c r="B801" s="1">
        <v>44952</v>
      </c>
      <c r="C801">
        <v>119.85</v>
      </c>
      <c r="D801" s="53">
        <v>43603000</v>
      </c>
    </row>
    <row r="802" spans="2:4">
      <c r="B802" s="1">
        <v>44953</v>
      </c>
      <c r="C802">
        <v>119.98</v>
      </c>
      <c r="D802" s="53">
        <v>73365000</v>
      </c>
    </row>
    <row r="803" spans="2:4">
      <c r="B803" s="1">
        <v>44956</v>
      </c>
      <c r="C803">
        <v>120.92</v>
      </c>
      <c r="D803" s="53">
        <v>68556000</v>
      </c>
    </row>
    <row r="804" spans="2:4">
      <c r="B804" s="1">
        <v>44957</v>
      </c>
      <c r="C804">
        <v>118.65</v>
      </c>
      <c r="D804" s="53">
        <v>69105000</v>
      </c>
    </row>
    <row r="805" spans="2:4">
      <c r="B805" s="1">
        <v>44958</v>
      </c>
      <c r="C805">
        <v>119.28</v>
      </c>
      <c r="D805" s="53">
        <v>66686000</v>
      </c>
    </row>
    <row r="806" spans="2:4">
      <c r="B806" s="1">
        <v>44959</v>
      </c>
      <c r="C806">
        <v>115.32</v>
      </c>
      <c r="D806" s="53">
        <v>74986000</v>
      </c>
    </row>
    <row r="807" spans="2:4">
      <c r="B807" s="1">
        <v>44960</v>
      </c>
      <c r="C807">
        <v>115.05</v>
      </c>
      <c r="D807" s="53">
        <v>40371000</v>
      </c>
    </row>
    <row r="808" spans="2:4">
      <c r="B808" s="1">
        <v>44963</v>
      </c>
      <c r="C808">
        <v>115</v>
      </c>
      <c r="D808" s="53">
        <v>30956000</v>
      </c>
    </row>
    <row r="809" spans="2:4">
      <c r="B809" s="1">
        <v>44964</v>
      </c>
      <c r="C809">
        <v>116.87</v>
      </c>
      <c r="D809" s="53">
        <v>41164000</v>
      </c>
    </row>
    <row r="810" spans="2:4">
      <c r="B810" s="1">
        <v>44965</v>
      </c>
      <c r="C810">
        <v>114.04</v>
      </c>
      <c r="D810" s="53">
        <v>39765000</v>
      </c>
    </row>
    <row r="811" spans="2:4">
      <c r="B811" s="1">
        <v>44966</v>
      </c>
      <c r="C811">
        <v>116.71</v>
      </c>
      <c r="D811" s="53">
        <v>62618000</v>
      </c>
    </row>
    <row r="812" spans="2:4">
      <c r="B812" s="1">
        <v>44967</v>
      </c>
      <c r="C812">
        <v>117.13</v>
      </c>
      <c r="D812" s="53">
        <v>34859000</v>
      </c>
    </row>
    <row r="813" spans="2:4">
      <c r="B813" s="1">
        <v>44970</v>
      </c>
      <c r="C813">
        <v>117.21</v>
      </c>
      <c r="D813" s="53">
        <v>38260000</v>
      </c>
    </row>
    <row r="814" spans="2:4">
      <c r="B814" s="1">
        <v>44971</v>
      </c>
      <c r="C814">
        <v>118.01</v>
      </c>
      <c r="D814" s="53">
        <v>33741000</v>
      </c>
    </row>
    <row r="815" spans="2:4">
      <c r="B815" s="1">
        <v>44972</v>
      </c>
      <c r="C815">
        <v>116.9</v>
      </c>
      <c r="D815" s="53">
        <v>44038000</v>
      </c>
    </row>
    <row r="816" spans="2:4">
      <c r="B816" s="1">
        <v>44973</v>
      </c>
      <c r="C816">
        <v>118.26</v>
      </c>
      <c r="D816" s="53">
        <v>16865000</v>
      </c>
    </row>
    <row r="817" spans="2:4">
      <c r="B817" s="1">
        <v>44974</v>
      </c>
      <c r="C817">
        <v>118.36</v>
      </c>
      <c r="D817" s="53">
        <v>27806000</v>
      </c>
    </row>
    <row r="818" spans="2:4">
      <c r="B818" s="1">
        <v>44978</v>
      </c>
      <c r="C818">
        <v>118.17</v>
      </c>
      <c r="D818" s="53">
        <v>39284000</v>
      </c>
    </row>
    <row r="819" spans="2:4">
      <c r="B819" s="1">
        <v>44979</v>
      </c>
      <c r="C819">
        <v>116.55</v>
      </c>
      <c r="D819" s="53">
        <v>51882000</v>
      </c>
    </row>
    <row r="820" spans="2:4">
      <c r="B820" s="1">
        <v>44980</v>
      </c>
      <c r="C820">
        <v>119</v>
      </c>
      <c r="D820" s="53">
        <v>60088000</v>
      </c>
    </row>
    <row r="821" spans="2:4">
      <c r="B821" s="1">
        <v>44981</v>
      </c>
      <c r="C821">
        <v>117.99</v>
      </c>
      <c r="D821" s="53">
        <v>39459000</v>
      </c>
    </row>
    <row r="822" spans="2:4">
      <c r="B822" s="1">
        <v>44984</v>
      </c>
      <c r="C822">
        <v>119.33</v>
      </c>
      <c r="D822" s="53">
        <v>64226000</v>
      </c>
    </row>
    <row r="823" spans="2:4">
      <c r="B823" s="1">
        <v>44985</v>
      </c>
      <c r="C823">
        <v>116.4</v>
      </c>
      <c r="D823" s="53">
        <v>110000000</v>
      </c>
    </row>
    <row r="824" spans="2:4">
      <c r="B824" s="1">
        <v>44986</v>
      </c>
      <c r="C824">
        <v>116.15</v>
      </c>
      <c r="D824" s="53">
        <v>72511000</v>
      </c>
    </row>
    <row r="825" spans="2:4">
      <c r="B825" s="1">
        <v>44987</v>
      </c>
      <c r="C825">
        <v>116.79</v>
      </c>
      <c r="D825" s="53">
        <v>48340000</v>
      </c>
    </row>
    <row r="826" spans="2:4">
      <c r="B826" s="1">
        <v>44988</v>
      </c>
      <c r="C826">
        <v>115.75</v>
      </c>
      <c r="D826" s="53">
        <v>65890000</v>
      </c>
    </row>
    <row r="827" spans="2:4">
      <c r="B827" s="1">
        <v>44991</v>
      </c>
      <c r="C827">
        <v>116.77</v>
      </c>
      <c r="D827" s="53">
        <v>28692000</v>
      </c>
    </row>
    <row r="828" spans="2:4">
      <c r="B828" s="1">
        <v>44992</v>
      </c>
      <c r="C828">
        <v>117.58</v>
      </c>
      <c r="D828" s="53">
        <v>25297000</v>
      </c>
    </row>
    <row r="829" spans="2:4">
      <c r="B829" s="1">
        <v>44993</v>
      </c>
      <c r="C829">
        <v>117.54</v>
      </c>
      <c r="D829" s="53">
        <v>48850000</v>
      </c>
    </row>
    <row r="830" spans="2:4">
      <c r="B830" s="1">
        <v>44994</v>
      </c>
      <c r="C830">
        <v>117.68</v>
      </c>
      <c r="D830" s="53">
        <v>32943000</v>
      </c>
    </row>
    <row r="831" spans="2:4">
      <c r="B831" s="1">
        <v>44995</v>
      </c>
      <c r="C831">
        <v>117</v>
      </c>
      <c r="D831" s="53">
        <v>42881000</v>
      </c>
    </row>
    <row r="832" spans="2:4">
      <c r="B832" s="1">
        <v>44998</v>
      </c>
      <c r="C832">
        <v>115</v>
      </c>
      <c r="D832" s="53">
        <v>37114000</v>
      </c>
    </row>
    <row r="833" spans="2:4">
      <c r="B833" s="1">
        <v>44999</v>
      </c>
      <c r="C833">
        <v>114.44</v>
      </c>
      <c r="D833" s="53">
        <v>59311000</v>
      </c>
    </row>
    <row r="834" spans="2:4">
      <c r="B834" s="1">
        <v>45000</v>
      </c>
      <c r="C834">
        <v>113.95</v>
      </c>
      <c r="D834" s="53">
        <v>53662000</v>
      </c>
    </row>
    <row r="835" spans="2:4">
      <c r="B835" s="1">
        <v>45001</v>
      </c>
      <c r="C835">
        <v>116.51</v>
      </c>
      <c r="D835" s="53">
        <v>39063000</v>
      </c>
    </row>
    <row r="836" spans="2:4">
      <c r="B836" s="1">
        <v>45002</v>
      </c>
      <c r="C836">
        <v>114.22</v>
      </c>
      <c r="D836" s="53">
        <v>95199000</v>
      </c>
    </row>
    <row r="837" spans="2:4">
      <c r="B837" s="1">
        <v>45005</v>
      </c>
      <c r="C837">
        <v>116.04</v>
      </c>
      <c r="D837" s="53">
        <v>35240000</v>
      </c>
    </row>
    <row r="838" spans="2:4">
      <c r="B838" s="1">
        <v>45006</v>
      </c>
      <c r="C838">
        <v>116.56</v>
      </c>
      <c r="D838" s="53">
        <v>53358000</v>
      </c>
    </row>
    <row r="839" spans="2:4">
      <c r="B839" s="1">
        <v>45007</v>
      </c>
      <c r="C839">
        <v>114.34</v>
      </c>
      <c r="D839" s="53">
        <v>25998000</v>
      </c>
    </row>
    <row r="840" spans="2:4">
      <c r="B840" s="1">
        <v>45008</v>
      </c>
      <c r="C840">
        <v>114.25</v>
      </c>
      <c r="D840" s="53">
        <v>45031000</v>
      </c>
    </row>
    <row r="841" spans="2:4">
      <c r="B841" s="1">
        <v>45009</v>
      </c>
      <c r="C841">
        <v>115.59</v>
      </c>
      <c r="D841" s="53">
        <v>31768000</v>
      </c>
    </row>
    <row r="842" spans="2:4">
      <c r="B842" s="1">
        <v>45012</v>
      </c>
      <c r="C842">
        <v>116.48</v>
      </c>
      <c r="D842" s="53">
        <v>33476000</v>
      </c>
    </row>
    <row r="843" spans="2:4">
      <c r="B843" s="1">
        <v>45013</v>
      </c>
      <c r="C843">
        <v>118.71</v>
      </c>
      <c r="D843" s="53">
        <v>29043000</v>
      </c>
    </row>
    <row r="844" spans="2:4">
      <c r="B844" s="1">
        <v>45014</v>
      </c>
      <c r="C844">
        <v>120.01</v>
      </c>
      <c r="D844" s="53">
        <v>51932000</v>
      </c>
    </row>
    <row r="845" spans="2:4">
      <c r="B845" s="1">
        <v>45015</v>
      </c>
      <c r="C845">
        <v>121.61</v>
      </c>
      <c r="D845" s="53">
        <v>32669000</v>
      </c>
    </row>
    <row r="846" spans="2:4">
      <c r="B846" s="1">
        <v>45016</v>
      </c>
      <c r="C846">
        <v>122.92</v>
      </c>
      <c r="D846" s="53">
        <v>35680000</v>
      </c>
    </row>
    <row r="847" spans="2:4">
      <c r="B847" s="1">
        <v>45019</v>
      </c>
      <c r="C847">
        <v>122.8</v>
      </c>
      <c r="D847" s="53">
        <v>25802000</v>
      </c>
    </row>
    <row r="848" spans="2:4">
      <c r="B848" s="1">
        <v>45020</v>
      </c>
      <c r="C848">
        <v>124.29</v>
      </c>
      <c r="D848" s="53">
        <v>39590000</v>
      </c>
    </row>
    <row r="849" spans="2:4">
      <c r="B849" s="1">
        <v>45021</v>
      </c>
      <c r="C849">
        <v>125.85</v>
      </c>
      <c r="D849" s="53">
        <v>51510000</v>
      </c>
    </row>
    <row r="850" spans="2:4">
      <c r="B850" s="1">
        <v>45022</v>
      </c>
      <c r="C850">
        <v>125.97</v>
      </c>
      <c r="D850" s="53">
        <v>46803000</v>
      </c>
    </row>
    <row r="851" spans="2:4">
      <c r="B851" s="1">
        <v>45026</v>
      </c>
      <c r="C851">
        <v>126.1</v>
      </c>
      <c r="D851" s="53">
        <v>27682000</v>
      </c>
    </row>
    <row r="852" spans="2:4">
      <c r="B852" s="1">
        <v>45027</v>
      </c>
      <c r="C852">
        <v>125.57</v>
      </c>
      <c r="D852" s="53">
        <v>25190000</v>
      </c>
    </row>
    <row r="853" spans="2:4">
      <c r="B853" s="1">
        <v>45028</v>
      </c>
      <c r="C853">
        <v>126.84</v>
      </c>
      <c r="D853" s="53">
        <v>19598000</v>
      </c>
    </row>
    <row r="854" spans="2:4">
      <c r="B854" s="1">
        <v>45029</v>
      </c>
      <c r="C854">
        <v>125.99</v>
      </c>
      <c r="D854" s="53">
        <v>36863000</v>
      </c>
    </row>
    <row r="855" spans="2:4">
      <c r="B855" s="1">
        <v>45030</v>
      </c>
      <c r="C855">
        <v>125.35</v>
      </c>
      <c r="D855" s="53">
        <v>26323000</v>
      </c>
    </row>
    <row r="856" spans="2:4">
      <c r="B856" s="1">
        <v>45033</v>
      </c>
      <c r="C856">
        <v>126.16</v>
      </c>
      <c r="D856" s="53">
        <v>44422000</v>
      </c>
    </row>
    <row r="857" spans="2:4">
      <c r="B857" s="1">
        <v>45034</v>
      </c>
      <c r="C857">
        <v>124.14</v>
      </c>
      <c r="D857" s="53">
        <v>47171000</v>
      </c>
    </row>
    <row r="858" spans="2:4">
      <c r="B858" s="1">
        <v>45035</v>
      </c>
      <c r="C858">
        <v>122.72</v>
      </c>
      <c r="D858" s="53">
        <v>30173000</v>
      </c>
    </row>
    <row r="859" spans="2:4">
      <c r="B859" s="1">
        <v>45036</v>
      </c>
      <c r="C859">
        <v>122.21</v>
      </c>
      <c r="D859" s="53">
        <v>40172000</v>
      </c>
    </row>
    <row r="860" spans="2:4">
      <c r="B860" s="1">
        <v>45037</v>
      </c>
      <c r="C860">
        <v>122.91</v>
      </c>
      <c r="D860" s="53">
        <v>43984000</v>
      </c>
    </row>
    <row r="861" spans="2:4">
      <c r="B861" s="1">
        <v>45040</v>
      </c>
      <c r="C861">
        <v>124.55</v>
      </c>
      <c r="D861" s="53">
        <v>28307000</v>
      </c>
    </row>
    <row r="862" spans="2:4">
      <c r="B862" s="1">
        <v>45041</v>
      </c>
      <c r="C862">
        <v>125.76</v>
      </c>
      <c r="D862" s="53">
        <v>36780000</v>
      </c>
    </row>
    <row r="863" spans="2:4">
      <c r="B863" s="1">
        <v>45042</v>
      </c>
      <c r="C863">
        <v>125.28</v>
      </c>
      <c r="D863" s="53">
        <v>98063000</v>
      </c>
    </row>
    <row r="864" spans="2:4">
      <c r="B864" s="1">
        <v>45043</v>
      </c>
      <c r="C864">
        <v>127.14</v>
      </c>
      <c r="D864" s="53">
        <v>39220000</v>
      </c>
    </row>
    <row r="865" spans="2:4">
      <c r="B865" s="1">
        <v>45044</v>
      </c>
      <c r="C865">
        <v>127.46</v>
      </c>
      <c r="D865" s="53">
        <v>31554000</v>
      </c>
    </row>
    <row r="866" spans="2:4">
      <c r="B866" s="1">
        <v>45047</v>
      </c>
      <c r="C866">
        <v>127.71</v>
      </c>
      <c r="D866" s="53">
        <v>24399000</v>
      </c>
    </row>
    <row r="867" spans="2:4">
      <c r="B867" s="1">
        <v>45048</v>
      </c>
      <c r="C867">
        <v>128.13</v>
      </c>
      <c r="D867" s="53">
        <v>45706000</v>
      </c>
    </row>
    <row r="868" spans="2:4">
      <c r="B868" s="1">
        <v>45049</v>
      </c>
      <c r="C868">
        <v>127.75</v>
      </c>
      <c r="D868" s="53">
        <v>58927000</v>
      </c>
    </row>
    <row r="869" spans="2:4">
      <c r="B869" s="1">
        <v>45050</v>
      </c>
      <c r="C869">
        <v>124.5</v>
      </c>
      <c r="D869" s="53">
        <v>61592000</v>
      </c>
    </row>
    <row r="870" spans="2:4">
      <c r="B870" s="1">
        <v>45051</v>
      </c>
      <c r="C870">
        <v>122</v>
      </c>
      <c r="D870" s="53">
        <v>63230000</v>
      </c>
    </row>
    <row r="871" spans="2:4">
      <c r="B871" s="1">
        <v>45054</v>
      </c>
      <c r="C871">
        <v>122.15</v>
      </c>
      <c r="D871" s="53">
        <v>40392000</v>
      </c>
    </row>
    <row r="872" spans="2:4">
      <c r="B872" s="1">
        <v>45055</v>
      </c>
      <c r="C872">
        <v>123.98</v>
      </c>
      <c r="D872" s="53">
        <v>29712000</v>
      </c>
    </row>
    <row r="873" spans="2:4">
      <c r="B873" s="1">
        <v>45056</v>
      </c>
      <c r="C873">
        <v>123.65</v>
      </c>
      <c r="D873" s="53">
        <v>57864000</v>
      </c>
    </row>
    <row r="874" spans="2:4">
      <c r="B874" s="1">
        <v>45057</v>
      </c>
      <c r="C874">
        <v>123.77</v>
      </c>
      <c r="D874" s="53">
        <v>35806000</v>
      </c>
    </row>
    <row r="875" spans="2:4">
      <c r="B875" s="1">
        <v>45058</v>
      </c>
      <c r="C875">
        <v>123.29</v>
      </c>
      <c r="D875" s="53">
        <v>22980000</v>
      </c>
    </row>
    <row r="876" spans="2:4">
      <c r="B876" s="1">
        <v>45061</v>
      </c>
      <c r="C876">
        <v>123.65</v>
      </c>
      <c r="D876" s="53">
        <v>31768000</v>
      </c>
    </row>
    <row r="877" spans="2:4">
      <c r="B877" s="1">
        <v>45062</v>
      </c>
      <c r="C877">
        <v>122.22</v>
      </c>
      <c r="D877" s="53">
        <v>60848000</v>
      </c>
    </row>
    <row r="878" spans="2:4">
      <c r="B878" s="1">
        <v>45063</v>
      </c>
      <c r="C878">
        <v>120.97</v>
      </c>
      <c r="D878" s="53">
        <v>33799000</v>
      </c>
    </row>
    <row r="879" spans="2:4">
      <c r="B879" s="1">
        <v>45064</v>
      </c>
      <c r="C879">
        <v>120.64</v>
      </c>
      <c r="D879" s="53">
        <v>50224000</v>
      </c>
    </row>
    <row r="880" spans="2:4">
      <c r="B880" s="1">
        <v>45065</v>
      </c>
      <c r="C880">
        <v>121.73</v>
      </c>
      <c r="D880" s="53">
        <v>38519000</v>
      </c>
    </row>
    <row r="881" spans="2:4">
      <c r="B881" s="1">
        <v>45069</v>
      </c>
      <c r="C881">
        <v>122.25</v>
      </c>
      <c r="D881" s="53">
        <v>75730000</v>
      </c>
    </row>
    <row r="882" spans="2:4">
      <c r="B882" s="1">
        <v>45070</v>
      </c>
      <c r="C882">
        <v>119.15</v>
      </c>
      <c r="D882" s="53">
        <v>33392000</v>
      </c>
    </row>
    <row r="883" spans="2:4">
      <c r="B883" s="1">
        <v>45071</v>
      </c>
      <c r="C883">
        <v>120.14</v>
      </c>
      <c r="D883" s="53">
        <v>34889000</v>
      </c>
    </row>
    <row r="884" spans="2:4">
      <c r="B884" s="1">
        <v>45072</v>
      </c>
      <c r="C884">
        <v>119.98</v>
      </c>
      <c r="D884" s="53">
        <v>34984000</v>
      </c>
    </row>
    <row r="885" spans="2:4">
      <c r="B885" s="1">
        <v>45075</v>
      </c>
      <c r="C885">
        <v>120.52</v>
      </c>
      <c r="D885" s="53">
        <v>14224000</v>
      </c>
    </row>
    <row r="886" spans="2:4">
      <c r="B886" s="1">
        <v>45076</v>
      </c>
      <c r="C886">
        <v>119.68</v>
      </c>
      <c r="D886" s="53">
        <v>48973000</v>
      </c>
    </row>
    <row r="887" spans="2:4">
      <c r="B887" s="1">
        <v>45077</v>
      </c>
      <c r="C887">
        <v>119.31</v>
      </c>
      <c r="D887" s="53">
        <v>111000000</v>
      </c>
    </row>
    <row r="888" spans="2:4">
      <c r="B888" s="1">
        <v>45078</v>
      </c>
      <c r="C888">
        <v>118.38</v>
      </c>
      <c r="D888" s="53">
        <v>43245000</v>
      </c>
    </row>
    <row r="889" spans="2:4">
      <c r="B889" s="1">
        <v>45079</v>
      </c>
      <c r="C889">
        <v>117.53</v>
      </c>
      <c r="D889" s="53">
        <v>44702000</v>
      </c>
    </row>
    <row r="890" spans="2:4">
      <c r="B890" s="1">
        <v>45082</v>
      </c>
      <c r="C890">
        <v>117.9</v>
      </c>
      <c r="D890" s="53">
        <v>156000000</v>
      </c>
    </row>
    <row r="891" spans="2:4">
      <c r="B891" s="1">
        <v>45083</v>
      </c>
      <c r="C891">
        <v>117.38</v>
      </c>
      <c r="D891" s="53">
        <v>35663000</v>
      </c>
    </row>
    <row r="892" spans="2:4">
      <c r="B892" s="1">
        <v>45084</v>
      </c>
      <c r="C892">
        <v>117.16</v>
      </c>
      <c r="D892" s="53">
        <v>35558000</v>
      </c>
    </row>
    <row r="893" spans="2:4">
      <c r="B893" s="1">
        <v>45085</v>
      </c>
      <c r="C893">
        <v>115.34</v>
      </c>
      <c r="D893" s="53">
        <v>27807000</v>
      </c>
    </row>
    <row r="894" spans="2:4">
      <c r="B894" s="1">
        <v>45086</v>
      </c>
      <c r="C894">
        <v>115.12</v>
      </c>
      <c r="D894" s="53">
        <v>61485000</v>
      </c>
    </row>
    <row r="895" spans="2:4">
      <c r="B895" s="1">
        <v>45089</v>
      </c>
      <c r="C895">
        <v>116.17</v>
      </c>
      <c r="D895" s="53">
        <v>49150000</v>
      </c>
    </row>
    <row r="896" spans="2:4">
      <c r="B896" s="1">
        <v>45090</v>
      </c>
      <c r="C896">
        <v>116.14</v>
      </c>
      <c r="D896" s="53">
        <v>51046000</v>
      </c>
    </row>
    <row r="897" spans="2:4">
      <c r="B897" s="1">
        <v>45091</v>
      </c>
      <c r="C897">
        <v>116.73</v>
      </c>
      <c r="D897" s="53">
        <v>24864000</v>
      </c>
    </row>
    <row r="898" spans="2:4">
      <c r="B898" s="1">
        <v>45092</v>
      </c>
      <c r="C898">
        <v>117.08</v>
      </c>
      <c r="D898" s="53">
        <v>33102000</v>
      </c>
    </row>
    <row r="899" spans="2:4">
      <c r="B899" s="1">
        <v>45093</v>
      </c>
      <c r="C899">
        <v>116.3</v>
      </c>
      <c r="D899" s="53">
        <v>113000000</v>
      </c>
    </row>
    <row r="900" spans="2:4">
      <c r="B900" s="1">
        <v>45096</v>
      </c>
      <c r="C900">
        <v>115.67</v>
      </c>
      <c r="D900" s="53">
        <v>13074000</v>
      </c>
    </row>
    <row r="901" spans="2:4">
      <c r="B901" s="1">
        <v>45097</v>
      </c>
      <c r="C901">
        <v>115.51</v>
      </c>
      <c r="D901" s="53">
        <v>50662000</v>
      </c>
    </row>
    <row r="902" spans="2:4">
      <c r="B902" s="1">
        <v>45098</v>
      </c>
      <c r="C902">
        <v>115.61</v>
      </c>
      <c r="D902" s="53">
        <v>23967000</v>
      </c>
    </row>
    <row r="903" spans="2:4">
      <c r="B903" s="1">
        <v>45099</v>
      </c>
      <c r="C903">
        <v>114.84</v>
      </c>
      <c r="D903" s="53">
        <v>28088000</v>
      </c>
    </row>
    <row r="904" spans="2:4">
      <c r="B904" s="1">
        <v>45100</v>
      </c>
      <c r="C904">
        <v>116</v>
      </c>
      <c r="D904" s="53">
        <v>32217000</v>
      </c>
    </row>
    <row r="905" spans="2:4">
      <c r="B905" s="1">
        <v>45103</v>
      </c>
      <c r="C905">
        <v>116.36</v>
      </c>
      <c r="D905" s="53">
        <v>49130000</v>
      </c>
    </row>
    <row r="906" spans="2:4">
      <c r="B906" s="1">
        <v>45104</v>
      </c>
      <c r="C906">
        <v>118.25</v>
      </c>
      <c r="D906" s="53">
        <v>28735000</v>
      </c>
    </row>
    <row r="907" spans="2:4">
      <c r="B907" s="1">
        <v>45105</v>
      </c>
      <c r="C907">
        <v>118.55</v>
      </c>
      <c r="D907" s="53">
        <v>35563000</v>
      </c>
    </row>
    <row r="908" spans="2:4">
      <c r="B908" s="1">
        <v>45106</v>
      </c>
      <c r="C908">
        <v>119.32</v>
      </c>
      <c r="D908" s="53">
        <v>21858000</v>
      </c>
    </row>
    <row r="909" spans="2:4">
      <c r="B909" s="1">
        <v>45107</v>
      </c>
      <c r="C909">
        <v>119.23</v>
      </c>
      <c r="D909" s="53">
        <v>39814000</v>
      </c>
    </row>
    <row r="910" spans="2:4">
      <c r="B910" s="1">
        <v>45111</v>
      </c>
      <c r="C910">
        <v>121.27</v>
      </c>
      <c r="D910" s="53">
        <v>15752000</v>
      </c>
    </row>
    <row r="911" spans="2:4">
      <c r="B911" s="1">
        <v>45112</v>
      </c>
      <c r="C911">
        <v>120.49</v>
      </c>
      <c r="D911" s="53">
        <v>27176000</v>
      </c>
    </row>
    <row r="912" spans="2:4">
      <c r="B912" s="1">
        <v>45113</v>
      </c>
      <c r="C912">
        <v>119.87</v>
      </c>
      <c r="D912" s="53">
        <v>30932000</v>
      </c>
    </row>
    <row r="913" spans="2:4">
      <c r="B913" s="1">
        <v>45114</v>
      </c>
      <c r="C913">
        <v>119.3</v>
      </c>
      <c r="D913" s="53">
        <v>32464000</v>
      </c>
    </row>
    <row r="914" spans="2:4">
      <c r="B914" s="1">
        <v>45117</v>
      </c>
      <c r="C914">
        <v>118.7</v>
      </c>
      <c r="D914" s="53">
        <v>34164000</v>
      </c>
    </row>
    <row r="915" spans="2:4">
      <c r="B915" s="1">
        <v>45118</v>
      </c>
      <c r="C915">
        <v>118.76</v>
      </c>
      <c r="D915" s="53">
        <v>39342000</v>
      </c>
    </row>
    <row r="916" spans="2:4">
      <c r="B916" s="1">
        <v>45119</v>
      </c>
      <c r="C916">
        <v>117.31</v>
      </c>
      <c r="D916" s="53">
        <v>43705000</v>
      </c>
    </row>
    <row r="917" spans="2:4">
      <c r="B917" s="1">
        <v>45120</v>
      </c>
      <c r="C917">
        <v>116.47</v>
      </c>
      <c r="D917" s="53">
        <v>23252000</v>
      </c>
    </row>
    <row r="918" spans="2:4">
      <c r="B918" s="1">
        <v>45121</v>
      </c>
      <c r="C918">
        <v>117.57</v>
      </c>
      <c r="D918" s="53">
        <v>30696000</v>
      </c>
    </row>
    <row r="919" spans="2:4">
      <c r="B919" s="1">
        <v>45124</v>
      </c>
      <c r="C919">
        <v>119.37</v>
      </c>
      <c r="D919" s="53">
        <v>35163000</v>
      </c>
    </row>
    <row r="920" spans="2:4">
      <c r="B920" s="1">
        <v>45125</v>
      </c>
      <c r="C920">
        <v>120.29</v>
      </c>
      <c r="D920" s="53">
        <v>48795000</v>
      </c>
    </row>
    <row r="921" spans="2:4">
      <c r="B921" s="1">
        <v>45126</v>
      </c>
      <c r="C921">
        <v>119</v>
      </c>
      <c r="D921" s="53">
        <v>17599000</v>
      </c>
    </row>
    <row r="922" spans="2:4">
      <c r="B922" s="1">
        <v>45127</v>
      </c>
      <c r="C922">
        <v>118.5</v>
      </c>
      <c r="D922" s="53">
        <v>15375000</v>
      </c>
    </row>
    <row r="923" spans="2:4">
      <c r="B923" s="1">
        <v>45128</v>
      </c>
      <c r="C923">
        <v>119.73</v>
      </c>
      <c r="D923" s="53">
        <v>19716000</v>
      </c>
    </row>
    <row r="924" spans="2:4">
      <c r="B924" s="1">
        <v>45131</v>
      </c>
      <c r="C924">
        <v>120.24</v>
      </c>
      <c r="D924" s="53">
        <v>11258000</v>
      </c>
    </row>
    <row r="925" spans="2:4">
      <c r="B925" s="1">
        <v>45132</v>
      </c>
      <c r="C925">
        <v>119.24</v>
      </c>
      <c r="D925" s="53">
        <v>40510000</v>
      </c>
    </row>
    <row r="926" spans="2:4">
      <c r="B926" s="1">
        <v>45133</v>
      </c>
      <c r="C926">
        <v>119.39</v>
      </c>
      <c r="D926" s="53">
        <v>39748000</v>
      </c>
    </row>
    <row r="927" spans="2:4">
      <c r="B927" s="1">
        <v>45134</v>
      </c>
      <c r="C927">
        <v>117.27</v>
      </c>
      <c r="D927" s="53">
        <v>39204000</v>
      </c>
    </row>
    <row r="928" spans="2:4">
      <c r="B928" s="1">
        <v>45135</v>
      </c>
      <c r="C928">
        <v>116.76</v>
      </c>
      <c r="D928" s="53">
        <v>27693000</v>
      </c>
    </row>
    <row r="929" spans="2:4">
      <c r="B929" s="1">
        <v>45138</v>
      </c>
      <c r="C929">
        <v>116.73</v>
      </c>
      <c r="D929" s="53">
        <v>44170000</v>
      </c>
    </row>
    <row r="930" spans="2:4">
      <c r="B930" s="1">
        <v>45139</v>
      </c>
      <c r="C930">
        <v>117.08</v>
      </c>
      <c r="D930" s="53">
        <v>27822000</v>
      </c>
    </row>
    <row r="931" spans="2:4">
      <c r="B931" s="1">
        <v>45140</v>
      </c>
      <c r="C931">
        <v>116</v>
      </c>
      <c r="D931" s="53">
        <v>38012000</v>
      </c>
    </row>
    <row r="932" spans="2:4">
      <c r="B932" s="1">
        <v>45141</v>
      </c>
      <c r="C932">
        <v>115.69</v>
      </c>
      <c r="D932" s="53">
        <v>48648000</v>
      </c>
    </row>
    <row r="933" spans="2:4">
      <c r="B933" s="1">
        <v>45142</v>
      </c>
      <c r="C933">
        <v>115.37</v>
      </c>
      <c r="D933" s="53">
        <v>34583000</v>
      </c>
    </row>
    <row r="934" spans="2:4">
      <c r="B934" s="1">
        <v>45146</v>
      </c>
      <c r="C934">
        <v>115.91</v>
      </c>
      <c r="D934" s="53">
        <v>35372000</v>
      </c>
    </row>
    <row r="935" spans="2:4">
      <c r="B935" s="1">
        <v>45147</v>
      </c>
      <c r="C935">
        <v>116.55</v>
      </c>
      <c r="D935" s="53">
        <v>25323000</v>
      </c>
    </row>
    <row r="936" spans="2:4">
      <c r="B936" s="1">
        <v>45148</v>
      </c>
      <c r="C936">
        <v>117.59</v>
      </c>
      <c r="D936" s="53">
        <v>47393000</v>
      </c>
    </row>
    <row r="937" spans="2:4">
      <c r="B937" s="1">
        <v>45149</v>
      </c>
      <c r="C937">
        <v>118.76</v>
      </c>
      <c r="D937" s="53">
        <v>28029000</v>
      </c>
    </row>
    <row r="938" spans="2:4">
      <c r="B938" s="1">
        <v>45152</v>
      </c>
      <c r="C938">
        <v>118</v>
      </c>
      <c r="D938" s="53">
        <v>38563000</v>
      </c>
    </row>
    <row r="939" spans="2:4">
      <c r="B939" s="1">
        <v>45153</v>
      </c>
      <c r="C939">
        <v>117.5</v>
      </c>
      <c r="D939" s="53">
        <v>30389000</v>
      </c>
    </row>
    <row r="940" spans="2:4">
      <c r="B940" s="1">
        <v>45154</v>
      </c>
      <c r="C940">
        <v>116.38</v>
      </c>
      <c r="D940" s="53">
        <v>22912000</v>
      </c>
    </row>
    <row r="941" spans="2:4">
      <c r="B941" s="1">
        <v>45155</v>
      </c>
      <c r="C941">
        <v>116.84</v>
      </c>
      <c r="D941" s="53">
        <v>22126000</v>
      </c>
    </row>
    <row r="942" spans="2:4">
      <c r="B942" s="1">
        <v>45156</v>
      </c>
      <c r="C942">
        <v>116.76</v>
      </c>
      <c r="D942" s="53">
        <v>51745000</v>
      </c>
    </row>
    <row r="943" spans="2:4">
      <c r="B943" s="1">
        <v>45159</v>
      </c>
      <c r="C943">
        <v>115.76</v>
      </c>
      <c r="D943" s="53">
        <v>33215000</v>
      </c>
    </row>
    <row r="944" spans="2:4">
      <c r="B944" s="1">
        <v>45160</v>
      </c>
      <c r="C944">
        <v>115.5</v>
      </c>
      <c r="D944" s="53">
        <v>46453000</v>
      </c>
    </row>
    <row r="945" spans="2:4">
      <c r="B945" s="1">
        <v>45161</v>
      </c>
      <c r="C945">
        <v>114.99</v>
      </c>
      <c r="D945" s="53">
        <v>25357000</v>
      </c>
    </row>
    <row r="946" spans="2:4">
      <c r="B946" s="1">
        <v>45162</v>
      </c>
      <c r="C946">
        <v>115.07</v>
      </c>
      <c r="D946" s="53">
        <v>26732000</v>
      </c>
    </row>
    <row r="947" spans="2:4">
      <c r="B947" s="1">
        <v>45163</v>
      </c>
      <c r="C947">
        <v>115.66</v>
      </c>
      <c r="D947" s="53">
        <v>34599000</v>
      </c>
    </row>
    <row r="948" spans="2:4">
      <c r="B948" s="1">
        <v>45166</v>
      </c>
      <c r="C948">
        <v>116.86</v>
      </c>
      <c r="D948" s="53">
        <v>26627000</v>
      </c>
    </row>
    <row r="949" spans="2:4">
      <c r="B949" s="1">
        <v>45167</v>
      </c>
      <c r="C949">
        <v>116.51</v>
      </c>
      <c r="D949" s="53">
        <v>53735000</v>
      </c>
    </row>
    <row r="950" spans="2:4">
      <c r="B950" s="1">
        <v>45168</v>
      </c>
      <c r="C950">
        <v>119.5</v>
      </c>
      <c r="D950" s="53">
        <v>35146000</v>
      </c>
    </row>
    <row r="951" spans="2:4">
      <c r="B951" s="1">
        <v>45169</v>
      </c>
      <c r="C951">
        <v>119.46</v>
      </c>
      <c r="D951" s="53">
        <v>81201000</v>
      </c>
    </row>
    <row r="952" spans="2:4">
      <c r="B952" s="1">
        <v>45170</v>
      </c>
      <c r="C952">
        <v>117.87</v>
      </c>
      <c r="D952" s="53">
        <v>38084000</v>
      </c>
    </row>
    <row r="953" spans="2:4">
      <c r="B953" s="1">
        <v>45174</v>
      </c>
      <c r="C953">
        <v>118.41</v>
      </c>
      <c r="D953" s="53">
        <v>22734000</v>
      </c>
    </row>
    <row r="954" spans="2:4">
      <c r="B954" s="1">
        <v>45175</v>
      </c>
      <c r="C954">
        <v>119.11</v>
      </c>
      <c r="D954" s="53">
        <v>33380000</v>
      </c>
    </row>
    <row r="955" spans="2:4">
      <c r="B955" s="1">
        <v>45176</v>
      </c>
      <c r="C955">
        <v>119.49</v>
      </c>
      <c r="D955" s="53">
        <v>34439000</v>
      </c>
    </row>
    <row r="956" spans="2:4">
      <c r="B956" s="1">
        <v>45177</v>
      </c>
      <c r="C956">
        <v>117</v>
      </c>
      <c r="D956" s="53">
        <v>19320000</v>
      </c>
    </row>
    <row r="957" spans="2:4">
      <c r="B957" s="1">
        <v>45180</v>
      </c>
      <c r="C957">
        <v>118.66</v>
      </c>
      <c r="D957" s="53">
        <v>15055000</v>
      </c>
    </row>
    <row r="958" spans="2:4">
      <c r="B958" s="1">
        <v>45181</v>
      </c>
      <c r="C958">
        <v>118.5</v>
      </c>
      <c r="D958" s="53">
        <v>18863000</v>
      </c>
    </row>
    <row r="959" spans="2:4">
      <c r="B959" s="1">
        <v>45182</v>
      </c>
      <c r="C959">
        <v>118.15</v>
      </c>
      <c r="D959" s="53">
        <v>70936000</v>
      </c>
    </row>
    <row r="960" spans="2:4">
      <c r="B960" s="1">
        <v>45183</v>
      </c>
      <c r="C960">
        <v>117.72</v>
      </c>
      <c r="D960" s="53">
        <v>56270000</v>
      </c>
    </row>
    <row r="961" spans="2:4">
      <c r="B961" s="1">
        <v>45184</v>
      </c>
      <c r="C961">
        <v>116.71</v>
      </c>
      <c r="D961" s="53">
        <v>166000000</v>
      </c>
    </row>
    <row r="962" spans="2:4">
      <c r="B962" s="1">
        <v>45187</v>
      </c>
      <c r="C962">
        <v>115.34</v>
      </c>
      <c r="D962" s="53">
        <v>46249000</v>
      </c>
    </row>
    <row r="963" spans="2:4">
      <c r="B963" s="1">
        <v>45188</v>
      </c>
      <c r="C963">
        <v>114.83</v>
      </c>
      <c r="D963" s="53">
        <v>40227000</v>
      </c>
    </row>
    <row r="964" spans="2:4">
      <c r="B964" s="1">
        <v>45189</v>
      </c>
      <c r="C964">
        <v>113.63</v>
      </c>
      <c r="D964" s="53">
        <v>29942000</v>
      </c>
    </row>
    <row r="965" spans="2:4">
      <c r="B965" s="1">
        <v>45190</v>
      </c>
      <c r="C965">
        <v>113.48</v>
      </c>
      <c r="D965" s="53">
        <v>43018000</v>
      </c>
    </row>
    <row r="966" spans="2:4">
      <c r="B966" s="1">
        <v>45191</v>
      </c>
      <c r="C966">
        <v>113.29</v>
      </c>
      <c r="D966" s="53">
        <v>26412000</v>
      </c>
    </row>
    <row r="967" spans="2:4">
      <c r="B967" s="1">
        <v>45194</v>
      </c>
      <c r="C967">
        <v>112.88</v>
      </c>
      <c r="D967" s="53">
        <v>24398000</v>
      </c>
    </row>
    <row r="968" spans="2:4">
      <c r="B968" s="1">
        <v>45195</v>
      </c>
      <c r="C968">
        <v>111.82</v>
      </c>
      <c r="D968" s="53">
        <v>52437000</v>
      </c>
    </row>
    <row r="969" spans="2:4">
      <c r="B969" s="1">
        <v>45196</v>
      </c>
      <c r="C969">
        <v>113.75</v>
      </c>
      <c r="D969" s="53">
        <v>45411000</v>
      </c>
    </row>
    <row r="970" spans="2:4">
      <c r="B970" s="1">
        <v>45197</v>
      </c>
      <c r="C970">
        <v>113.29</v>
      </c>
      <c r="D970" s="53">
        <v>33331000</v>
      </c>
    </row>
    <row r="971" spans="2:4">
      <c r="B971" s="1">
        <v>45198</v>
      </c>
      <c r="C971">
        <v>115.51</v>
      </c>
      <c r="D971" s="53">
        <v>45903000</v>
      </c>
    </row>
    <row r="972" spans="2:4">
      <c r="B972" s="1">
        <v>45201</v>
      </c>
      <c r="C972">
        <v>115.59</v>
      </c>
      <c r="D972" s="53">
        <v>38982000</v>
      </c>
    </row>
    <row r="973" spans="2:4">
      <c r="B973" s="1">
        <v>45202</v>
      </c>
      <c r="C973">
        <v>115.85</v>
      </c>
      <c r="D973" s="53">
        <v>52068000</v>
      </c>
    </row>
    <row r="974" spans="2:4">
      <c r="B974" s="1">
        <v>45203</v>
      </c>
      <c r="C974">
        <v>117.61</v>
      </c>
      <c r="D974" s="53">
        <v>35270000</v>
      </c>
    </row>
    <row r="975" spans="2:4">
      <c r="B975" s="1">
        <v>45204</v>
      </c>
      <c r="C975">
        <v>117.61</v>
      </c>
      <c r="D975" s="53">
        <v>32193000</v>
      </c>
    </row>
    <row r="976" spans="2:4">
      <c r="B976" s="1">
        <v>45205</v>
      </c>
      <c r="C976">
        <v>116.93</v>
      </c>
      <c r="D976" s="53">
        <v>24774000</v>
      </c>
    </row>
    <row r="977" spans="2:4">
      <c r="B977" s="1">
        <v>45209</v>
      </c>
      <c r="C977">
        <v>116.54</v>
      </c>
      <c r="D977" s="53">
        <v>29766000</v>
      </c>
    </row>
    <row r="978" spans="2:4">
      <c r="B978" s="1">
        <v>45210</v>
      </c>
      <c r="C978">
        <v>115.78</v>
      </c>
      <c r="D978" s="53">
        <v>53990000</v>
      </c>
    </row>
    <row r="979" spans="2:4">
      <c r="B979" s="1">
        <v>45211</v>
      </c>
      <c r="C979">
        <v>116.09</v>
      </c>
      <c r="D979" s="53">
        <v>23198000</v>
      </c>
    </row>
    <row r="980" spans="2:4">
      <c r="B980" s="1">
        <v>45212</v>
      </c>
      <c r="C980">
        <v>116.42</v>
      </c>
      <c r="D980" s="53">
        <v>34562000</v>
      </c>
    </row>
    <row r="981" spans="2:4">
      <c r="B981" s="1">
        <v>45215</v>
      </c>
      <c r="C981">
        <v>114.16</v>
      </c>
      <c r="D981" s="53">
        <v>26935000</v>
      </c>
    </row>
    <row r="982" spans="2:4">
      <c r="B982" s="1">
        <v>45216</v>
      </c>
      <c r="C982">
        <v>114.62</v>
      </c>
      <c r="D982" s="53">
        <v>26562000</v>
      </c>
    </row>
    <row r="983" spans="2:4">
      <c r="B983" s="1">
        <v>45217</v>
      </c>
      <c r="C983">
        <v>114.19</v>
      </c>
      <c r="D983" s="53">
        <v>38951000</v>
      </c>
    </row>
    <row r="984" spans="2:4">
      <c r="B984" s="1">
        <v>45218</v>
      </c>
      <c r="C984">
        <v>112.58</v>
      </c>
      <c r="D984" s="53">
        <v>27786000</v>
      </c>
    </row>
    <row r="985" spans="2:4">
      <c r="B985" s="1">
        <v>45219</v>
      </c>
      <c r="C985">
        <v>111.62</v>
      </c>
      <c r="D985" s="53">
        <v>30767000</v>
      </c>
    </row>
    <row r="986" spans="2:4">
      <c r="B986" s="1">
        <v>45222</v>
      </c>
      <c r="C986">
        <v>111.3</v>
      </c>
      <c r="D986" s="53">
        <v>19972000</v>
      </c>
    </row>
    <row r="987" spans="2:4">
      <c r="B987" s="1">
        <v>45223</v>
      </c>
      <c r="C987">
        <v>111.77</v>
      </c>
      <c r="D987" s="53">
        <v>33301000</v>
      </c>
    </row>
    <row r="988" spans="2:4">
      <c r="B988" s="1">
        <v>45224</v>
      </c>
      <c r="C988">
        <v>110.75</v>
      </c>
      <c r="D988" s="53">
        <v>33426000</v>
      </c>
    </row>
    <row r="989" spans="2:4">
      <c r="B989" s="1">
        <v>45225</v>
      </c>
      <c r="C989">
        <v>111.65</v>
      </c>
      <c r="D989" s="53">
        <v>30547000</v>
      </c>
    </row>
    <row r="990" spans="2:4">
      <c r="B990" s="1">
        <v>45226</v>
      </c>
      <c r="C990">
        <v>111.4</v>
      </c>
      <c r="D990" s="53">
        <v>15269000</v>
      </c>
    </row>
    <row r="991" spans="2:4">
      <c r="B991" s="1">
        <v>45229</v>
      </c>
      <c r="C991">
        <v>111.1</v>
      </c>
      <c r="D991" s="53">
        <v>23662000</v>
      </c>
    </row>
    <row r="992" spans="2:4">
      <c r="B992" s="1">
        <v>45230</v>
      </c>
      <c r="C992">
        <v>113.45</v>
      </c>
      <c r="D992" s="53">
        <v>44308000</v>
      </c>
    </row>
    <row r="993" spans="2:4">
      <c r="B993" s="1">
        <v>45231</v>
      </c>
      <c r="C993">
        <v>113.99</v>
      </c>
      <c r="D993" s="53">
        <v>19256000</v>
      </c>
    </row>
    <row r="994" spans="2:4">
      <c r="B994" s="1">
        <v>45232</v>
      </c>
      <c r="C994">
        <v>115.22</v>
      </c>
      <c r="D994" s="53">
        <v>26220000</v>
      </c>
    </row>
    <row r="995" spans="2:4">
      <c r="B995" s="1">
        <v>45233</v>
      </c>
      <c r="C995">
        <v>117.89</v>
      </c>
      <c r="D995" s="53">
        <v>27515000</v>
      </c>
    </row>
    <row r="996" spans="2:4">
      <c r="B996" s="1">
        <v>45236</v>
      </c>
      <c r="C996">
        <v>119.74</v>
      </c>
      <c r="D996" s="53">
        <v>27982000</v>
      </c>
    </row>
    <row r="997" spans="2:4">
      <c r="B997" s="1">
        <v>45237</v>
      </c>
      <c r="C997">
        <v>121.15</v>
      </c>
      <c r="D997" s="53">
        <v>20856000</v>
      </c>
    </row>
    <row r="998" spans="2:4">
      <c r="B998" s="1">
        <v>45238</v>
      </c>
      <c r="C998">
        <v>120.96</v>
      </c>
      <c r="D998" s="53">
        <v>23214000</v>
      </c>
    </row>
    <row r="999" spans="2:4">
      <c r="B999" s="1">
        <v>45239</v>
      </c>
      <c r="C999">
        <v>119.83</v>
      </c>
      <c r="D999" s="53">
        <v>26554000</v>
      </c>
    </row>
    <row r="1000" spans="2:4">
      <c r="B1000" s="1">
        <v>45240</v>
      </c>
      <c r="C1000">
        <v>120.51</v>
      </c>
      <c r="D1000" s="53">
        <v>16343000</v>
      </c>
    </row>
    <row r="1001" spans="2:4">
      <c r="B1001" s="1">
        <v>45243</v>
      </c>
      <c r="C1001">
        <v>121.25</v>
      </c>
      <c r="D1001" s="53">
        <v>40336000</v>
      </c>
    </row>
    <row r="1002" spans="2:4">
      <c r="B1002" s="1">
        <v>45244</v>
      </c>
      <c r="C1002">
        <v>121.37</v>
      </c>
      <c r="D1002" s="53">
        <v>39168000</v>
      </c>
    </row>
    <row r="1003" spans="2:4">
      <c r="B1003" s="1">
        <v>45245</v>
      </c>
      <c r="C1003">
        <v>124.3</v>
      </c>
      <c r="D1003" s="53">
        <v>41579000</v>
      </c>
    </row>
    <row r="1004" spans="2:4">
      <c r="B1004" s="1">
        <v>45246</v>
      </c>
      <c r="C1004">
        <v>119.11</v>
      </c>
      <c r="D1004" s="53">
        <v>46098000</v>
      </c>
    </row>
    <row r="1005" spans="2:4">
      <c r="B1005" s="1">
        <v>45247</v>
      </c>
      <c r="C1005">
        <v>123.1</v>
      </c>
      <c r="D1005" s="53">
        <v>52588000</v>
      </c>
    </row>
    <row r="1006" spans="2:4">
      <c r="B1006" s="1">
        <v>45250</v>
      </c>
      <c r="C1006">
        <v>121</v>
      </c>
      <c r="D1006" s="53">
        <v>31480000</v>
      </c>
    </row>
    <row r="1007" spans="2:4">
      <c r="B1007" s="1">
        <v>45251</v>
      </c>
      <c r="C1007">
        <v>121.11</v>
      </c>
      <c r="D1007" s="53">
        <v>45190000</v>
      </c>
    </row>
    <row r="1008" spans="2:4">
      <c r="B1008" s="1">
        <v>45252</v>
      </c>
      <c r="C1008">
        <v>119.32</v>
      </c>
      <c r="D1008" s="53">
        <v>59765000</v>
      </c>
    </row>
    <row r="1009" spans="2:4">
      <c r="B1009" s="1">
        <v>45253</v>
      </c>
      <c r="C1009">
        <v>122.36</v>
      </c>
      <c r="D1009" s="53">
        <v>14714000</v>
      </c>
    </row>
    <row r="1010" spans="2:4">
      <c r="B1010" s="1">
        <v>45254</v>
      </c>
      <c r="C1010">
        <v>121.71</v>
      </c>
      <c r="D1010" s="53">
        <v>20978000</v>
      </c>
    </row>
    <row r="1011" spans="2:4">
      <c r="B1011" s="1">
        <v>45257</v>
      </c>
      <c r="C1011">
        <v>121.29</v>
      </c>
      <c r="D1011" s="53">
        <v>40422000</v>
      </c>
    </row>
    <row r="1012" spans="2:4">
      <c r="B1012" s="1">
        <v>45258</v>
      </c>
      <c r="C1012">
        <v>121.25</v>
      </c>
      <c r="D1012" s="53">
        <v>54451000</v>
      </c>
    </row>
    <row r="1013" spans="2:4">
      <c r="B1013" s="1">
        <v>45259</v>
      </c>
      <c r="C1013">
        <v>119.64</v>
      </c>
      <c r="D1013" s="53">
        <v>51921000</v>
      </c>
    </row>
    <row r="1014" spans="2:4">
      <c r="B1014" s="1">
        <v>45260</v>
      </c>
      <c r="C1014">
        <v>120.9</v>
      </c>
      <c r="D1014" s="53">
        <v>247000000</v>
      </c>
    </row>
    <row r="1015" spans="2:4">
      <c r="B1015" s="1">
        <v>45261</v>
      </c>
      <c r="C1015">
        <v>117.71</v>
      </c>
      <c r="D1015" s="53">
        <v>53122000</v>
      </c>
    </row>
    <row r="1016" spans="2:4">
      <c r="B1016" s="1">
        <v>45264</v>
      </c>
      <c r="C1016">
        <v>118.5</v>
      </c>
      <c r="D1016" s="53">
        <v>31819000</v>
      </c>
    </row>
    <row r="1017" spans="2:4">
      <c r="B1017" s="1">
        <v>45265</v>
      </c>
      <c r="C1017">
        <v>118.99</v>
      </c>
      <c r="D1017" s="53">
        <v>60749000</v>
      </c>
    </row>
    <row r="1018" spans="2:4">
      <c r="B1018" s="1">
        <v>45266</v>
      </c>
      <c r="C1018">
        <v>121.21</v>
      </c>
      <c r="D1018" s="53">
        <v>80276000</v>
      </c>
    </row>
    <row r="1019" spans="2:4">
      <c r="B1019" s="1">
        <v>45267</v>
      </c>
      <c r="C1019">
        <v>123.1</v>
      </c>
      <c r="D1019" s="53">
        <v>50672000</v>
      </c>
    </row>
    <row r="1020" spans="2:4">
      <c r="B1020" s="1">
        <v>45268</v>
      </c>
      <c r="C1020">
        <v>123.31</v>
      </c>
      <c r="D1020" s="53">
        <v>58554000</v>
      </c>
    </row>
    <row r="1021" spans="2:4">
      <c r="B1021" s="1">
        <v>45271</v>
      </c>
      <c r="C1021">
        <v>123.87</v>
      </c>
      <c r="D1021" s="53">
        <v>43883000</v>
      </c>
    </row>
    <row r="1022" spans="2:4">
      <c r="B1022" s="1">
        <v>45272</v>
      </c>
      <c r="C1022">
        <v>125</v>
      </c>
      <c r="D1022" s="53">
        <v>55696000</v>
      </c>
    </row>
    <row r="1023" spans="2:4">
      <c r="B1023" s="1">
        <v>45273</v>
      </c>
      <c r="C1023">
        <v>125</v>
      </c>
      <c r="D1023" s="53">
        <v>64240000</v>
      </c>
    </row>
    <row r="1024" spans="2:4">
      <c r="B1024" s="1">
        <v>45274</v>
      </c>
      <c r="C1024">
        <v>125.1</v>
      </c>
      <c r="D1024" s="53">
        <v>123000000</v>
      </c>
    </row>
    <row r="1025" spans="2:4">
      <c r="B1025" s="1">
        <v>45275</v>
      </c>
      <c r="C1025">
        <v>120.56</v>
      </c>
      <c r="D1025" s="53">
        <v>143000000</v>
      </c>
    </row>
    <row r="1026" spans="2:4">
      <c r="B1026" s="1">
        <v>45278</v>
      </c>
      <c r="C1026">
        <v>118.53</v>
      </c>
      <c r="D1026" s="53">
        <v>51039000</v>
      </c>
    </row>
    <row r="1027" spans="2:4">
      <c r="B1027" s="1">
        <v>45279</v>
      </c>
      <c r="C1027">
        <v>119.99</v>
      </c>
      <c r="D1027" s="53">
        <v>71911000</v>
      </c>
    </row>
    <row r="1028" spans="2:4">
      <c r="B1028" s="1">
        <v>45280</v>
      </c>
      <c r="C1028">
        <v>122.15</v>
      </c>
      <c r="D1028" s="53">
        <v>66172000</v>
      </c>
    </row>
    <row r="1029" spans="2:4">
      <c r="B1029" s="1">
        <v>45281</v>
      </c>
      <c r="C1029">
        <v>124.27</v>
      </c>
      <c r="D1029" s="53">
        <v>34727000</v>
      </c>
    </row>
    <row r="1030" spans="2:4">
      <c r="B1030" s="1">
        <v>45282</v>
      </c>
      <c r="C1030">
        <v>125.17</v>
      </c>
      <c r="D1030" s="53">
        <v>47248000</v>
      </c>
    </row>
    <row r="1031" spans="2:4">
      <c r="B1031" s="1">
        <v>45287</v>
      </c>
      <c r="C1031">
        <v>125.36</v>
      </c>
      <c r="D1031" s="53">
        <v>17582000</v>
      </c>
    </row>
    <row r="1032" spans="2:4">
      <c r="B1032" s="1">
        <v>45288</v>
      </c>
      <c r="C1032">
        <v>127.74</v>
      </c>
      <c r="D1032" s="53">
        <v>17109000</v>
      </c>
    </row>
    <row r="1033" spans="2:4">
      <c r="B1033" s="1">
        <v>45289</v>
      </c>
      <c r="C1033">
        <v>127.31</v>
      </c>
      <c r="D1033" s="53">
        <v>15926000</v>
      </c>
    </row>
    <row r="1034" spans="2:4">
      <c r="B1034" s="1">
        <v>45293</v>
      </c>
      <c r="C1034">
        <v>127.71</v>
      </c>
      <c r="D1034" s="53">
        <v>22925000</v>
      </c>
    </row>
    <row r="1035" spans="2:4">
      <c r="B1035" s="1">
        <v>45294</v>
      </c>
      <c r="C1035">
        <v>128.26</v>
      </c>
      <c r="D1035" s="53">
        <v>17292000</v>
      </c>
    </row>
    <row r="1036" spans="2:4">
      <c r="B1036" s="1">
        <v>45295</v>
      </c>
      <c r="C1036">
        <v>127.34</v>
      </c>
      <c r="D1036" s="53">
        <v>44581000</v>
      </c>
    </row>
    <row r="1037" spans="2:4">
      <c r="B1037" s="1">
        <v>45296</v>
      </c>
      <c r="C1037">
        <v>126.5</v>
      </c>
      <c r="D1037" s="53">
        <v>21397000</v>
      </c>
    </row>
    <row r="1038" spans="2:4">
      <c r="B1038" s="1">
        <v>45299</v>
      </c>
      <c r="C1038">
        <v>126.89</v>
      </c>
      <c r="D1038" s="53">
        <v>36983000</v>
      </c>
    </row>
    <row r="1039" spans="2:4">
      <c r="B1039" s="1">
        <v>45300</v>
      </c>
      <c r="C1039">
        <v>127.15</v>
      </c>
      <c r="D1039" s="53">
        <v>50590000</v>
      </c>
    </row>
    <row r="1040" spans="2:4">
      <c r="B1040" s="1">
        <v>45301</v>
      </c>
      <c r="C1040">
        <v>126.41</v>
      </c>
      <c r="D1040" s="53">
        <v>17152000</v>
      </c>
    </row>
    <row r="1041" spans="2:4">
      <c r="B1041" s="1">
        <v>45302</v>
      </c>
      <c r="C1041">
        <v>128</v>
      </c>
      <c r="D1041" s="53">
        <v>29081000</v>
      </c>
    </row>
    <row r="1042" spans="2:4">
      <c r="B1042" s="1">
        <v>45303</v>
      </c>
      <c r="C1042">
        <v>130</v>
      </c>
      <c r="D1042" s="53">
        <v>40929000</v>
      </c>
    </row>
    <row r="1043" spans="2:4">
      <c r="B1043" s="1">
        <v>45306</v>
      </c>
      <c r="C1043">
        <v>129</v>
      </c>
      <c r="D1043" s="53">
        <v>21418000</v>
      </c>
    </row>
    <row r="1044" spans="2:4">
      <c r="B1044" s="1">
        <v>45307</v>
      </c>
      <c r="C1044">
        <v>131</v>
      </c>
      <c r="D1044" s="53">
        <v>36119000</v>
      </c>
    </row>
    <row r="1045" spans="2:4">
      <c r="B1045" s="1">
        <v>45308</v>
      </c>
      <c r="C1045">
        <v>132.26</v>
      </c>
      <c r="D1045" s="53">
        <v>38385000</v>
      </c>
    </row>
    <row r="1046" spans="2:4">
      <c r="B1046" s="1">
        <v>45309</v>
      </c>
      <c r="C1046">
        <v>131.74</v>
      </c>
      <c r="D1046" s="53">
        <v>43203000</v>
      </c>
    </row>
    <row r="1047" spans="2:4">
      <c r="B1047" s="1">
        <v>45310</v>
      </c>
      <c r="C1047">
        <v>134.91999999999999</v>
      </c>
      <c r="D1047" s="53">
        <v>55668000</v>
      </c>
    </row>
    <row r="1048" spans="2:4">
      <c r="B1048" s="1">
        <v>45313</v>
      </c>
      <c r="C1048">
        <v>134.13</v>
      </c>
      <c r="D1048" s="53">
        <v>30390000</v>
      </c>
    </row>
    <row r="1049" spans="2:4">
      <c r="B1049" s="1">
        <v>45314</v>
      </c>
      <c r="C1049">
        <v>133.01</v>
      </c>
      <c r="D1049" s="53">
        <v>41693000</v>
      </c>
    </row>
    <row r="1050" spans="2:4">
      <c r="B1050" s="1">
        <v>45315</v>
      </c>
      <c r="C1050">
        <v>134.62</v>
      </c>
      <c r="D1050" s="53">
        <v>48006000</v>
      </c>
    </row>
    <row r="1051" spans="2:4">
      <c r="B1051" s="1">
        <v>45316</v>
      </c>
      <c r="C1051">
        <v>134.16</v>
      </c>
      <c r="D1051" s="53">
        <v>39471000</v>
      </c>
    </row>
    <row r="1052" spans="2:4">
      <c r="B1052" s="1">
        <v>45317</v>
      </c>
      <c r="C1052">
        <v>133.79</v>
      </c>
      <c r="D1052" s="53">
        <v>44381000</v>
      </c>
    </row>
    <row r="1053" spans="2:4">
      <c r="B1053" s="1">
        <v>45320</v>
      </c>
      <c r="C1053">
        <v>133.55000000000001</v>
      </c>
      <c r="D1053" s="53">
        <v>25908000</v>
      </c>
    </row>
    <row r="1054" spans="2:4">
      <c r="B1054" s="1">
        <v>45321</v>
      </c>
      <c r="C1054">
        <v>134.59</v>
      </c>
      <c r="D1054" s="53">
        <v>23442000</v>
      </c>
    </row>
    <row r="1055" spans="2:4">
      <c r="B1055" s="1">
        <v>45322</v>
      </c>
      <c r="C1055">
        <v>134.93</v>
      </c>
      <c r="D1055" s="53">
        <v>40319000</v>
      </c>
    </row>
    <row r="1056" spans="2:4">
      <c r="B1056" s="1">
        <v>45323</v>
      </c>
      <c r="C1056">
        <v>134.94</v>
      </c>
      <c r="D1056" s="53">
        <v>17058000</v>
      </c>
    </row>
    <row r="1057" spans="2:4">
      <c r="B1057" s="1">
        <v>45324</v>
      </c>
      <c r="C1057">
        <v>135.86000000000001</v>
      </c>
      <c r="D1057" s="53">
        <v>25458000</v>
      </c>
    </row>
    <row r="1058" spans="2:4">
      <c r="B1058" s="1">
        <v>45327</v>
      </c>
      <c r="C1058">
        <v>136.13999999999999</v>
      </c>
      <c r="D1058" s="53">
        <v>29715000</v>
      </c>
    </row>
    <row r="1059" spans="2:4">
      <c r="B1059" s="1">
        <v>45328</v>
      </c>
      <c r="C1059">
        <v>134.47</v>
      </c>
      <c r="D1059" s="53">
        <v>23649000</v>
      </c>
    </row>
    <row r="1060" spans="2:4">
      <c r="B1060" s="1">
        <v>45329</v>
      </c>
      <c r="C1060">
        <v>134.66999999999999</v>
      </c>
      <c r="D1060" s="53">
        <v>17448000</v>
      </c>
    </row>
    <row r="1061" spans="2:4">
      <c r="B1061" s="1">
        <v>45330</v>
      </c>
      <c r="C1061">
        <v>134.49</v>
      </c>
      <c r="D1061" s="53">
        <v>36396000</v>
      </c>
    </row>
    <row r="1062" spans="2:4">
      <c r="B1062" s="1">
        <v>45331</v>
      </c>
      <c r="C1062">
        <v>133.80000000000001</v>
      </c>
      <c r="D1062" s="53">
        <v>29828000</v>
      </c>
    </row>
    <row r="1063" spans="2:4">
      <c r="B1063" s="1">
        <v>45334</v>
      </c>
      <c r="C1063">
        <v>133.87</v>
      </c>
      <c r="D1063" s="53">
        <v>18945000</v>
      </c>
    </row>
    <row r="1064" spans="2:4">
      <c r="B1064" s="1">
        <v>45335</v>
      </c>
      <c r="C1064">
        <v>133.08000000000001</v>
      </c>
      <c r="D1064" s="53">
        <v>28353000</v>
      </c>
    </row>
    <row r="1065" spans="2:4">
      <c r="B1065" s="1">
        <v>45336</v>
      </c>
      <c r="C1065">
        <v>133.74</v>
      </c>
      <c r="D1065" s="53">
        <v>26989000</v>
      </c>
    </row>
    <row r="1066" spans="2:4">
      <c r="B1066" s="1">
        <v>45337</v>
      </c>
      <c r="C1066">
        <v>136.19</v>
      </c>
      <c r="D1066" s="53">
        <v>19405000</v>
      </c>
    </row>
    <row r="1067" spans="2:4">
      <c r="B1067" s="1">
        <v>45338</v>
      </c>
      <c r="C1067">
        <v>137</v>
      </c>
      <c r="D1067" s="53">
        <v>26539000</v>
      </c>
    </row>
    <row r="1068" spans="2:4">
      <c r="B1068" s="1">
        <v>45342</v>
      </c>
      <c r="C1068">
        <v>137.69999999999999</v>
      </c>
      <c r="D1068" s="53">
        <v>30536000</v>
      </c>
    </row>
    <row r="1069" spans="2:4">
      <c r="B1069" s="1">
        <v>45343</v>
      </c>
      <c r="C1069">
        <v>138.80000000000001</v>
      </c>
      <c r="D1069" s="53">
        <v>27921000</v>
      </c>
    </row>
    <row r="1070" spans="2:4">
      <c r="B1070" s="1">
        <v>45344</v>
      </c>
      <c r="C1070">
        <v>138.84</v>
      </c>
      <c r="D1070" s="53">
        <v>65538000</v>
      </c>
    </row>
    <row r="1071" spans="2:4">
      <c r="B1071" s="1">
        <v>45345</v>
      </c>
      <c r="C1071">
        <v>143</v>
      </c>
      <c r="D1071" s="53">
        <v>64904000</v>
      </c>
    </row>
    <row r="1072" spans="2:4">
      <c r="B1072" s="1">
        <v>45348</v>
      </c>
      <c r="C1072">
        <v>144.6</v>
      </c>
      <c r="D1072" s="53">
        <v>40066000</v>
      </c>
    </row>
    <row r="1073" spans="2:4">
      <c r="B1073" s="1">
        <v>45349</v>
      </c>
      <c r="C1073">
        <v>145.80000000000001</v>
      </c>
      <c r="D1073" s="53">
        <v>39561000</v>
      </c>
    </row>
    <row r="1074" spans="2:4">
      <c r="B1074" s="1">
        <v>45350</v>
      </c>
      <c r="C1074">
        <v>145.82</v>
      </c>
      <c r="D1074" s="53">
        <v>54053000</v>
      </c>
    </row>
    <row r="1075" spans="2:4">
      <c r="B1075" s="1">
        <v>45351</v>
      </c>
      <c r="C1075">
        <v>147.47999999999999</v>
      </c>
      <c r="D1075" s="53">
        <v>49359000</v>
      </c>
    </row>
    <row r="1076" spans="2:4">
      <c r="B1076" s="1">
        <v>45352</v>
      </c>
      <c r="C1076">
        <v>144.78</v>
      </c>
      <c r="D1076" s="53">
        <v>24978000</v>
      </c>
    </row>
    <row r="1077" spans="2:4">
      <c r="B1077" s="1">
        <v>45355</v>
      </c>
      <c r="C1077">
        <v>144.12</v>
      </c>
      <c r="D1077" s="53">
        <v>33245000</v>
      </c>
    </row>
    <row r="1078" spans="2:4">
      <c r="B1078" s="1">
        <v>45356</v>
      </c>
      <c r="C1078">
        <v>142.75</v>
      </c>
      <c r="D1078" s="53">
        <v>29582000</v>
      </c>
    </row>
    <row r="1079" spans="2:4">
      <c r="B1079" s="1">
        <v>45357</v>
      </c>
      <c r="C1079">
        <v>142.05000000000001</v>
      </c>
      <c r="D1079" s="53">
        <v>63094000</v>
      </c>
    </row>
    <row r="1080" spans="2:4">
      <c r="B1080" s="1">
        <v>45358</v>
      </c>
      <c r="C1080">
        <v>144.26</v>
      </c>
      <c r="D1080" s="53">
        <v>57433000</v>
      </c>
    </row>
    <row r="1081" spans="2:4">
      <c r="B1081" s="1">
        <v>45359</v>
      </c>
      <c r="C1081">
        <v>149.13</v>
      </c>
      <c r="D1081" s="53">
        <v>79351000</v>
      </c>
    </row>
    <row r="1082" spans="2:4">
      <c r="B1082" s="1">
        <v>45362</v>
      </c>
      <c r="C1082">
        <v>148.24</v>
      </c>
      <c r="D1082" s="53">
        <v>54947000</v>
      </c>
    </row>
    <row r="1083" spans="2:4">
      <c r="B1083" s="1">
        <v>45363</v>
      </c>
      <c r="C1083">
        <v>150</v>
      </c>
      <c r="D1083" s="53">
        <v>25362000</v>
      </c>
    </row>
    <row r="1084" spans="2:4">
      <c r="B1084" s="1">
        <v>45364</v>
      </c>
      <c r="C1084">
        <v>149.81</v>
      </c>
      <c r="D1084" s="53">
        <v>43279000</v>
      </c>
    </row>
    <row r="1085" spans="2:4">
      <c r="B1085" s="1">
        <v>45365</v>
      </c>
      <c r="C1085">
        <v>151</v>
      </c>
      <c r="D1085" s="53">
        <v>40644000</v>
      </c>
    </row>
    <row r="1086" spans="2:4">
      <c r="B1086" s="1">
        <v>45366</v>
      </c>
      <c r="C1086">
        <v>150.09</v>
      </c>
      <c r="D1086" s="53">
        <v>133000000</v>
      </c>
    </row>
    <row r="1087" spans="2:4">
      <c r="B1087" s="1">
        <v>45369</v>
      </c>
      <c r="C1087">
        <v>150.72</v>
      </c>
      <c r="D1087" s="53">
        <v>46481000</v>
      </c>
    </row>
    <row r="1088" spans="2:4">
      <c r="B1088" s="1">
        <v>45370</v>
      </c>
      <c r="C1088">
        <v>149.96</v>
      </c>
      <c r="D1088" s="53">
        <v>36532000</v>
      </c>
    </row>
    <row r="1089" spans="2:4">
      <c r="B1089" s="1">
        <v>45371</v>
      </c>
      <c r="C1089">
        <v>150.5</v>
      </c>
      <c r="D1089" s="53">
        <v>36837000</v>
      </c>
    </row>
    <row r="1090" spans="2:4">
      <c r="B1090" s="1">
        <v>45372</v>
      </c>
      <c r="C1090">
        <v>149.55000000000001</v>
      </c>
      <c r="D1090" s="53">
        <v>55519000</v>
      </c>
    </row>
    <row r="1091" spans="2:4">
      <c r="B1091" s="1">
        <v>45373</v>
      </c>
      <c r="C1091">
        <v>150.79</v>
      </c>
      <c r="D1091" s="53">
        <v>53109000</v>
      </c>
    </row>
    <row r="1092" spans="2:4">
      <c r="B1092" s="1">
        <v>45376</v>
      </c>
      <c r="C1092">
        <v>152.4</v>
      </c>
      <c r="D1092" s="53">
        <v>39842000</v>
      </c>
    </row>
    <row r="1093" spans="2:4">
      <c r="B1093" s="1">
        <v>45377</v>
      </c>
      <c r="C1093">
        <v>153.19</v>
      </c>
      <c r="D1093" s="53">
        <v>41031000</v>
      </c>
    </row>
    <row r="1094" spans="2:4">
      <c r="B1094" s="1">
        <v>45378</v>
      </c>
      <c r="C1094">
        <v>152.59</v>
      </c>
      <c r="D1094" s="53">
        <v>30030000</v>
      </c>
    </row>
    <row r="1095" spans="2:4">
      <c r="B1095" s="1">
        <v>45379</v>
      </c>
      <c r="C1095">
        <v>151.27000000000001</v>
      </c>
      <c r="D1095" s="53">
        <v>42172000</v>
      </c>
    </row>
    <row r="1096" spans="2:4">
      <c r="B1096" s="1">
        <v>45383</v>
      </c>
      <c r="C1096">
        <v>150.34</v>
      </c>
      <c r="D1096" s="53">
        <v>20903000</v>
      </c>
    </row>
    <row r="1097" spans="2:4">
      <c r="B1097" s="1">
        <v>45384</v>
      </c>
      <c r="C1097">
        <v>149.4</v>
      </c>
      <c r="D1097" s="53">
        <v>37749000</v>
      </c>
    </row>
    <row r="1098" spans="2:4">
      <c r="B1098" s="1">
        <v>45385</v>
      </c>
      <c r="C1098">
        <v>149.35</v>
      </c>
      <c r="D1098" s="53">
        <v>32699000</v>
      </c>
    </row>
    <row r="1099" spans="2:4">
      <c r="B1099" s="1">
        <v>45386</v>
      </c>
      <c r="C1099">
        <v>150.05000000000001</v>
      </c>
      <c r="D1099" s="53">
        <v>41960000</v>
      </c>
    </row>
    <row r="1100" spans="2:4">
      <c r="B1100" s="1">
        <v>45387</v>
      </c>
      <c r="C1100">
        <v>147.09</v>
      </c>
      <c r="D1100" s="53">
        <v>27210000</v>
      </c>
    </row>
    <row r="1101" spans="2:4">
      <c r="B1101" s="1">
        <v>45390</v>
      </c>
      <c r="C1101">
        <v>149.38999999999999</v>
      </c>
      <c r="D1101" s="53">
        <v>30613000</v>
      </c>
    </row>
    <row r="1102" spans="2:4">
      <c r="B1102" s="1">
        <v>45391</v>
      </c>
      <c r="C1102">
        <v>149.66999999999999</v>
      </c>
      <c r="D1102" s="53">
        <v>25814000</v>
      </c>
    </row>
    <row r="1103" spans="2:4">
      <c r="B1103" s="1">
        <v>45392</v>
      </c>
      <c r="C1103">
        <v>148.63</v>
      </c>
      <c r="D1103" s="53">
        <v>27083000</v>
      </c>
    </row>
    <row r="1104" spans="2:4">
      <c r="B1104" s="1">
        <v>45393</v>
      </c>
      <c r="C1104">
        <v>149.38999999999999</v>
      </c>
      <c r="D1104" s="53">
        <v>35231000</v>
      </c>
    </row>
    <row r="1105" spans="2:4">
      <c r="B1105" s="1">
        <v>45394</v>
      </c>
      <c r="C1105">
        <v>148</v>
      </c>
      <c r="D1105" s="53">
        <v>30463000</v>
      </c>
    </row>
    <row r="1106" spans="2:4">
      <c r="B1106" s="1">
        <v>45397</v>
      </c>
      <c r="C1106">
        <v>147.51</v>
      </c>
      <c r="D1106" s="53">
        <v>40761000</v>
      </c>
    </row>
    <row r="1107" spans="2:4">
      <c r="B1107" s="1">
        <v>45398</v>
      </c>
      <c r="C1107">
        <v>149.58000000000001</v>
      </c>
      <c r="D1107" s="53">
        <v>33279000</v>
      </c>
    </row>
    <row r="1108" spans="2:4">
      <c r="B1108" s="1">
        <v>45399</v>
      </c>
      <c r="C1108">
        <v>148.56</v>
      </c>
      <c r="D1108" s="53">
        <v>23301000</v>
      </c>
    </row>
    <row r="1109" spans="2:4">
      <c r="B1109" s="1">
        <v>45400</v>
      </c>
      <c r="C1109">
        <v>149.46</v>
      </c>
      <c r="D1109" s="53">
        <v>40494000</v>
      </c>
    </row>
    <row r="1110" spans="2:4">
      <c r="B1110" s="1">
        <v>45401</v>
      </c>
      <c r="C1110">
        <v>148.36000000000001</v>
      </c>
      <c r="D1110" s="53">
        <v>44405000</v>
      </c>
    </row>
    <row r="1111" spans="2:4">
      <c r="B1111" s="1">
        <v>45404</v>
      </c>
      <c r="C1111">
        <v>148.80000000000001</v>
      </c>
      <c r="D1111" s="53">
        <v>34092000</v>
      </c>
    </row>
    <row r="1112" spans="2:4">
      <c r="B1112" s="1">
        <v>45405</v>
      </c>
      <c r="C1112">
        <v>151.04</v>
      </c>
      <c r="D1112" s="53">
        <v>28000000</v>
      </c>
    </row>
    <row r="1113" spans="2:4">
      <c r="B1113" s="1">
        <v>45406</v>
      </c>
      <c r="C1113">
        <v>150.24</v>
      </c>
      <c r="D1113" s="53">
        <v>33772000</v>
      </c>
    </row>
    <row r="1114" spans="2:4">
      <c r="B1114" s="1">
        <v>45407</v>
      </c>
      <c r="C1114">
        <v>151.91</v>
      </c>
      <c r="D1114" s="53">
        <v>19955000</v>
      </c>
    </row>
    <row r="1115" spans="2:4">
      <c r="B1115" s="1">
        <v>45408</v>
      </c>
      <c r="C1115">
        <v>152.28</v>
      </c>
      <c r="D1115" s="53">
        <v>19297000</v>
      </c>
    </row>
    <row r="1116" spans="2:4">
      <c r="B1116" s="1">
        <v>45411</v>
      </c>
      <c r="C1116">
        <v>152.38999999999999</v>
      </c>
      <c r="D1116" s="53">
        <v>25062000</v>
      </c>
    </row>
    <row r="1117" spans="2:4">
      <c r="B1117" s="1">
        <v>45412</v>
      </c>
      <c r="C1117">
        <v>152.30000000000001</v>
      </c>
      <c r="D1117" s="53">
        <v>19463000</v>
      </c>
    </row>
    <row r="1118" spans="2:4">
      <c r="B1118" s="1">
        <v>45413</v>
      </c>
      <c r="C1118">
        <v>146.99</v>
      </c>
      <c r="D1118" s="53">
        <v>20709000</v>
      </c>
    </row>
    <row r="1119" spans="2:4">
      <c r="B1119" s="1">
        <v>45414</v>
      </c>
      <c r="C1119">
        <v>153.80000000000001</v>
      </c>
      <c r="D1119" s="53">
        <v>28182000</v>
      </c>
    </row>
    <row r="1120" spans="2:4">
      <c r="B1120" s="1">
        <v>45415</v>
      </c>
      <c r="C1120">
        <v>154.72999999999999</v>
      </c>
      <c r="D1120" s="53">
        <v>23689000</v>
      </c>
    </row>
    <row r="1121" spans="2:4">
      <c r="B1121" s="1">
        <v>45418</v>
      </c>
      <c r="C1121">
        <v>154.18</v>
      </c>
      <c r="D1121" s="53">
        <v>31622000</v>
      </c>
    </row>
    <row r="1122" spans="2:4">
      <c r="B1122" s="1">
        <v>45419</v>
      </c>
      <c r="C1122">
        <v>155.78</v>
      </c>
      <c r="D1122" s="53">
        <v>36297000</v>
      </c>
    </row>
    <row r="1123" spans="2:4">
      <c r="B1123" s="1">
        <v>45420</v>
      </c>
      <c r="C1123">
        <v>154.58000000000001</v>
      </c>
      <c r="D1123" s="53">
        <v>50162000</v>
      </c>
    </row>
    <row r="1124" spans="2:4">
      <c r="B1124" s="1">
        <v>45421</v>
      </c>
      <c r="C1124">
        <v>156.80000000000001</v>
      </c>
      <c r="D1124" s="53">
        <v>25915000</v>
      </c>
    </row>
    <row r="1125" spans="2:4">
      <c r="B1125" s="1">
        <v>45422</v>
      </c>
      <c r="C1125">
        <v>156.03</v>
      </c>
      <c r="D1125" s="53">
        <v>37175000</v>
      </c>
    </row>
    <row r="1126" spans="2:4">
      <c r="B1126" s="1">
        <v>45425</v>
      </c>
      <c r="C1126">
        <v>155.88</v>
      </c>
      <c r="D1126" s="53">
        <v>30633000</v>
      </c>
    </row>
    <row r="1127" spans="2:4">
      <c r="B1127" s="1">
        <v>45426</v>
      </c>
      <c r="C1127">
        <v>155.38999999999999</v>
      </c>
      <c r="D1127" s="53">
        <v>20611000</v>
      </c>
    </row>
    <row r="1128" spans="2:4">
      <c r="B1128" s="1">
        <v>45427</v>
      </c>
      <c r="C1128">
        <v>155.38</v>
      </c>
      <c r="D1128" s="53">
        <v>35533000</v>
      </c>
    </row>
    <row r="1129" spans="2:4">
      <c r="B1129" s="1">
        <v>45428</v>
      </c>
      <c r="C1129">
        <v>155.6</v>
      </c>
      <c r="D1129" s="53">
        <v>52038000</v>
      </c>
    </row>
    <row r="1130" spans="2:4">
      <c r="B1130" s="1">
        <v>45429</v>
      </c>
      <c r="C1130">
        <v>157.12</v>
      </c>
      <c r="D1130" s="53">
        <v>25294000</v>
      </c>
    </row>
    <row r="1131" spans="2:4">
      <c r="B1131" s="1">
        <v>45433</v>
      </c>
      <c r="C1131">
        <v>156.9</v>
      </c>
      <c r="D1131" s="53">
        <v>33186000</v>
      </c>
    </row>
    <row r="1132" spans="2:4">
      <c r="B1132" s="1">
        <v>45434</v>
      </c>
      <c r="C1132">
        <v>155.63</v>
      </c>
      <c r="D1132" s="53">
        <v>53982000</v>
      </c>
    </row>
    <row r="1133" spans="2:4">
      <c r="B1133" s="1">
        <v>45435</v>
      </c>
      <c r="C1133">
        <v>156.63</v>
      </c>
      <c r="D1133" s="53">
        <v>44049000</v>
      </c>
    </row>
    <row r="1134" spans="2:4">
      <c r="B1134" s="1">
        <v>45436</v>
      </c>
      <c r="C1134">
        <v>156.58000000000001</v>
      </c>
      <c r="D1134" s="53">
        <v>68313000</v>
      </c>
    </row>
    <row r="1135" spans="2:4">
      <c r="B1135" s="1">
        <v>45439</v>
      </c>
      <c r="C1135">
        <v>156.66</v>
      </c>
      <c r="D1135" s="53">
        <v>13019000</v>
      </c>
    </row>
    <row r="1136" spans="2:4">
      <c r="B1136" s="1">
        <v>45440</v>
      </c>
      <c r="C1136">
        <v>155.53</v>
      </c>
      <c r="D1136" s="53">
        <v>49613000</v>
      </c>
    </row>
    <row r="1137" spans="2:4">
      <c r="B1137" s="1">
        <v>45441</v>
      </c>
      <c r="C1137">
        <v>153.33000000000001</v>
      </c>
      <c r="D1137" s="53">
        <v>45743000</v>
      </c>
    </row>
    <row r="1138" spans="2:4">
      <c r="B1138" s="1">
        <v>45442</v>
      </c>
      <c r="C1138">
        <v>154.93</v>
      </c>
      <c r="D1138" s="53">
        <v>43015000</v>
      </c>
    </row>
    <row r="1139" spans="2:4">
      <c r="B1139" s="1">
        <v>45443</v>
      </c>
      <c r="C1139">
        <v>156.30000000000001</v>
      </c>
      <c r="D1139" s="53">
        <v>139000000</v>
      </c>
    </row>
    <row r="1140" spans="2:4">
      <c r="B1140" s="1">
        <v>45446</v>
      </c>
      <c r="C1140">
        <v>157.9</v>
      </c>
      <c r="D1140" s="53">
        <v>67917000</v>
      </c>
    </row>
    <row r="1141" spans="2:4">
      <c r="B1141" s="1">
        <v>45447</v>
      </c>
      <c r="C1141">
        <v>160</v>
      </c>
      <c r="D1141" s="53">
        <v>48269000</v>
      </c>
    </row>
    <row r="1142" spans="2:4">
      <c r="B1142" s="1">
        <v>45448</v>
      </c>
      <c r="C1142">
        <v>161.33000000000001</v>
      </c>
      <c r="D1142" s="53">
        <v>64650000</v>
      </c>
    </row>
    <row r="1143" spans="2:4">
      <c r="B1143" s="1">
        <v>45449</v>
      </c>
      <c r="C1143">
        <v>161.82</v>
      </c>
      <c r="D1143" s="53">
        <v>35515000</v>
      </c>
    </row>
    <row r="1144" spans="2:4">
      <c r="B1144" s="1">
        <v>45450</v>
      </c>
      <c r="C1144">
        <v>161.76</v>
      </c>
      <c r="D1144" s="53">
        <v>29804000</v>
      </c>
    </row>
    <row r="1145" spans="2:4">
      <c r="B1145" s="1">
        <v>45453</v>
      </c>
      <c r="C1145">
        <v>160.51</v>
      </c>
      <c r="D1145" s="53">
        <v>21713000</v>
      </c>
    </row>
    <row r="1146" spans="2:4">
      <c r="B1146" s="1">
        <v>45454</v>
      </c>
      <c r="C1146">
        <v>159.69999999999999</v>
      </c>
      <c r="D1146" s="53">
        <v>40207000</v>
      </c>
    </row>
    <row r="1147" spans="2:4">
      <c r="B1147" s="1">
        <v>45455</v>
      </c>
      <c r="C1147">
        <v>158.41</v>
      </c>
      <c r="D1147" s="53">
        <v>27272000</v>
      </c>
    </row>
    <row r="1148" spans="2:4">
      <c r="B1148" s="1">
        <v>45456</v>
      </c>
      <c r="C1148">
        <v>158.69999999999999</v>
      </c>
      <c r="D1148" s="53">
        <v>35008000</v>
      </c>
    </row>
    <row r="1149" spans="2:4">
      <c r="B1149" s="1">
        <v>45457</v>
      </c>
      <c r="C1149">
        <v>156.54</v>
      </c>
      <c r="D1149" s="53">
        <v>52677000</v>
      </c>
    </row>
    <row r="1150" spans="2:4">
      <c r="B1150" s="1">
        <v>45460</v>
      </c>
      <c r="C1150">
        <v>156.09</v>
      </c>
      <c r="D1150" s="53">
        <v>45550000</v>
      </c>
    </row>
    <row r="1151" spans="2:4">
      <c r="B1151" s="1">
        <v>45461</v>
      </c>
      <c r="C1151">
        <v>157.03</v>
      </c>
      <c r="D1151" s="53">
        <v>67739000</v>
      </c>
    </row>
    <row r="1152" spans="2:4">
      <c r="B1152" s="1">
        <v>45462</v>
      </c>
      <c r="C1152">
        <v>155.46</v>
      </c>
      <c r="D1152" s="53">
        <v>30521000</v>
      </c>
    </row>
    <row r="1153" spans="2:4">
      <c r="B1153" s="1">
        <v>45463</v>
      </c>
      <c r="C1153">
        <v>154.4</v>
      </c>
      <c r="D1153" s="53">
        <v>51766000</v>
      </c>
    </row>
    <row r="1154" spans="2:4">
      <c r="B1154" s="1">
        <v>45464</v>
      </c>
      <c r="C1154">
        <v>153.91999999999999</v>
      </c>
      <c r="D1154" s="53">
        <v>140000000</v>
      </c>
    </row>
    <row r="1155" spans="2:4">
      <c r="B1155" s="1">
        <v>45467</v>
      </c>
      <c r="C1155">
        <v>154.24</v>
      </c>
      <c r="D1155" s="53">
        <v>38994000</v>
      </c>
    </row>
    <row r="1156" spans="2:4">
      <c r="B1156" s="1">
        <v>45468</v>
      </c>
      <c r="C1156">
        <v>156.19999999999999</v>
      </c>
      <c r="D1156" s="53">
        <v>28489000</v>
      </c>
    </row>
    <row r="1157" spans="2:4">
      <c r="B1157" s="1">
        <v>45469</v>
      </c>
      <c r="C1157">
        <v>156.88</v>
      </c>
      <c r="D1157" s="53">
        <v>37037000</v>
      </c>
    </row>
    <row r="1158" spans="2:4">
      <c r="B1158" s="1">
        <v>45470</v>
      </c>
      <c r="C1158">
        <v>157.77000000000001</v>
      </c>
      <c r="D1158" s="53">
        <v>31162000</v>
      </c>
    </row>
    <row r="1159" spans="2:4">
      <c r="B1159" s="1">
        <v>45471</v>
      </c>
      <c r="C1159">
        <v>159.34</v>
      </c>
      <c r="D1159" s="53">
        <v>26527000</v>
      </c>
    </row>
    <row r="1160" spans="2:4">
      <c r="B1160" s="1">
        <v>45475</v>
      </c>
      <c r="C1160">
        <v>158.44999999999999</v>
      </c>
      <c r="D1160" s="53">
        <v>31953000</v>
      </c>
    </row>
    <row r="1161" spans="2:4">
      <c r="B1161" s="1">
        <v>45476</v>
      </c>
      <c r="C1161">
        <v>160.13999999999999</v>
      </c>
      <c r="D1161" s="53">
        <v>29933000</v>
      </c>
    </row>
    <row r="1162" spans="2:4">
      <c r="B1162" s="1">
        <v>45477</v>
      </c>
      <c r="C1162">
        <v>162.82</v>
      </c>
      <c r="D1162" s="53">
        <v>11030000</v>
      </c>
    </row>
    <row r="1163" spans="2:4">
      <c r="B1163" s="1">
        <v>45478</v>
      </c>
      <c r="C1163">
        <v>162.4</v>
      </c>
      <c r="D1163" s="53">
        <v>39785000</v>
      </c>
    </row>
    <row r="1164" spans="2:4">
      <c r="B1164" s="1">
        <v>45481</v>
      </c>
      <c r="C1164">
        <v>163.98</v>
      </c>
      <c r="D1164" s="53">
        <v>33369000</v>
      </c>
    </row>
    <row r="1165" spans="2:4">
      <c r="B1165" s="1">
        <v>45482</v>
      </c>
      <c r="C1165">
        <v>164.89</v>
      </c>
      <c r="D1165" s="53">
        <v>30386000</v>
      </c>
    </row>
    <row r="1166" spans="2:4">
      <c r="B1166" s="1">
        <v>45483</v>
      </c>
      <c r="C1166">
        <v>165.09</v>
      </c>
      <c r="D1166" s="53">
        <v>25967000</v>
      </c>
    </row>
    <row r="1167" spans="2:4">
      <c r="B1167" s="1">
        <v>45484</v>
      </c>
      <c r="C1167">
        <v>166.56</v>
      </c>
      <c r="D1167" s="53">
        <v>30427000</v>
      </c>
    </row>
    <row r="1168" spans="2:4">
      <c r="B1168" s="1">
        <v>45485</v>
      </c>
      <c r="C1168">
        <v>165.74</v>
      </c>
      <c r="D1168" s="53">
        <v>24133000</v>
      </c>
    </row>
    <row r="1169" spans="2:4">
      <c r="B1169" s="1">
        <v>45488</v>
      </c>
      <c r="C1169">
        <v>166.71</v>
      </c>
      <c r="D1169" s="53">
        <v>28811000</v>
      </c>
    </row>
    <row r="1170" spans="2:4">
      <c r="B1170" s="1">
        <v>45489</v>
      </c>
      <c r="C1170">
        <v>166.09</v>
      </c>
      <c r="D1170" s="53">
        <v>24769000</v>
      </c>
    </row>
    <row r="1171" spans="2:4">
      <c r="B1171" s="1">
        <v>45490</v>
      </c>
      <c r="C1171">
        <v>165.13</v>
      </c>
      <c r="D1171" s="53">
        <v>25330000</v>
      </c>
    </row>
    <row r="1172" spans="2:4">
      <c r="B1172" s="1">
        <v>45491</v>
      </c>
      <c r="C1172">
        <v>164.99</v>
      </c>
      <c r="D1172" s="53">
        <v>49316000</v>
      </c>
    </row>
    <row r="1173" spans="2:4">
      <c r="B1173" s="1">
        <v>45492</v>
      </c>
      <c r="C1173">
        <v>166.14</v>
      </c>
      <c r="D1173" s="53">
        <v>20255000</v>
      </c>
    </row>
    <row r="1174" spans="2:4">
      <c r="B1174" s="1">
        <v>45495</v>
      </c>
      <c r="C1174">
        <v>169.94</v>
      </c>
      <c r="D1174" s="53">
        <v>35670000</v>
      </c>
    </row>
    <row r="1175" spans="2:4">
      <c r="B1175" s="1">
        <v>45496</v>
      </c>
      <c r="C1175">
        <v>168.76</v>
      </c>
      <c r="D1175" s="53">
        <v>20701000</v>
      </c>
    </row>
    <row r="1176" spans="2:4">
      <c r="B1176" s="1">
        <v>45497</v>
      </c>
      <c r="C1176">
        <v>169.65</v>
      </c>
      <c r="D1176" s="53">
        <v>29085000</v>
      </c>
    </row>
    <row r="1177" spans="2:4">
      <c r="B1177" s="1">
        <v>45498</v>
      </c>
      <c r="C1177">
        <v>164.2</v>
      </c>
      <c r="D1177" s="53">
        <v>32495000</v>
      </c>
    </row>
    <row r="1178" spans="2:4">
      <c r="B1178" s="1">
        <v>45499</v>
      </c>
      <c r="C1178">
        <v>169.05</v>
      </c>
      <c r="D1178" s="53">
        <v>27343000</v>
      </c>
    </row>
    <row r="1179" spans="2:4">
      <c r="B1179" s="1">
        <v>45502</v>
      </c>
      <c r="C1179">
        <v>168.72</v>
      </c>
      <c r="D1179" s="53">
        <v>18591000</v>
      </c>
    </row>
    <row r="1180" spans="2:4">
      <c r="B1180" s="1">
        <v>45503</v>
      </c>
      <c r="C1180">
        <v>168.23</v>
      </c>
      <c r="D1180" s="53">
        <v>34228000</v>
      </c>
    </row>
    <row r="1181" spans="2:4">
      <c r="B1181" s="1">
        <v>45504</v>
      </c>
      <c r="C1181">
        <v>169.5</v>
      </c>
      <c r="D1181" s="53">
        <v>21306000</v>
      </c>
    </row>
    <row r="1182" spans="2:4">
      <c r="B1182" s="1">
        <v>45505</v>
      </c>
      <c r="C1182">
        <v>170.53</v>
      </c>
      <c r="D1182" s="53">
        <v>27686000</v>
      </c>
    </row>
    <row r="1183" spans="2:4">
      <c r="B1183" s="1">
        <v>45506</v>
      </c>
      <c r="C1183">
        <v>166.66</v>
      </c>
      <c r="D1183" s="53">
        <v>34855000</v>
      </c>
    </row>
    <row r="1184" spans="2:4">
      <c r="B1184" s="1">
        <v>45510</v>
      </c>
      <c r="C1184">
        <v>164.24</v>
      </c>
      <c r="D1184" s="53">
        <v>47116000</v>
      </c>
    </row>
    <row r="1185" spans="2:4">
      <c r="B1185" s="1">
        <v>45511</v>
      </c>
      <c r="C1185">
        <v>165.39</v>
      </c>
      <c r="D1185" s="53">
        <v>29269000</v>
      </c>
    </row>
    <row r="1186" spans="2:4">
      <c r="B1186" s="1">
        <v>45512</v>
      </c>
      <c r="C1186">
        <v>163.69</v>
      </c>
      <c r="D1186" s="53">
        <v>25524000</v>
      </c>
    </row>
    <row r="1187" spans="2:4">
      <c r="B1187" s="1">
        <v>45513</v>
      </c>
      <c r="C1187">
        <v>165.12</v>
      </c>
      <c r="D1187" s="53">
        <v>22226000</v>
      </c>
    </row>
    <row r="1188" spans="2:4">
      <c r="B1188" s="1">
        <v>45516</v>
      </c>
      <c r="C1188">
        <v>164.93</v>
      </c>
      <c r="D1188" s="53">
        <v>16680000</v>
      </c>
    </row>
    <row r="1189" spans="2:4">
      <c r="B1189" s="1">
        <v>45517</v>
      </c>
      <c r="C1189">
        <v>166.8</v>
      </c>
      <c r="D1189" s="53">
        <v>21739000</v>
      </c>
    </row>
    <row r="1190" spans="2:4">
      <c r="B1190" s="1">
        <v>45518</v>
      </c>
      <c r="C1190">
        <v>168.33</v>
      </c>
      <c r="D1190" s="53">
        <v>25825000</v>
      </c>
    </row>
    <row r="1191" spans="2:4">
      <c r="B1191" s="1">
        <v>45519</v>
      </c>
      <c r="C1191">
        <v>171.29</v>
      </c>
      <c r="D1191" s="53">
        <v>22641000</v>
      </c>
    </row>
    <row r="1192" spans="2:4">
      <c r="B1192" s="1">
        <v>45520</v>
      </c>
      <c r="C1192">
        <v>173.08</v>
      </c>
      <c r="D1192" s="53">
        <v>23264000</v>
      </c>
    </row>
    <row r="1193" spans="2:4">
      <c r="B1193" s="1">
        <v>45523</v>
      </c>
      <c r="C1193">
        <v>172.47</v>
      </c>
      <c r="D1193" s="53">
        <v>52743000</v>
      </c>
    </row>
    <row r="1194" spans="2:4">
      <c r="B1194" s="1">
        <v>45524</v>
      </c>
      <c r="C1194">
        <v>171.33</v>
      </c>
      <c r="D1194" s="53">
        <v>19416000</v>
      </c>
    </row>
    <row r="1195" spans="2:4">
      <c r="B1195" s="1">
        <v>45525</v>
      </c>
      <c r="C1195">
        <v>171.3</v>
      </c>
      <c r="D1195" s="53">
        <v>20744000</v>
      </c>
    </row>
    <row r="1196" spans="2:4">
      <c r="B1196" s="1">
        <v>45526</v>
      </c>
      <c r="C1196">
        <v>172.11</v>
      </c>
      <c r="D1196" s="53">
        <v>17770000</v>
      </c>
    </row>
    <row r="1197" spans="2:4">
      <c r="B1197" s="1">
        <v>45527</v>
      </c>
      <c r="C1197">
        <v>172.4</v>
      </c>
      <c r="D1197" s="53">
        <v>17180000</v>
      </c>
    </row>
    <row r="1198" spans="2:4">
      <c r="B1198" s="1">
        <v>45530</v>
      </c>
      <c r="C1198">
        <v>172.52</v>
      </c>
      <c r="D1198" s="53">
        <v>14281000</v>
      </c>
    </row>
    <row r="1199" spans="2:4">
      <c r="B1199" s="1">
        <v>45531</v>
      </c>
      <c r="C1199">
        <v>172.59</v>
      </c>
      <c r="D1199" s="53">
        <v>18344000</v>
      </c>
    </row>
    <row r="1200" spans="2:4">
      <c r="B1200" s="1">
        <v>45532</v>
      </c>
      <c r="C1200">
        <v>172.97</v>
      </c>
      <c r="D1200" s="53">
        <v>16545000</v>
      </c>
    </row>
    <row r="1201" spans="2:4">
      <c r="B1201" s="1">
        <v>45533</v>
      </c>
      <c r="C1201">
        <v>173.08</v>
      </c>
      <c r="D1201" s="53">
        <v>21432000</v>
      </c>
    </row>
    <row r="1202" spans="2:4">
      <c r="B1202" s="1">
        <v>45534</v>
      </c>
      <c r="C1202">
        <v>174.11</v>
      </c>
      <c r="D1202" s="53">
        <v>57278000</v>
      </c>
    </row>
    <row r="1203" spans="2:4">
      <c r="B1203" s="1">
        <v>45538</v>
      </c>
      <c r="C1203">
        <v>175.6</v>
      </c>
      <c r="D1203" s="53">
        <v>40267000</v>
      </c>
    </row>
    <row r="1204" spans="2:4">
      <c r="B1204" s="1">
        <v>45539</v>
      </c>
      <c r="C1204">
        <v>174.81</v>
      </c>
      <c r="D1204" s="53">
        <v>18287000</v>
      </c>
    </row>
    <row r="1205" spans="2:4">
      <c r="B1205" s="1">
        <v>45540</v>
      </c>
      <c r="C1205">
        <v>175.78</v>
      </c>
      <c r="D1205" s="53">
        <v>26968000</v>
      </c>
    </row>
    <row r="1206" spans="2:4">
      <c r="B1206" s="1">
        <v>45541</v>
      </c>
      <c r="C1206">
        <v>175.56</v>
      </c>
      <c r="D1206" s="53">
        <v>36701000</v>
      </c>
    </row>
    <row r="1207" spans="2:4">
      <c r="B1207" s="1">
        <v>45544</v>
      </c>
      <c r="C1207">
        <v>174.59</v>
      </c>
      <c r="D1207" s="53">
        <v>22417000</v>
      </c>
    </row>
    <row r="1208" spans="2:4">
      <c r="B1208" s="1">
        <v>45545</v>
      </c>
      <c r="C1208">
        <v>175.87</v>
      </c>
      <c r="D1208" s="53">
        <v>39020000</v>
      </c>
    </row>
    <row r="1209" spans="2:4">
      <c r="B1209" s="1">
        <v>45546</v>
      </c>
      <c r="C1209">
        <v>175.35</v>
      </c>
      <c r="D1209" s="53">
        <v>40992000</v>
      </c>
    </row>
    <row r="1210" spans="2:4">
      <c r="B1210" s="1">
        <v>45547</v>
      </c>
      <c r="C1210">
        <v>176.57</v>
      </c>
      <c r="D1210" s="53">
        <v>38192000</v>
      </c>
    </row>
    <row r="1211" spans="2:4">
      <c r="B1211" s="1">
        <v>45548</v>
      </c>
      <c r="C1211">
        <v>179.54</v>
      </c>
      <c r="D1211" s="53">
        <v>32050000</v>
      </c>
    </row>
    <row r="1212" spans="2:4">
      <c r="B1212" s="1">
        <v>45551</v>
      </c>
      <c r="C1212">
        <v>180.81</v>
      </c>
      <c r="D1212" s="53">
        <v>40493000</v>
      </c>
    </row>
    <row r="1213" spans="2:4">
      <c r="B1213" s="1">
        <v>45552</v>
      </c>
      <c r="C1213">
        <v>181.35</v>
      </c>
      <c r="D1213" s="53">
        <v>52411000</v>
      </c>
    </row>
    <row r="1214" spans="2:4">
      <c r="B1214" s="1">
        <v>45553</v>
      </c>
      <c r="C1214">
        <v>175.07</v>
      </c>
      <c r="D1214" s="53">
        <v>43953000</v>
      </c>
    </row>
    <row r="1215" spans="2:4">
      <c r="B1215" s="1">
        <v>45554</v>
      </c>
      <c r="C1215">
        <v>175.07</v>
      </c>
      <c r="D1215" s="53">
        <v>53359000</v>
      </c>
    </row>
    <row r="1216" spans="2:4">
      <c r="B1216" s="1">
        <v>45555</v>
      </c>
      <c r="C1216">
        <v>171.73</v>
      </c>
      <c r="D1216" s="53">
        <v>179000000</v>
      </c>
    </row>
    <row r="1217" spans="2:4">
      <c r="B1217" s="1">
        <v>45558</v>
      </c>
      <c r="C1217">
        <v>174.3</v>
      </c>
      <c r="D1217" s="53">
        <v>32016000</v>
      </c>
    </row>
    <row r="1218" spans="2:4">
      <c r="B1218" s="1">
        <v>45559</v>
      </c>
      <c r="C1218">
        <v>177.64</v>
      </c>
      <c r="D1218" s="53">
        <v>28224000</v>
      </c>
    </row>
    <row r="1219" spans="2:4">
      <c r="B1219" s="1">
        <v>45560</v>
      </c>
      <c r="C1219">
        <v>176.58</v>
      </c>
      <c r="D1219" s="53">
        <v>18712000</v>
      </c>
    </row>
    <row r="1220" spans="2:4">
      <c r="B1220" s="1">
        <v>45561</v>
      </c>
      <c r="C1220">
        <v>178</v>
      </c>
      <c r="D1220" s="53">
        <v>26730000</v>
      </c>
    </row>
    <row r="1221" spans="2:4">
      <c r="B1221" s="1">
        <v>45562</v>
      </c>
      <c r="C1221">
        <v>178.28</v>
      </c>
      <c r="D1221" s="53">
        <v>23484000</v>
      </c>
    </row>
    <row r="1222" spans="2:4">
      <c r="B1222" s="1">
        <v>45565</v>
      </c>
      <c r="C1222">
        <v>177.67</v>
      </c>
      <c r="D1222" s="53">
        <v>75480000</v>
      </c>
    </row>
    <row r="1223" spans="2:4">
      <c r="B1223" s="1">
        <v>45566</v>
      </c>
      <c r="C1223">
        <v>179.86</v>
      </c>
      <c r="D1223" s="53">
        <v>40187000</v>
      </c>
    </row>
    <row r="1224" spans="2:4">
      <c r="B1224" s="1">
        <v>45567</v>
      </c>
      <c r="C1224">
        <v>179</v>
      </c>
      <c r="D1224" s="53">
        <v>25844000</v>
      </c>
    </row>
    <row r="1225" spans="2:4">
      <c r="B1225" s="1">
        <v>45568</v>
      </c>
      <c r="C1225">
        <v>175.62</v>
      </c>
      <c r="D1225" s="53">
        <v>27614000</v>
      </c>
    </row>
    <row r="1226" spans="2:4">
      <c r="B1226" s="1">
        <v>45569</v>
      </c>
      <c r="C1226">
        <v>174.9</v>
      </c>
      <c r="D1226" s="53">
        <v>25798000</v>
      </c>
    </row>
    <row r="1227" spans="2:4">
      <c r="B1227" s="1">
        <v>45572</v>
      </c>
      <c r="C1227">
        <v>172.61</v>
      </c>
      <c r="D1227" s="53">
        <v>31234000</v>
      </c>
    </row>
    <row r="1228" spans="2:4">
      <c r="B1228" s="1">
        <v>45573</v>
      </c>
      <c r="C1228">
        <v>175</v>
      </c>
      <c r="D1228" s="53">
        <v>29573000</v>
      </c>
    </row>
    <row r="1229" spans="2:4">
      <c r="B1229" s="1">
        <v>45574</v>
      </c>
      <c r="C1229">
        <v>175.11</v>
      </c>
      <c r="D1229" s="53">
        <v>26471000</v>
      </c>
    </row>
    <row r="1230" spans="2:4">
      <c r="B1230" s="1">
        <v>45575</v>
      </c>
      <c r="C1230">
        <v>176.73</v>
      </c>
      <c r="D1230" s="53">
        <v>23890000</v>
      </c>
    </row>
    <row r="1231" spans="2:4">
      <c r="B1231" s="1">
        <v>45576</v>
      </c>
      <c r="C1231">
        <v>176.9</v>
      </c>
      <c r="D1231" s="53">
        <v>22629000</v>
      </c>
    </row>
    <row r="1232" spans="2:4">
      <c r="B1232" s="1">
        <v>45580</v>
      </c>
      <c r="C1232">
        <v>177.19</v>
      </c>
      <c r="D1232" s="53">
        <v>39070000</v>
      </c>
    </row>
    <row r="1233" spans="2:4">
      <c r="B1233" s="1">
        <v>45581</v>
      </c>
      <c r="C1233">
        <v>177.55</v>
      </c>
      <c r="D1233" s="53">
        <v>27426000</v>
      </c>
    </row>
    <row r="1234" spans="2:4">
      <c r="B1234" s="1">
        <v>45582</v>
      </c>
      <c r="C1234">
        <v>177.49</v>
      </c>
      <c r="D1234" s="53">
        <v>26871000</v>
      </c>
    </row>
    <row r="1235" spans="2:4">
      <c r="B1235" s="1">
        <v>45583</v>
      </c>
      <c r="C1235">
        <v>177.71</v>
      </c>
      <c r="D1235" s="53">
        <v>23259000</v>
      </c>
    </row>
    <row r="1236" spans="2:4">
      <c r="B1236" s="1">
        <v>45586</v>
      </c>
      <c r="C1236">
        <v>176.86</v>
      </c>
      <c r="D1236" s="53">
        <v>28292000</v>
      </c>
    </row>
    <row r="1237" spans="2:4">
      <c r="B1237" s="1">
        <v>45587</v>
      </c>
      <c r="C1237">
        <v>172.91</v>
      </c>
      <c r="D1237" s="53">
        <v>25614000</v>
      </c>
    </row>
    <row r="1238" spans="2:4">
      <c r="B1238" s="1">
        <v>45588</v>
      </c>
      <c r="C1238">
        <v>173.73</v>
      </c>
      <c r="D1238" s="53">
        <v>19564000</v>
      </c>
    </row>
    <row r="1239" spans="2:4">
      <c r="B1239" s="1">
        <v>45589</v>
      </c>
      <c r="C1239">
        <v>173.08</v>
      </c>
      <c r="D1239" s="53">
        <v>29211000</v>
      </c>
    </row>
    <row r="1240" spans="2:4">
      <c r="B1240" s="1">
        <v>45590</v>
      </c>
      <c r="C1240">
        <v>173.79</v>
      </c>
      <c r="D1240" s="53">
        <v>24434000</v>
      </c>
    </row>
    <row r="1241" spans="2:4">
      <c r="B1241" s="1">
        <v>45593</v>
      </c>
      <c r="C1241">
        <v>173.23</v>
      </c>
      <c r="D1241" s="53">
        <v>23010000</v>
      </c>
    </row>
    <row r="1242" spans="2:4">
      <c r="B1242" s="1">
        <v>45594</v>
      </c>
      <c r="C1242">
        <v>175.53</v>
      </c>
      <c r="D1242" s="53">
        <v>26672000</v>
      </c>
    </row>
    <row r="1243" spans="2:4">
      <c r="B1243" s="1">
        <v>45595</v>
      </c>
      <c r="C1243">
        <v>175.73</v>
      </c>
      <c r="D1243" s="53">
        <v>33278000</v>
      </c>
    </row>
    <row r="1244" spans="2:4">
      <c r="B1244" s="1">
        <v>45596</v>
      </c>
      <c r="C1244">
        <v>179.15</v>
      </c>
      <c r="D1244" s="53">
        <v>40340000</v>
      </c>
    </row>
    <row r="1245" spans="2:4">
      <c r="B1245" s="1">
        <v>45597</v>
      </c>
      <c r="C1245">
        <v>176.08</v>
      </c>
      <c r="D1245" s="53">
        <v>20084000</v>
      </c>
    </row>
    <row r="1246" spans="2:4">
      <c r="B1246" s="1">
        <v>45600</v>
      </c>
      <c r="C1246">
        <v>176.82</v>
      </c>
      <c r="D1246" s="53">
        <v>18639000</v>
      </c>
    </row>
    <row r="1247" spans="2:4">
      <c r="B1247" s="1">
        <v>45601</v>
      </c>
      <c r="C1247">
        <v>177.98</v>
      </c>
      <c r="D1247" s="53">
        <v>26507000</v>
      </c>
    </row>
    <row r="1248" spans="2:4">
      <c r="B1248" s="1">
        <v>45602</v>
      </c>
      <c r="C1248">
        <v>181.66</v>
      </c>
      <c r="D1248" s="53">
        <v>29496000</v>
      </c>
    </row>
    <row r="1249" spans="2:4">
      <c r="B1249" s="1">
        <v>45603</v>
      </c>
      <c r="C1249">
        <v>184.17</v>
      </c>
      <c r="D1249" s="53">
        <v>37240000</v>
      </c>
    </row>
    <row r="1250" spans="2:4">
      <c r="B1250" s="1">
        <v>45604</v>
      </c>
      <c r="C1250">
        <v>186.27</v>
      </c>
      <c r="D1250" s="53">
        <v>33480000</v>
      </c>
    </row>
    <row r="1251" spans="2:4">
      <c r="B1251" s="1">
        <v>45607</v>
      </c>
      <c r="C1251">
        <v>186.26</v>
      </c>
      <c r="D1251" s="53">
        <v>16900000</v>
      </c>
    </row>
    <row r="1252" spans="2:4">
      <c r="B1252" s="1">
        <v>45608</v>
      </c>
      <c r="C1252">
        <v>186.02</v>
      </c>
      <c r="D1252" s="53">
        <v>34083000</v>
      </c>
    </row>
    <row r="1253" spans="2:4">
      <c r="B1253" s="1">
        <v>45609</v>
      </c>
      <c r="C1253">
        <v>183.97</v>
      </c>
      <c r="D1253" s="53">
        <v>40454000</v>
      </c>
    </row>
    <row r="1254" spans="2:4">
      <c r="B1254" s="1">
        <v>45610</v>
      </c>
      <c r="C1254">
        <v>183.01</v>
      </c>
      <c r="D1254" s="53">
        <v>36620000</v>
      </c>
    </row>
    <row r="1255" spans="2:4">
      <c r="B1255" s="1">
        <v>45611</v>
      </c>
      <c r="C1255">
        <v>180.55</v>
      </c>
      <c r="D1255" s="53">
        <v>33766000</v>
      </c>
    </row>
    <row r="1256" spans="2:4">
      <c r="B1256" s="1">
        <v>45614</v>
      </c>
      <c r="C1256">
        <v>181.48</v>
      </c>
      <c r="D1256" s="53">
        <v>38879000</v>
      </c>
    </row>
    <row r="1257" spans="2:4">
      <c r="B1257" s="1">
        <v>45615</v>
      </c>
      <c r="C1257">
        <v>177</v>
      </c>
      <c r="D1257" s="53">
        <v>36521000</v>
      </c>
    </row>
    <row r="1258" spans="2:4">
      <c r="B1258" s="1">
        <v>45616</v>
      </c>
      <c r="C1258">
        <v>175.43</v>
      </c>
      <c r="D1258" s="53">
        <v>30157000</v>
      </c>
    </row>
    <row r="1259" spans="2:4">
      <c r="B1259" s="1">
        <v>45617</v>
      </c>
      <c r="C1259">
        <v>177</v>
      </c>
      <c r="D1259" s="53">
        <v>33815000</v>
      </c>
    </row>
    <row r="1260" spans="2:4">
      <c r="B1260" s="1">
        <v>45618</v>
      </c>
      <c r="C1260">
        <v>178.75</v>
      </c>
      <c r="D1260" s="53">
        <v>17790000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AD12-E9E3-44B1-A2FA-443399FCA1EB}">
  <sheetPr>
    <pageSetUpPr fitToPage="1"/>
  </sheetPr>
  <dimension ref="A1:I27"/>
  <sheetViews>
    <sheetView showGridLines="0" view="pageBreakPreview" zoomScale="60" zoomScaleNormal="100" workbookViewId="0">
      <selection activeCell="I12" sqref="I12"/>
    </sheetView>
  </sheetViews>
  <sheetFormatPr defaultRowHeight="14.4"/>
  <cols>
    <col min="1" max="1" width="1.88671875" customWidth="1"/>
    <col min="3" max="3" width="9.6640625" bestFit="1" customWidth="1"/>
    <col min="5" max="5" width="18.88671875" bestFit="1" customWidth="1"/>
    <col min="10" max="10" width="1.88671875" customWidth="1"/>
  </cols>
  <sheetData>
    <row r="1" spans="2:9">
      <c r="B1" s="73"/>
      <c r="C1" s="73"/>
      <c r="D1" s="73"/>
      <c r="E1" s="73"/>
      <c r="F1" s="73"/>
      <c r="G1" s="73"/>
    </row>
    <row r="2" spans="2:9" ht="23.4">
      <c r="B2" s="92" t="s">
        <v>416</v>
      </c>
      <c r="C2" s="73"/>
      <c r="D2" s="73"/>
      <c r="E2" s="73"/>
      <c r="F2" s="73"/>
      <c r="G2" s="73"/>
    </row>
    <row r="4" spans="2:9">
      <c r="B4" s="5" t="s">
        <v>352</v>
      </c>
      <c r="C4" s="5" t="s">
        <v>418</v>
      </c>
      <c r="D4" s="5" t="s">
        <v>419</v>
      </c>
      <c r="E4" s="5" t="s">
        <v>463</v>
      </c>
      <c r="F4" s="12"/>
    </row>
    <row r="5" spans="2:9">
      <c r="B5" s="111">
        <v>38322</v>
      </c>
      <c r="C5" s="112">
        <v>9037.75</v>
      </c>
      <c r="D5" s="112">
        <v>9190.1200000000008</v>
      </c>
      <c r="F5" s="31"/>
    </row>
    <row r="6" spans="2:9">
      <c r="B6" s="111">
        <v>38353</v>
      </c>
      <c r="C6" s="112">
        <v>9190.1200000000008</v>
      </c>
      <c r="D6" s="112">
        <v>9211.52</v>
      </c>
      <c r="E6" s="9"/>
      <c r="F6" s="36"/>
      <c r="G6" t="s">
        <v>420</v>
      </c>
      <c r="I6" s="12">
        <f>AVERAGE(E7:E25)</f>
        <v>6.304150543009053E-2</v>
      </c>
    </row>
    <row r="7" spans="2:9">
      <c r="B7" s="111">
        <v>38718</v>
      </c>
      <c r="C7" s="112">
        <v>11304.64</v>
      </c>
      <c r="D7" s="112">
        <v>11962.83</v>
      </c>
      <c r="E7" s="9">
        <f>C7/C6-1</f>
        <v>0.23008622303081983</v>
      </c>
      <c r="G7" t="s">
        <v>417</v>
      </c>
      <c r="I7" s="9">
        <v>3.4000000000000002E-2</v>
      </c>
    </row>
    <row r="8" spans="2:9">
      <c r="B8" s="111">
        <v>39417</v>
      </c>
      <c r="C8" s="112">
        <v>13671.55</v>
      </c>
      <c r="D8" s="112">
        <v>13907.73</v>
      </c>
      <c r="E8" s="9">
        <f t="shared" ref="E8:E25" si="0">C8/C7-1</f>
        <v>0.20937508845925223</v>
      </c>
      <c r="G8" s="5" t="s">
        <v>416</v>
      </c>
      <c r="H8" s="5"/>
      <c r="I8" s="20">
        <f>SUM(I6:I7)</f>
        <v>9.7041505430090533E-2</v>
      </c>
    </row>
    <row r="9" spans="2:9">
      <c r="B9" s="111">
        <v>39783</v>
      </c>
      <c r="C9" s="112">
        <v>8816.36</v>
      </c>
      <c r="D9" s="112">
        <v>8951.85</v>
      </c>
      <c r="E9" s="9">
        <f t="shared" si="0"/>
        <v>-0.35513091054050194</v>
      </c>
    </row>
    <row r="10" spans="2:9">
      <c r="B10" s="111">
        <v>40148</v>
      </c>
      <c r="C10" s="112">
        <v>11574.65</v>
      </c>
      <c r="D10" s="112">
        <v>11847.34</v>
      </c>
      <c r="E10" s="9">
        <f t="shared" si="0"/>
        <v>0.31286040951140826</v>
      </c>
    </row>
    <row r="11" spans="2:9">
      <c r="B11" s="111">
        <v>40513</v>
      </c>
      <c r="C11" s="112">
        <v>13067.03</v>
      </c>
      <c r="D11" s="112">
        <v>13530.35</v>
      </c>
      <c r="E11" s="9">
        <f t="shared" si="0"/>
        <v>0.12893521618364279</v>
      </c>
    </row>
    <row r="12" spans="2:9">
      <c r="B12" s="111">
        <v>40878</v>
      </c>
      <c r="C12" s="112">
        <v>12174.09</v>
      </c>
      <c r="D12" s="112">
        <v>12097.23</v>
      </c>
      <c r="E12" s="9">
        <f t="shared" si="0"/>
        <v>-6.833534475699532E-2</v>
      </c>
    </row>
    <row r="13" spans="2:9">
      <c r="B13" s="111">
        <v>41244</v>
      </c>
      <c r="C13" s="112">
        <v>12253.7</v>
      </c>
      <c r="D13" s="112">
        <v>12571.76</v>
      </c>
      <c r="E13" s="9">
        <f t="shared" si="0"/>
        <v>6.5392978037783767E-3</v>
      </c>
    </row>
    <row r="14" spans="2:9">
      <c r="B14" s="111">
        <v>41609</v>
      </c>
      <c r="C14" s="112">
        <v>13395.4</v>
      </c>
      <c r="D14" s="112">
        <v>13621.4</v>
      </c>
      <c r="E14" s="9">
        <f t="shared" si="0"/>
        <v>9.3171858295861609E-2</v>
      </c>
    </row>
    <row r="15" spans="2:9">
      <c r="B15" s="111">
        <v>41974</v>
      </c>
      <c r="C15" s="112">
        <v>14753.51</v>
      </c>
      <c r="D15" s="112">
        <v>14637.34</v>
      </c>
      <c r="E15" s="9">
        <f t="shared" si="0"/>
        <v>0.10138629678844979</v>
      </c>
    </row>
    <row r="16" spans="2:9">
      <c r="B16" s="111">
        <v>42339</v>
      </c>
      <c r="C16" s="112">
        <v>13488.41</v>
      </c>
      <c r="D16" s="112">
        <v>12920.64</v>
      </c>
      <c r="E16" s="9">
        <f t="shared" si="0"/>
        <v>-8.5749086149668807E-2</v>
      </c>
    </row>
    <row r="17" spans="1:5">
      <c r="B17" s="111">
        <v>42705</v>
      </c>
      <c r="C17" s="112">
        <v>15138.6</v>
      </c>
      <c r="D17" s="112">
        <v>15366.79</v>
      </c>
      <c r="E17" s="9">
        <f t="shared" si="0"/>
        <v>0.12234132859247304</v>
      </c>
    </row>
    <row r="18" spans="1:5">
      <c r="A18" s="20"/>
      <c r="B18" s="111">
        <v>43070</v>
      </c>
      <c r="C18" s="112">
        <v>16058.21</v>
      </c>
      <c r="D18" s="112">
        <v>16213.37</v>
      </c>
      <c r="E18" s="9">
        <f t="shared" si="0"/>
        <v>6.0746039924431505E-2</v>
      </c>
    </row>
    <row r="19" spans="1:5">
      <c r="B19" s="111">
        <v>43435</v>
      </c>
      <c r="C19" s="112">
        <v>15358.94</v>
      </c>
      <c r="D19" s="112">
        <v>14163.92</v>
      </c>
      <c r="E19" s="9">
        <f t="shared" si="0"/>
        <v>-4.3545949392865047E-2</v>
      </c>
    </row>
    <row r="20" spans="1:5">
      <c r="B20" s="111">
        <v>43800</v>
      </c>
      <c r="C20" s="112">
        <v>17060.919999999998</v>
      </c>
      <c r="D20" s="112">
        <v>17131.63</v>
      </c>
      <c r="E20" s="9">
        <f t="shared" si="0"/>
        <v>0.11081363687858659</v>
      </c>
    </row>
    <row r="21" spans="1:5">
      <c r="B21" s="111">
        <v>44166</v>
      </c>
      <c r="C21" s="112">
        <v>17431.27</v>
      </c>
      <c r="D21" s="112">
        <v>17583.36</v>
      </c>
      <c r="E21" s="9">
        <f t="shared" si="0"/>
        <v>2.1707504636326869E-2</v>
      </c>
    </row>
    <row r="22" spans="1:5">
      <c r="B22" s="111">
        <v>44531</v>
      </c>
      <c r="C22" s="112">
        <v>20917.46</v>
      </c>
      <c r="D22" s="112">
        <v>21335.56</v>
      </c>
      <c r="E22" s="9">
        <f t="shared" si="0"/>
        <v>0.19999632843734272</v>
      </c>
    </row>
    <row r="23" spans="1:5">
      <c r="B23" s="111">
        <v>44896</v>
      </c>
      <c r="C23" s="112">
        <v>20541.189999999999</v>
      </c>
      <c r="D23" s="112">
        <v>19531.37</v>
      </c>
      <c r="E23" s="9">
        <f t="shared" si="0"/>
        <v>-1.7988321717837708E-2</v>
      </c>
    </row>
    <row r="24" spans="1:5">
      <c r="B24" s="111">
        <v>45261</v>
      </c>
      <c r="C24" s="112">
        <v>20208.12</v>
      </c>
      <c r="D24" s="112">
        <v>20904.25</v>
      </c>
      <c r="E24" s="9">
        <f t="shared" si="0"/>
        <v>-1.6214737315608296E-2</v>
      </c>
    </row>
    <row r="25" spans="1:5">
      <c r="B25" s="111">
        <v>45566</v>
      </c>
      <c r="C25" s="112">
        <v>23982.87</v>
      </c>
      <c r="D25" s="112">
        <v>24225.279999999999</v>
      </c>
      <c r="E25" s="9">
        <f t="shared" si="0"/>
        <v>0.18679372450282372</v>
      </c>
    </row>
    <row r="26" spans="1:5">
      <c r="B26" s="107"/>
      <c r="C26" s="108"/>
    </row>
    <row r="27" spans="1:5">
      <c r="B27" s="107"/>
      <c r="C27" s="108"/>
    </row>
  </sheetData>
  <pageMargins left="0.7" right="0.7" top="0.75" bottom="0.75" header="0.3" footer="0.3"/>
  <pageSetup paperSize="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EDFE-5933-4170-B20F-0519DC1D1AFC}">
  <sheetPr>
    <pageSetUpPr fitToPage="1"/>
  </sheetPr>
  <dimension ref="B1:S270"/>
  <sheetViews>
    <sheetView showGridLines="0" view="pageBreakPreview" topLeftCell="B1" zoomScale="83" zoomScaleNormal="100" workbookViewId="0">
      <selection activeCell="O35" sqref="O35"/>
    </sheetView>
  </sheetViews>
  <sheetFormatPr defaultRowHeight="14.4"/>
  <cols>
    <col min="1" max="1" width="1.88671875" customWidth="1"/>
    <col min="2" max="2" width="16.6640625" style="74" bestFit="1" customWidth="1"/>
    <col min="3" max="3" width="12.88671875" style="74" bestFit="1" customWidth="1"/>
    <col min="4" max="4" width="7.44140625" style="74" bestFit="1" customWidth="1"/>
    <col min="5" max="5" width="12.44140625" style="74" bestFit="1" customWidth="1"/>
    <col min="6" max="6" width="11.77734375" style="74" bestFit="1" customWidth="1"/>
    <col min="7" max="7" width="12.5546875" style="74" bestFit="1" customWidth="1"/>
    <col min="8" max="8" width="10" style="74" bestFit="1" customWidth="1"/>
    <col min="9" max="10" width="1.88671875" customWidth="1"/>
    <col min="12" max="12" width="17.6640625" bestFit="1" customWidth="1"/>
    <col min="13" max="14" width="9" bestFit="1" customWidth="1"/>
    <col min="15" max="15" width="12" bestFit="1" customWidth="1"/>
    <col min="16" max="16" width="17.5546875" bestFit="1" customWidth="1"/>
    <col min="17" max="17" width="20.33203125" bestFit="1" customWidth="1"/>
    <col min="18" max="18" width="13.5546875" bestFit="1" customWidth="1"/>
    <col min="19" max="19" width="12.109375" bestFit="1" customWidth="1"/>
    <col min="20" max="20" width="1.88671875" customWidth="1"/>
    <col min="21" max="21" width="12.6640625" bestFit="1" customWidth="1"/>
    <col min="22" max="22" width="12" bestFit="1" customWidth="1"/>
    <col min="23" max="23" width="12.6640625" bestFit="1" customWidth="1"/>
    <col min="24" max="24" width="12.109375" bestFit="1" customWidth="1"/>
  </cols>
  <sheetData>
    <row r="1" spans="2:16"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pans="2:16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2:16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</row>
    <row r="5" spans="2:16">
      <c r="B5" s="5" t="s">
        <v>354</v>
      </c>
      <c r="C5"/>
      <c r="D5"/>
      <c r="E5"/>
      <c r="F5"/>
      <c r="G5"/>
      <c r="H5"/>
      <c r="K5" s="21"/>
      <c r="L5" s="21"/>
      <c r="M5" s="21"/>
      <c r="N5" s="21"/>
      <c r="O5" s="21"/>
      <c r="P5" s="21"/>
    </row>
    <row r="6" spans="2:16">
      <c r="B6" s="5"/>
      <c r="C6"/>
      <c r="D6"/>
      <c r="E6"/>
      <c r="F6"/>
      <c r="G6"/>
      <c r="H6"/>
    </row>
    <row r="7" spans="2:16">
      <c r="B7" s="238" t="s">
        <v>350</v>
      </c>
      <c r="C7" s="238"/>
      <c r="D7" s="238"/>
      <c r="E7"/>
      <c r="F7" s="238" t="s">
        <v>353</v>
      </c>
      <c r="G7" s="238"/>
      <c r="H7" s="238"/>
      <c r="K7" s="238" t="s">
        <v>390</v>
      </c>
      <c r="L7" s="238"/>
      <c r="M7" s="238"/>
    </row>
    <row r="8" spans="2:16">
      <c r="B8" s="76"/>
      <c r="C8" s="76"/>
      <c r="D8" s="76"/>
      <c r="E8"/>
      <c r="F8"/>
      <c r="G8"/>
      <c r="H8"/>
    </row>
    <row r="9" spans="2:16" ht="15.6">
      <c r="B9" s="77" t="s">
        <v>349</v>
      </c>
      <c r="C9" s="78" t="s">
        <v>348</v>
      </c>
      <c r="D9" s="78" t="s">
        <v>351</v>
      </c>
      <c r="E9"/>
      <c r="F9" s="77" t="s">
        <v>352</v>
      </c>
      <c r="G9" s="78" t="s">
        <v>348</v>
      </c>
      <c r="H9" s="78" t="s">
        <v>351</v>
      </c>
      <c r="K9" t="s">
        <v>335</v>
      </c>
      <c r="M9" s="53">
        <f>L41</f>
        <v>0.37682690063388619</v>
      </c>
    </row>
    <row r="10" spans="2:16">
      <c r="B10" s="90">
        <v>43787</v>
      </c>
      <c r="C10" s="91">
        <v>65.237190246582003</v>
      </c>
      <c r="D10"/>
      <c r="E10"/>
      <c r="F10" s="90">
        <v>43787</v>
      </c>
      <c r="G10" s="91">
        <v>16954.80078125</v>
      </c>
      <c r="H10" s="9"/>
      <c r="K10" t="s">
        <v>391</v>
      </c>
      <c r="M10" s="89">
        <v>0.75</v>
      </c>
    </row>
    <row r="11" spans="2:16">
      <c r="B11" s="90">
        <v>43794</v>
      </c>
      <c r="C11" s="91">
        <v>66.208122253417898</v>
      </c>
      <c r="D11" s="9">
        <f>C11/C10-1</f>
        <v>1.4883105835275634E-2</v>
      </c>
      <c r="E11"/>
      <c r="F11" s="90">
        <v>43794</v>
      </c>
      <c r="G11" s="91">
        <v>17040.19921875</v>
      </c>
      <c r="H11" s="9">
        <f>G11/G10-1</f>
        <v>5.0368293088078886E-3</v>
      </c>
    </row>
    <row r="12" spans="2:16">
      <c r="B12" s="90">
        <v>43801</v>
      </c>
      <c r="C12" s="91">
        <v>66.670448303222599</v>
      </c>
      <c r="D12" s="9">
        <f t="shared" ref="D12:D75" si="0">C12/C11-1</f>
        <v>6.9829204343705431E-3</v>
      </c>
      <c r="E12"/>
      <c r="F12" s="90">
        <v>43801</v>
      </c>
      <c r="G12" s="91">
        <v>16997</v>
      </c>
      <c r="H12" s="9">
        <f t="shared" ref="H12:H75" si="1">G12/G11-1</f>
        <v>-2.5351357807170682E-3</v>
      </c>
      <c r="K12" t="s">
        <v>393</v>
      </c>
      <c r="M12" s="89">
        <v>1</v>
      </c>
    </row>
    <row r="13" spans="2:16">
      <c r="B13" s="90">
        <v>43808</v>
      </c>
      <c r="C13" s="91">
        <v>64.035087585449205</v>
      </c>
      <c r="D13" s="9">
        <f t="shared" si="0"/>
        <v>-3.9528168549093357E-2</v>
      </c>
      <c r="E13"/>
      <c r="F13" s="90">
        <v>43808</v>
      </c>
      <c r="G13" s="91">
        <v>17003.099609375</v>
      </c>
      <c r="H13" s="9">
        <f t="shared" si="1"/>
        <v>3.5886388039063633E-4</v>
      </c>
      <c r="K13" t="s">
        <v>392</v>
      </c>
      <c r="M13" s="89">
        <v>0.25</v>
      </c>
    </row>
    <row r="14" spans="2:16">
      <c r="B14" s="90">
        <v>43815</v>
      </c>
      <c r="C14" s="91">
        <v>63.063850402832003</v>
      </c>
      <c r="D14" s="9">
        <f t="shared" si="0"/>
        <v>-1.5167265623259651E-2</v>
      </c>
      <c r="E14"/>
      <c r="F14" s="90">
        <v>43815</v>
      </c>
      <c r="G14" s="91">
        <v>17118.400390625</v>
      </c>
      <c r="H14" s="9">
        <f t="shared" si="1"/>
        <v>6.7811624879516863E-3</v>
      </c>
    </row>
    <row r="15" spans="2:16">
      <c r="B15" s="90">
        <v>43822</v>
      </c>
      <c r="C15" s="91">
        <v>62.952392578125</v>
      </c>
      <c r="D15" s="9">
        <f t="shared" si="0"/>
        <v>-1.7673805832508771E-3</v>
      </c>
      <c r="E15"/>
      <c r="F15" s="90">
        <v>43822</v>
      </c>
      <c r="G15" s="91">
        <v>17168.19921875</v>
      </c>
      <c r="H15" s="9">
        <f t="shared" si="1"/>
        <v>2.9090818644639249E-3</v>
      </c>
      <c r="K15" s="87" t="s">
        <v>462</v>
      </c>
      <c r="L15" s="87"/>
      <c r="M15" s="88">
        <f>M9*M10+M12*M13</f>
        <v>0.53262017547541463</v>
      </c>
    </row>
    <row r="16" spans="2:16">
      <c r="B16" s="90">
        <v>43829</v>
      </c>
      <c r="C16" s="91">
        <v>62.2372436523437</v>
      </c>
      <c r="D16" s="9">
        <f t="shared" si="0"/>
        <v>-1.1360154816892565E-2</v>
      </c>
      <c r="E16"/>
      <c r="F16" s="90">
        <v>43829</v>
      </c>
      <c r="G16" s="91">
        <v>17066.099609375</v>
      </c>
      <c r="H16" s="9">
        <f t="shared" si="1"/>
        <v>-5.9470191412674955E-3</v>
      </c>
    </row>
    <row r="17" spans="2:12">
      <c r="B17" s="90">
        <v>43836</v>
      </c>
      <c r="C17" s="91">
        <v>63.017406463622997</v>
      </c>
      <c r="D17" s="9">
        <f t="shared" si="0"/>
        <v>1.2535304674436976E-2</v>
      </c>
      <c r="E17"/>
      <c r="F17" s="90">
        <v>43836</v>
      </c>
      <c r="G17" s="91">
        <v>17234.5</v>
      </c>
      <c r="H17" s="9">
        <f t="shared" si="1"/>
        <v>9.8675382471393736E-3</v>
      </c>
    </row>
    <row r="18" spans="2:12">
      <c r="B18" s="90">
        <v>43843</v>
      </c>
      <c r="C18" s="91">
        <v>63.509654998779297</v>
      </c>
      <c r="D18" s="9">
        <f t="shared" si="0"/>
        <v>7.8113106009916056E-3</v>
      </c>
      <c r="E18"/>
      <c r="F18" s="90">
        <v>43843</v>
      </c>
      <c r="G18" s="91">
        <v>17559</v>
      </c>
      <c r="H18" s="9">
        <f t="shared" si="1"/>
        <v>1.8828512576517964E-2</v>
      </c>
    </row>
    <row r="19" spans="2:12">
      <c r="B19" s="90">
        <v>43850</v>
      </c>
      <c r="C19" s="91">
        <v>64.020484924316406</v>
      </c>
      <c r="D19" s="9">
        <f t="shared" si="0"/>
        <v>8.043342788540242E-3</v>
      </c>
      <c r="E19"/>
      <c r="F19" s="90">
        <v>43850</v>
      </c>
      <c r="G19" s="91">
        <v>17565.30078125</v>
      </c>
      <c r="H19" s="9">
        <f t="shared" si="1"/>
        <v>3.5883485676868609E-4</v>
      </c>
    </row>
    <row r="20" spans="2:12">
      <c r="B20" s="90">
        <v>43857</v>
      </c>
      <c r="C20" s="91">
        <v>64.308387756347599</v>
      </c>
      <c r="D20" s="9">
        <f t="shared" si="0"/>
        <v>4.4970423509216317E-3</v>
      </c>
      <c r="E20"/>
      <c r="F20" s="90">
        <v>43857</v>
      </c>
      <c r="G20" s="91">
        <v>17318.5</v>
      </c>
      <c r="H20" s="9">
        <f t="shared" si="1"/>
        <v>-1.4050472822728199E-2</v>
      </c>
    </row>
    <row r="21" spans="2:12">
      <c r="B21" s="90">
        <v>43864</v>
      </c>
      <c r="C21" s="91">
        <v>65.385787963867102</v>
      </c>
      <c r="D21" s="9">
        <f t="shared" si="0"/>
        <v>1.6753649797621506E-2</v>
      </c>
      <c r="E21"/>
      <c r="F21" s="90">
        <v>43864</v>
      </c>
      <c r="G21" s="91">
        <v>17655.5</v>
      </c>
      <c r="H21" s="9">
        <f t="shared" si="1"/>
        <v>1.9458960071599751E-2</v>
      </c>
    </row>
    <row r="22" spans="2:12">
      <c r="B22" s="90">
        <v>43871</v>
      </c>
      <c r="C22" s="91">
        <v>66.026634216308594</v>
      </c>
      <c r="D22" s="9">
        <f t="shared" si="0"/>
        <v>9.8010022116064022E-3</v>
      </c>
      <c r="E22"/>
      <c r="F22" s="90">
        <v>43871</v>
      </c>
      <c r="G22" s="91">
        <v>17848.400390625</v>
      </c>
      <c r="H22" s="9">
        <f t="shared" si="1"/>
        <v>1.0925795963014462E-2</v>
      </c>
    </row>
    <row r="23" spans="2:12">
      <c r="B23" s="90">
        <v>43878</v>
      </c>
      <c r="C23" s="91">
        <v>65.153602600097599</v>
      </c>
      <c r="D23" s="9">
        <f t="shared" si="0"/>
        <v>-1.3222415871614324E-2</v>
      </c>
      <c r="E23"/>
      <c r="F23" s="90">
        <v>43878</v>
      </c>
      <c r="G23" s="91">
        <v>17843.5</v>
      </c>
      <c r="H23" s="9">
        <f t="shared" si="1"/>
        <v>-2.7455629175454632E-4</v>
      </c>
    </row>
    <row r="24" spans="2:12">
      <c r="B24" s="90">
        <v>43885</v>
      </c>
      <c r="C24" s="91">
        <v>61.763553619384702</v>
      </c>
      <c r="D24" s="9">
        <f t="shared" si="0"/>
        <v>-5.2031642847448878E-2</v>
      </c>
      <c r="E24"/>
      <c r="F24" s="90">
        <v>43885</v>
      </c>
      <c r="G24" s="91">
        <v>16263.099609375</v>
      </c>
      <c r="H24" s="9">
        <f t="shared" si="1"/>
        <v>-8.8570089423319454E-2</v>
      </c>
      <c r="K24" t="s">
        <v>365</v>
      </c>
    </row>
    <row r="25" spans="2:12" ht="15" thickBot="1">
      <c r="B25" s="90">
        <v>43892</v>
      </c>
      <c r="C25" s="91">
        <v>67.1968994140625</v>
      </c>
      <c r="D25" s="9">
        <f t="shared" si="0"/>
        <v>8.797009686587276E-2</v>
      </c>
      <c r="E25"/>
      <c r="F25" s="90">
        <v>43892</v>
      </c>
      <c r="G25" s="91">
        <v>16175</v>
      </c>
      <c r="H25" s="9">
        <f t="shared" si="1"/>
        <v>-5.4171474990053481E-3</v>
      </c>
    </row>
    <row r="26" spans="2:12">
      <c r="B26" s="90">
        <v>43899</v>
      </c>
      <c r="C26" s="91">
        <v>61.754280090332003</v>
      </c>
      <c r="D26" s="9">
        <f t="shared" si="0"/>
        <v>-8.0995096071225903E-2</v>
      </c>
      <c r="E26"/>
      <c r="F26" s="90">
        <v>43899</v>
      </c>
      <c r="G26" s="91">
        <v>13716.2998046875</v>
      </c>
      <c r="H26" s="9">
        <f t="shared" si="1"/>
        <v>-0.15200619445517771</v>
      </c>
      <c r="K26" s="83" t="s">
        <v>366</v>
      </c>
      <c r="L26" s="83"/>
    </row>
    <row r="27" spans="2:12">
      <c r="B27" s="90">
        <v>43906</v>
      </c>
      <c r="C27" s="91">
        <v>62.290176391601499</v>
      </c>
      <c r="D27" s="9">
        <f t="shared" si="0"/>
        <v>8.6778811199095252E-3</v>
      </c>
      <c r="E27"/>
      <c r="F27" s="90">
        <v>43906</v>
      </c>
      <c r="G27" s="91">
        <v>11851.7998046875</v>
      </c>
      <c r="H27" s="9">
        <f t="shared" si="1"/>
        <v>-0.1359331617527646</v>
      </c>
      <c r="K27" s="80" t="s">
        <v>367</v>
      </c>
      <c r="L27" s="80">
        <v>0.33203425719897217</v>
      </c>
    </row>
    <row r="28" spans="2:12">
      <c r="B28" s="90">
        <v>43913</v>
      </c>
      <c r="C28" s="91">
        <v>62.7287788391113</v>
      </c>
      <c r="D28" s="9">
        <f t="shared" si="0"/>
        <v>7.0412779818189719E-3</v>
      </c>
      <c r="E28"/>
      <c r="F28" s="90">
        <v>43913</v>
      </c>
      <c r="G28" s="91">
        <v>12687.7001953125</v>
      </c>
      <c r="H28" s="9">
        <f t="shared" si="1"/>
        <v>7.0529405187420791E-2</v>
      </c>
      <c r="K28" s="80" t="s">
        <v>368</v>
      </c>
      <c r="L28" s="80">
        <v>0.11024674795367322</v>
      </c>
    </row>
    <row r="29" spans="2:12">
      <c r="B29" s="90">
        <v>43920</v>
      </c>
      <c r="C29" s="91">
        <v>67.637351989746094</v>
      </c>
      <c r="D29" s="9">
        <f t="shared" si="0"/>
        <v>7.8250736607266891E-2</v>
      </c>
      <c r="E29"/>
      <c r="F29" s="90">
        <v>43920</v>
      </c>
      <c r="G29" s="91">
        <v>12938.2998046875</v>
      </c>
      <c r="H29" s="9">
        <f t="shared" si="1"/>
        <v>1.9751381693869474E-2</v>
      </c>
      <c r="K29" s="80" t="s">
        <v>369</v>
      </c>
      <c r="L29" s="80">
        <v>0.10679809193798978</v>
      </c>
    </row>
    <row r="30" spans="2:12">
      <c r="B30" s="90">
        <v>43927</v>
      </c>
      <c r="C30" s="91">
        <v>67.161422729492102</v>
      </c>
      <c r="D30" s="9">
        <f t="shared" si="0"/>
        <v>-7.0364857028427652E-3</v>
      </c>
      <c r="E30"/>
      <c r="F30" s="90">
        <v>43927</v>
      </c>
      <c r="G30" s="91">
        <v>14166.599609375</v>
      </c>
      <c r="H30" s="9">
        <f t="shared" si="1"/>
        <v>9.4935178750649385E-2</v>
      </c>
      <c r="K30" s="80" t="s">
        <v>370</v>
      </c>
      <c r="L30" s="80">
        <v>2.5433823080700867E-2</v>
      </c>
    </row>
    <row r="31" spans="2:12" ht="15" thickBot="1">
      <c r="B31" s="90">
        <v>43934</v>
      </c>
      <c r="C31" s="91">
        <v>68.990470886230398</v>
      </c>
      <c r="D31" s="9">
        <f t="shared" si="0"/>
        <v>2.7233612428152476E-2</v>
      </c>
      <c r="E31"/>
      <c r="F31" s="90">
        <v>43934</v>
      </c>
      <c r="G31" s="91">
        <v>14359.900390625</v>
      </c>
      <c r="H31" s="9">
        <f t="shared" si="1"/>
        <v>1.3644825616591749E-2</v>
      </c>
      <c r="K31" s="81" t="s">
        <v>371</v>
      </c>
      <c r="L31" s="81">
        <v>260</v>
      </c>
    </row>
    <row r="32" spans="2:12">
      <c r="B32" s="90">
        <v>43941</v>
      </c>
      <c r="C32" s="91">
        <v>69.522377014160099</v>
      </c>
      <c r="D32" s="9">
        <f t="shared" si="0"/>
        <v>7.7098492168121702E-3</v>
      </c>
      <c r="E32"/>
      <c r="F32" s="90">
        <v>43941</v>
      </c>
      <c r="G32" s="91">
        <v>14420.400390625</v>
      </c>
      <c r="H32" s="9">
        <f t="shared" si="1"/>
        <v>4.2131211466827079E-3</v>
      </c>
    </row>
    <row r="33" spans="2:19" ht="15" thickBot="1">
      <c r="B33" s="90">
        <v>43948</v>
      </c>
      <c r="C33" s="91">
        <v>63.531333923339801</v>
      </c>
      <c r="D33" s="9">
        <f t="shared" si="0"/>
        <v>-8.617431319415414E-2</v>
      </c>
      <c r="E33"/>
      <c r="F33" s="90">
        <v>43948</v>
      </c>
      <c r="G33" s="91">
        <v>14620.2998046875</v>
      </c>
      <c r="H33" s="9">
        <f t="shared" si="1"/>
        <v>1.3862265169312327E-2</v>
      </c>
      <c r="K33" t="s">
        <v>372</v>
      </c>
    </row>
    <row r="34" spans="2:19">
      <c r="B34" s="90">
        <v>43955</v>
      </c>
      <c r="C34" s="91">
        <v>64.632492065429602</v>
      </c>
      <c r="D34" s="9">
        <f t="shared" si="0"/>
        <v>1.7332520412974839E-2</v>
      </c>
      <c r="E34"/>
      <c r="F34" s="90">
        <v>43955</v>
      </c>
      <c r="G34" s="91">
        <v>14966.599609375</v>
      </c>
      <c r="H34" s="9">
        <f t="shared" si="1"/>
        <v>2.3686231425738002E-2</v>
      </c>
      <c r="K34" s="82"/>
      <c r="L34" s="82" t="s">
        <v>377</v>
      </c>
      <c r="M34" s="82" t="s">
        <v>378</v>
      </c>
      <c r="N34" s="82" t="s">
        <v>379</v>
      </c>
      <c r="O34" s="82" t="s">
        <v>380</v>
      </c>
      <c r="P34" s="82" t="s">
        <v>381</v>
      </c>
    </row>
    <row r="35" spans="2:19">
      <c r="B35" s="90">
        <v>43962</v>
      </c>
      <c r="C35" s="91">
        <v>62.878108978271399</v>
      </c>
      <c r="D35" s="9">
        <f t="shared" si="0"/>
        <v>-2.7143980234928589E-2</v>
      </c>
      <c r="E35"/>
      <c r="F35" s="90">
        <v>43962</v>
      </c>
      <c r="G35" s="91">
        <v>14638.900390625</v>
      </c>
      <c r="H35" s="9">
        <f t="shared" si="1"/>
        <v>-2.1895368841478913E-2</v>
      </c>
      <c r="K35" s="80" t="s">
        <v>373</v>
      </c>
      <c r="L35" s="80">
        <v>1</v>
      </c>
      <c r="M35" s="80">
        <v>2.0679460360270213E-2</v>
      </c>
      <c r="N35" s="80">
        <v>2.0679460360270213E-2</v>
      </c>
      <c r="O35" s="80">
        <v>31.968032605253928</v>
      </c>
      <c r="P35" s="80">
        <v>4.1469542951652627E-8</v>
      </c>
    </row>
    <row r="36" spans="2:19">
      <c r="B36" s="90">
        <v>43969</v>
      </c>
      <c r="C36" s="91">
        <v>61.963584899902301</v>
      </c>
      <c r="D36" s="9">
        <f t="shared" si="0"/>
        <v>-1.4544395390216458E-2</v>
      </c>
      <c r="E36"/>
      <c r="F36" s="90">
        <v>43969</v>
      </c>
      <c r="G36" s="91">
        <v>14913.599609375</v>
      </c>
      <c r="H36" s="9">
        <f t="shared" si="1"/>
        <v>1.8765017277248663E-2</v>
      </c>
      <c r="K36" s="80" t="s">
        <v>374</v>
      </c>
      <c r="L36" s="80">
        <v>258</v>
      </c>
      <c r="M36" s="80">
        <v>0.16689487397710115</v>
      </c>
      <c r="N36" s="80">
        <v>6.4687935650039208E-4</v>
      </c>
      <c r="O36" s="80"/>
      <c r="P36" s="80"/>
    </row>
    <row r="37" spans="2:19" ht="15" thickBot="1">
      <c r="B37" s="90">
        <v>43976</v>
      </c>
      <c r="C37" s="91">
        <v>63.605987548828097</v>
      </c>
      <c r="D37" s="9">
        <f t="shared" si="0"/>
        <v>2.6505933308716312E-2</v>
      </c>
      <c r="E37"/>
      <c r="F37" s="90">
        <v>43976</v>
      </c>
      <c r="G37" s="91">
        <v>15192.7998046875</v>
      </c>
      <c r="H37" s="9">
        <f t="shared" si="1"/>
        <v>1.8721180843355167E-2</v>
      </c>
      <c r="K37" s="81" t="s">
        <v>375</v>
      </c>
      <c r="L37" s="81">
        <v>259</v>
      </c>
      <c r="M37" s="81">
        <v>0.18757433433737136</v>
      </c>
      <c r="N37" s="81"/>
      <c r="O37" s="81"/>
      <c r="P37" s="81"/>
    </row>
    <row r="38" spans="2:19">
      <c r="B38" s="90">
        <v>43983</v>
      </c>
      <c r="C38" s="91">
        <v>62.952754974365199</v>
      </c>
      <c r="D38" s="9">
        <f t="shared" si="0"/>
        <v>-1.0269985572685769E-2</v>
      </c>
      <c r="E38"/>
      <c r="F38" s="90">
        <v>43983</v>
      </c>
      <c r="G38" s="91">
        <v>15854.099609375</v>
      </c>
      <c r="H38" s="9">
        <f t="shared" si="1"/>
        <v>4.3527184797331753E-2</v>
      </c>
    </row>
    <row r="39" spans="2:19">
      <c r="B39" s="90">
        <v>43990</v>
      </c>
      <c r="C39" s="91">
        <v>62.0009155273437</v>
      </c>
      <c r="D39" s="9">
        <f t="shared" si="0"/>
        <v>-1.5119901383332524E-2</v>
      </c>
      <c r="E39"/>
      <c r="F39" s="90">
        <v>43990</v>
      </c>
      <c r="G39" s="91">
        <v>15256.599609375</v>
      </c>
      <c r="H39" s="9">
        <f t="shared" si="1"/>
        <v>-3.7687413017556737E-2</v>
      </c>
      <c r="L39" t="s">
        <v>382</v>
      </c>
      <c r="M39" t="s">
        <v>370</v>
      </c>
      <c r="N39" t="s">
        <v>383</v>
      </c>
      <c r="O39" t="s">
        <v>384</v>
      </c>
      <c r="P39" t="s">
        <v>385</v>
      </c>
      <c r="Q39" t="s">
        <v>386</v>
      </c>
      <c r="R39" t="s">
        <v>387</v>
      </c>
      <c r="S39" t="s">
        <v>388</v>
      </c>
    </row>
    <row r="40" spans="2:19">
      <c r="B40" s="90">
        <v>43997</v>
      </c>
      <c r="C40" s="91">
        <v>62.966243743896399</v>
      </c>
      <c r="D40" s="9">
        <f t="shared" si="0"/>
        <v>1.5569580035103892E-2</v>
      </c>
      <c r="E40"/>
      <c r="F40" s="90">
        <v>43997</v>
      </c>
      <c r="G40" s="91">
        <v>15474.2001953125</v>
      </c>
      <c r="H40" s="9">
        <f t="shared" si="1"/>
        <v>1.4262718528956331E-2</v>
      </c>
      <c r="K40" t="s">
        <v>376</v>
      </c>
      <c r="L40">
        <v>3.636605381208751E-3</v>
      </c>
      <c r="M40">
        <v>1.5817252578003811E-3</v>
      </c>
      <c r="N40">
        <v>2.2991384649607096</v>
      </c>
      <c r="O40">
        <v>2.2296463670811596E-2</v>
      </c>
      <c r="P40">
        <v>5.2186981090705624E-4</v>
      </c>
      <c r="Q40">
        <v>6.7513409515104457E-3</v>
      </c>
      <c r="R40">
        <v>5.2186981090705624E-4</v>
      </c>
      <c r="S40">
        <v>6.7513409515104457E-3</v>
      </c>
    </row>
    <row r="41" spans="2:19">
      <c r="B41" s="90">
        <v>44004</v>
      </c>
      <c r="C41" s="91">
        <v>61.26900100708</v>
      </c>
      <c r="D41" s="9">
        <f t="shared" si="0"/>
        <v>-2.6954803651931702E-2</v>
      </c>
      <c r="E41"/>
      <c r="F41" s="90">
        <v>44004</v>
      </c>
      <c r="G41" s="91">
        <v>15189</v>
      </c>
      <c r="H41" s="9">
        <f t="shared" si="1"/>
        <v>-1.8430690550255036E-2</v>
      </c>
      <c r="K41" t="s">
        <v>389</v>
      </c>
      <c r="L41">
        <v>0.37682690063388619</v>
      </c>
      <c r="M41">
        <v>6.6647512313167193E-2</v>
      </c>
      <c r="N41">
        <v>5.6540279982729151</v>
      </c>
      <c r="O41">
        <v>4.1469542951649801E-8</v>
      </c>
      <c r="P41">
        <v>0.24558452699775596</v>
      </c>
      <c r="Q41">
        <v>0.50806927427001636</v>
      </c>
      <c r="R41">
        <v>0.24558452699775596</v>
      </c>
      <c r="S41">
        <v>0.50806927427001636</v>
      </c>
    </row>
    <row r="42" spans="2:19">
      <c r="B42" s="90">
        <v>44011</v>
      </c>
      <c r="C42" s="91">
        <v>62.5536499023437</v>
      </c>
      <c r="D42" s="9">
        <f t="shared" si="0"/>
        <v>2.0967355010656163E-2</v>
      </c>
      <c r="E42"/>
      <c r="F42" s="90">
        <v>44011</v>
      </c>
      <c r="G42" s="91">
        <v>15596.7998046875</v>
      </c>
      <c r="H42" s="9">
        <f t="shared" si="1"/>
        <v>2.6848364256205182E-2</v>
      </c>
      <c r="R42" s="9"/>
    </row>
    <row r="43" spans="2:19">
      <c r="B43" s="90">
        <v>44018</v>
      </c>
      <c r="C43" s="91">
        <v>63.2287788391113</v>
      </c>
      <c r="D43" s="9">
        <f t="shared" si="0"/>
        <v>1.0792798466941367E-2</v>
      </c>
      <c r="E43"/>
      <c r="F43" s="90">
        <v>44018</v>
      </c>
      <c r="G43" s="91">
        <v>15713.7998046875</v>
      </c>
      <c r="H43" s="9">
        <f t="shared" si="1"/>
        <v>7.501538871123925E-3</v>
      </c>
      <c r="R43" s="9"/>
    </row>
    <row r="44" spans="2:19">
      <c r="B44" s="90">
        <v>44025</v>
      </c>
      <c r="C44" s="91">
        <v>65.966857910156193</v>
      </c>
      <c r="D44" s="9">
        <f t="shared" si="0"/>
        <v>4.330431682085889E-2</v>
      </c>
      <c r="E44"/>
      <c r="F44" s="90">
        <v>44025</v>
      </c>
      <c r="G44" s="91">
        <v>16123.5</v>
      </c>
      <c r="H44" s="9">
        <f t="shared" si="1"/>
        <v>2.6072636816353301E-2</v>
      </c>
      <c r="R44" s="9"/>
    </row>
    <row r="45" spans="2:19" ht="15.6" customHeight="1">
      <c r="B45" s="90">
        <v>44032</v>
      </c>
      <c r="C45" s="91">
        <v>64.822853088378906</v>
      </c>
      <c r="D45" s="9">
        <f t="shared" si="0"/>
        <v>-1.7342114783386653E-2</v>
      </c>
      <c r="E45"/>
      <c r="F45" s="90">
        <v>44032</v>
      </c>
      <c r="G45" s="91">
        <v>15997.099609375</v>
      </c>
      <c r="H45" s="9">
        <f t="shared" si="1"/>
        <v>-7.8395131717678979E-3</v>
      </c>
      <c r="R45" s="9"/>
    </row>
    <row r="46" spans="2:19">
      <c r="B46" s="90">
        <v>44039</v>
      </c>
      <c r="C46" s="91">
        <v>65.160423278808594</v>
      </c>
      <c r="D46" s="9">
        <f t="shared" si="0"/>
        <v>5.2075799559370139E-3</v>
      </c>
      <c r="E46"/>
      <c r="F46" s="90">
        <v>44039</v>
      </c>
      <c r="G46" s="91">
        <v>16169.2001953125</v>
      </c>
      <c r="H46" s="9">
        <f t="shared" si="1"/>
        <v>1.0758236814168542E-2</v>
      </c>
      <c r="R46" s="9"/>
    </row>
    <row r="47" spans="2:19">
      <c r="B47" s="90">
        <v>44046</v>
      </c>
      <c r="C47" s="91">
        <v>65.460510253906193</v>
      </c>
      <c r="D47" s="9">
        <f t="shared" si="0"/>
        <v>4.6053564418018222E-3</v>
      </c>
      <c r="E47"/>
      <c r="F47" s="90">
        <v>44046</v>
      </c>
      <c r="G47" s="91">
        <v>16544.5</v>
      </c>
      <c r="H47" s="9">
        <f t="shared" si="1"/>
        <v>2.3210783474392205E-2</v>
      </c>
      <c r="R47" s="9"/>
    </row>
    <row r="48" spans="2:19">
      <c r="B48" s="90">
        <v>44053</v>
      </c>
      <c r="C48" s="91">
        <v>66.379455566406193</v>
      </c>
      <c r="D48" s="9">
        <f t="shared" si="0"/>
        <v>1.4038162992247027E-2</v>
      </c>
      <c r="E48"/>
      <c r="F48" s="90">
        <v>44053</v>
      </c>
      <c r="G48" s="91">
        <v>16514.599609375</v>
      </c>
      <c r="H48" s="9">
        <f t="shared" si="1"/>
        <v>-1.8072707319652936E-3</v>
      </c>
      <c r="R48" s="9"/>
    </row>
    <row r="49" spans="2:18">
      <c r="B49" s="90">
        <v>44060</v>
      </c>
      <c r="C49" s="91">
        <v>66.670127868652301</v>
      </c>
      <c r="D49" s="9">
        <f t="shared" si="0"/>
        <v>4.3789497784494369E-3</v>
      </c>
      <c r="E49"/>
      <c r="F49" s="90">
        <v>44060</v>
      </c>
      <c r="G49" s="91">
        <v>16517.900390625</v>
      </c>
      <c r="H49" s="9">
        <f t="shared" si="1"/>
        <v>1.9987049810921143E-4</v>
      </c>
      <c r="R49" s="9"/>
    </row>
    <row r="50" spans="2:18">
      <c r="B50" s="90">
        <v>44067</v>
      </c>
      <c r="C50" s="91">
        <v>64.138359069824205</v>
      </c>
      <c r="D50" s="9">
        <f t="shared" si="0"/>
        <v>-3.7974560418062575E-2</v>
      </c>
      <c r="E50"/>
      <c r="F50" s="90">
        <v>44067</v>
      </c>
      <c r="G50" s="91">
        <v>16705.80078125</v>
      </c>
      <c r="H50" s="9">
        <f t="shared" si="1"/>
        <v>1.1375561432229286E-2</v>
      </c>
      <c r="R50" s="9"/>
    </row>
    <row r="51" spans="2:18">
      <c r="B51" s="90">
        <v>44074</v>
      </c>
      <c r="C51" s="91">
        <v>62.619277954101499</v>
      </c>
      <c r="D51" s="9">
        <f t="shared" si="0"/>
        <v>-2.3684439978717831E-2</v>
      </c>
      <c r="E51"/>
      <c r="F51" s="90">
        <v>44074</v>
      </c>
      <c r="G51" s="91">
        <v>16218</v>
      </c>
      <c r="H51" s="9">
        <f t="shared" si="1"/>
        <v>-2.9199485115223633E-2</v>
      </c>
      <c r="R51" s="9"/>
    </row>
    <row r="52" spans="2:18">
      <c r="B52" s="90">
        <v>44081</v>
      </c>
      <c r="C52" s="91">
        <v>63.9695625305175</v>
      </c>
      <c r="D52" s="9">
        <f t="shared" si="0"/>
        <v>2.1563400609724948E-2</v>
      </c>
      <c r="E52"/>
      <c r="F52" s="90">
        <v>44081</v>
      </c>
      <c r="G52" s="91">
        <v>16222.5</v>
      </c>
      <c r="H52" s="9">
        <f t="shared" si="1"/>
        <v>2.7746947835738389E-4</v>
      </c>
      <c r="R52" s="9"/>
    </row>
    <row r="53" spans="2:18">
      <c r="B53" s="90">
        <v>44088</v>
      </c>
      <c r="C53" s="91">
        <v>63.472591400146399</v>
      </c>
      <c r="D53" s="9">
        <f t="shared" si="0"/>
        <v>-7.7688686730351675E-3</v>
      </c>
      <c r="E53"/>
      <c r="F53" s="90">
        <v>44088</v>
      </c>
      <c r="G53" s="91">
        <v>16199</v>
      </c>
      <c r="H53" s="9">
        <f t="shared" si="1"/>
        <v>-1.4486053321004499E-3</v>
      </c>
      <c r="R53" s="9"/>
    </row>
    <row r="54" spans="2:18">
      <c r="B54" s="90">
        <v>44095</v>
      </c>
      <c r="C54" s="91">
        <v>66.602569580078097</v>
      </c>
      <c r="D54" s="9">
        <f t="shared" si="0"/>
        <v>4.9312279692498517E-2</v>
      </c>
      <c r="E54"/>
      <c r="F54" s="90">
        <v>44095</v>
      </c>
      <c r="G54" s="91">
        <v>16065.400390625</v>
      </c>
      <c r="H54" s="9">
        <f t="shared" si="1"/>
        <v>-8.2473985662695481E-3</v>
      </c>
      <c r="R54" s="9"/>
    </row>
    <row r="55" spans="2:18" ht="14.4" customHeight="1">
      <c r="B55" s="90">
        <v>44102</v>
      </c>
      <c r="C55" s="91">
        <v>65.330818176269503</v>
      </c>
      <c r="D55" s="9">
        <f t="shared" si="0"/>
        <v>-1.9094629709136557E-2</v>
      </c>
      <c r="E55"/>
      <c r="F55" s="90">
        <v>44102</v>
      </c>
      <c r="G55" s="91">
        <v>16199.2998046875</v>
      </c>
      <c r="H55" s="9">
        <f t="shared" si="1"/>
        <v>8.334645312708E-3</v>
      </c>
      <c r="R55" s="9"/>
    </row>
    <row r="56" spans="2:18">
      <c r="B56" s="90">
        <v>44109</v>
      </c>
      <c r="C56" s="91">
        <v>64.869232177734304</v>
      </c>
      <c r="D56" s="9">
        <f t="shared" si="0"/>
        <v>-7.065363811758596E-3</v>
      </c>
      <c r="E56"/>
      <c r="F56" s="90">
        <v>44109</v>
      </c>
      <c r="G56" s="91">
        <v>16562.80078125</v>
      </c>
      <c r="H56" s="9">
        <f t="shared" si="1"/>
        <v>2.2439301756568275E-2</v>
      </c>
      <c r="R56" s="9"/>
    </row>
    <row r="57" spans="2:18">
      <c r="B57" s="90">
        <v>44116</v>
      </c>
      <c r="C57" s="91">
        <v>65.359085083007798</v>
      </c>
      <c r="D57" s="9">
        <f t="shared" si="0"/>
        <v>7.5513905256556768E-3</v>
      </c>
      <c r="E57"/>
      <c r="F57" s="90">
        <v>44116</v>
      </c>
      <c r="G57" s="91">
        <v>16438.80078125</v>
      </c>
      <c r="H57" s="9">
        <f t="shared" si="1"/>
        <v>-7.4866564923231627E-3</v>
      </c>
      <c r="R57" s="9"/>
    </row>
    <row r="58" spans="2:18">
      <c r="B58" s="90">
        <v>44123</v>
      </c>
      <c r="C58" s="91">
        <v>63.653980255126903</v>
      </c>
      <c r="D58" s="9">
        <f t="shared" si="0"/>
        <v>-2.6088260349963033E-2</v>
      </c>
      <c r="E58"/>
      <c r="F58" s="90">
        <v>44123</v>
      </c>
      <c r="G58" s="91">
        <v>16304.099609375</v>
      </c>
      <c r="H58" s="9">
        <f t="shared" si="1"/>
        <v>-8.1940996589385806E-3</v>
      </c>
      <c r="R58" s="9"/>
    </row>
    <row r="59" spans="2:18">
      <c r="B59" s="90">
        <v>44130</v>
      </c>
      <c r="C59" s="91">
        <v>62.476432800292898</v>
      </c>
      <c r="D59" s="9">
        <f t="shared" si="0"/>
        <v>-1.8499195967233484E-2</v>
      </c>
      <c r="E59"/>
      <c r="F59" s="90">
        <v>44130</v>
      </c>
      <c r="G59" s="91">
        <v>15580.599609375</v>
      </c>
      <c r="H59" s="9">
        <f t="shared" si="1"/>
        <v>-4.4375342235027926E-2</v>
      </c>
      <c r="R59" s="9"/>
    </row>
    <row r="60" spans="2:18">
      <c r="B60" s="90">
        <v>44137</v>
      </c>
      <c r="C60" s="91">
        <v>62.740203857421797</v>
      </c>
      <c r="D60" s="9">
        <f t="shared" si="0"/>
        <v>4.2219288987264125E-3</v>
      </c>
      <c r="E60"/>
      <c r="F60" s="90">
        <v>44137</v>
      </c>
      <c r="G60" s="91">
        <v>16282.7998046875</v>
      </c>
      <c r="H60" s="9">
        <f t="shared" si="1"/>
        <v>4.506888135999465E-2</v>
      </c>
      <c r="R60" s="9"/>
    </row>
    <row r="61" spans="2:18">
      <c r="B61" s="90">
        <v>44144</v>
      </c>
      <c r="C61" s="91">
        <v>61.8923530578613</v>
      </c>
      <c r="D61" s="9">
        <f t="shared" si="0"/>
        <v>-1.3513676198554481E-2</v>
      </c>
      <c r="E61"/>
      <c r="F61" s="90">
        <v>44144</v>
      </c>
      <c r="G61" s="91">
        <v>16675.599609375</v>
      </c>
      <c r="H61" s="9">
        <f t="shared" si="1"/>
        <v>2.4123603397397275E-2</v>
      </c>
      <c r="R61" s="9"/>
    </row>
    <row r="62" spans="2:18">
      <c r="B62" s="90">
        <v>44151</v>
      </c>
      <c r="C62" s="91">
        <v>60.535820007324197</v>
      </c>
      <c r="D62" s="9">
        <f t="shared" si="0"/>
        <v>-2.1917619601066418E-2</v>
      </c>
      <c r="E62"/>
      <c r="F62" s="90">
        <v>44151</v>
      </c>
      <c r="G62" s="91">
        <v>17019.099609375</v>
      </c>
      <c r="H62" s="9">
        <f t="shared" si="1"/>
        <v>2.0598959440528031E-2</v>
      </c>
      <c r="R62" s="9"/>
    </row>
    <row r="63" spans="2:18">
      <c r="B63" s="90">
        <v>44158</v>
      </c>
      <c r="C63" s="91">
        <v>60.573490142822202</v>
      </c>
      <c r="D63" s="9">
        <f t="shared" si="0"/>
        <v>6.2227843768281055E-4</v>
      </c>
      <c r="E63"/>
      <c r="F63" s="90">
        <v>44158</v>
      </c>
      <c r="G63" s="91">
        <v>17396.599609375</v>
      </c>
      <c r="H63" s="9">
        <f t="shared" si="1"/>
        <v>2.2180961899538554E-2</v>
      </c>
      <c r="R63" s="9"/>
    </row>
    <row r="64" spans="2:18">
      <c r="B64" s="90">
        <v>44165</v>
      </c>
      <c r="C64" s="91">
        <v>59.848117828369098</v>
      </c>
      <c r="D64" s="9">
        <f t="shared" si="0"/>
        <v>-1.1975078747201051E-2</v>
      </c>
      <c r="E64"/>
      <c r="F64" s="90">
        <v>44165</v>
      </c>
      <c r="G64" s="91">
        <v>17521</v>
      </c>
      <c r="H64" s="9">
        <f t="shared" si="1"/>
        <v>7.1508451891921787E-3</v>
      </c>
      <c r="R64" s="9"/>
    </row>
    <row r="65" spans="2:18">
      <c r="B65" s="90">
        <v>44172</v>
      </c>
      <c r="C65" s="91">
        <v>61.694522857666001</v>
      </c>
      <c r="D65" s="9">
        <f t="shared" si="0"/>
        <v>3.0851513736688929E-2</v>
      </c>
      <c r="E65"/>
      <c r="F65" s="90">
        <v>44172</v>
      </c>
      <c r="G65" s="91">
        <v>17548.900390625</v>
      </c>
      <c r="H65" s="9">
        <f t="shared" si="1"/>
        <v>1.5923971591234043E-3</v>
      </c>
      <c r="R65" s="9"/>
    </row>
    <row r="66" spans="2:18">
      <c r="B66" s="90">
        <v>44179</v>
      </c>
      <c r="C66" s="91">
        <v>60.856105804443303</v>
      </c>
      <c r="D66" s="9">
        <f t="shared" si="0"/>
        <v>-1.3589813396514772E-2</v>
      </c>
      <c r="E66"/>
      <c r="F66" s="90">
        <v>44179</v>
      </c>
      <c r="G66" s="91">
        <v>17534.599609375</v>
      </c>
      <c r="H66" s="9">
        <f t="shared" si="1"/>
        <v>-8.1491038935066484E-4</v>
      </c>
      <c r="R66" s="9"/>
    </row>
    <row r="67" spans="2:18">
      <c r="B67" s="90">
        <v>44186</v>
      </c>
      <c r="C67" s="91">
        <v>60.335742950439403</v>
      </c>
      <c r="D67" s="9">
        <f t="shared" si="0"/>
        <v>-8.5507090393862617E-3</v>
      </c>
      <c r="E67"/>
      <c r="F67" s="90">
        <v>44186</v>
      </c>
      <c r="G67" s="91">
        <v>17623.900390625</v>
      </c>
      <c r="H67" s="9">
        <f t="shared" si="1"/>
        <v>5.0928326417134517E-3</v>
      </c>
      <c r="R67" s="9"/>
    </row>
    <row r="68" spans="2:18">
      <c r="B68" s="90">
        <v>44193</v>
      </c>
      <c r="C68" s="91">
        <v>59.47407913208</v>
      </c>
      <c r="D68" s="9">
        <f t="shared" si="0"/>
        <v>-1.4281150379919727E-2</v>
      </c>
      <c r="E68"/>
      <c r="F68" s="90">
        <v>44193</v>
      </c>
      <c r="G68" s="91">
        <v>17433.400390625</v>
      </c>
      <c r="H68" s="9">
        <f t="shared" si="1"/>
        <v>-1.0809185014534872E-2</v>
      </c>
      <c r="R68" s="9"/>
    </row>
    <row r="69" spans="2:18">
      <c r="B69" s="90">
        <v>44200</v>
      </c>
      <c r="C69" s="91">
        <v>61.6519165039062</v>
      </c>
      <c r="D69" s="9">
        <f t="shared" si="0"/>
        <v>3.6618261326748058E-2</v>
      </c>
      <c r="E69"/>
      <c r="F69" s="90">
        <v>44200</v>
      </c>
      <c r="G69" s="91">
        <v>18042.099609375</v>
      </c>
      <c r="H69" s="9">
        <f t="shared" si="1"/>
        <v>3.4915690864149251E-2</v>
      </c>
      <c r="R69" s="9"/>
    </row>
    <row r="70" spans="2:18">
      <c r="B70" s="90">
        <v>44207</v>
      </c>
      <c r="C70" s="91">
        <v>60.809185028076101</v>
      </c>
      <c r="D70" s="9">
        <f t="shared" si="0"/>
        <v>-1.366918538171813E-2</v>
      </c>
      <c r="E70"/>
      <c r="F70" s="90">
        <v>44207</v>
      </c>
      <c r="G70" s="91">
        <v>17909</v>
      </c>
      <c r="H70" s="9">
        <f t="shared" si="1"/>
        <v>-7.3771685256542874E-3</v>
      </c>
      <c r="R70" s="9"/>
    </row>
    <row r="71" spans="2:18">
      <c r="B71" s="90">
        <v>44214</v>
      </c>
      <c r="C71" s="91">
        <v>59.985393524169901</v>
      </c>
      <c r="D71" s="9">
        <f t="shared" si="0"/>
        <v>-1.3547155804272792E-2</v>
      </c>
      <c r="E71"/>
      <c r="F71" s="90">
        <v>44214</v>
      </c>
      <c r="G71" s="91">
        <v>17845.900390625</v>
      </c>
      <c r="H71" s="9">
        <f t="shared" si="1"/>
        <v>-3.5233463272655863E-3</v>
      </c>
      <c r="R71" s="9"/>
    </row>
    <row r="72" spans="2:18">
      <c r="B72" s="90">
        <v>44221</v>
      </c>
      <c r="C72" s="91">
        <v>58.470378875732401</v>
      </c>
      <c r="D72" s="9">
        <f t="shared" si="0"/>
        <v>-2.5256392588756671E-2</v>
      </c>
      <c r="E72"/>
      <c r="F72" s="90">
        <v>44221</v>
      </c>
      <c r="G72" s="91">
        <v>17337</v>
      </c>
      <c r="H72" s="9">
        <f t="shared" si="1"/>
        <v>-2.8516375161005691E-2</v>
      </c>
      <c r="R72" s="9"/>
    </row>
    <row r="73" spans="2:18">
      <c r="B73" s="90">
        <v>44228</v>
      </c>
      <c r="C73" s="91">
        <v>58.726028442382798</v>
      </c>
      <c r="D73" s="9">
        <f t="shared" si="0"/>
        <v>4.372291946213247E-3</v>
      </c>
      <c r="E73"/>
      <c r="F73" s="90">
        <v>44228</v>
      </c>
      <c r="G73" s="91">
        <v>18135.900390625</v>
      </c>
      <c r="H73" s="9">
        <f t="shared" si="1"/>
        <v>4.6080659319663209E-2</v>
      </c>
      <c r="R73" s="9"/>
    </row>
    <row r="74" spans="2:18">
      <c r="B74" s="90">
        <v>44235</v>
      </c>
      <c r="C74" s="91">
        <v>59.256290435791001</v>
      </c>
      <c r="D74" s="9">
        <f t="shared" si="0"/>
        <v>9.029420300888491E-3</v>
      </c>
      <c r="E74"/>
      <c r="F74" s="90">
        <v>44235</v>
      </c>
      <c r="G74" s="91">
        <v>18460.19921875</v>
      </c>
      <c r="H74" s="9">
        <f t="shared" si="1"/>
        <v>1.7881595131203909E-2</v>
      </c>
      <c r="R74" s="9"/>
    </row>
    <row r="75" spans="2:18">
      <c r="B75" s="90">
        <v>44242</v>
      </c>
      <c r="C75" s="91">
        <v>58.593467712402301</v>
      </c>
      <c r="D75" s="9">
        <f t="shared" si="0"/>
        <v>-1.1185693848097422E-2</v>
      </c>
      <c r="E75"/>
      <c r="F75" s="90">
        <v>44242</v>
      </c>
      <c r="G75" s="91">
        <v>18384.30078125</v>
      </c>
      <c r="H75" s="9">
        <f t="shared" si="1"/>
        <v>-4.1114636196835086E-3</v>
      </c>
      <c r="R75" s="9"/>
    </row>
    <row r="76" spans="2:18">
      <c r="B76" s="90">
        <v>44249</v>
      </c>
      <c r="C76" s="91">
        <v>58.072681427001903</v>
      </c>
      <c r="D76" s="9">
        <f t="shared" ref="D76:D139" si="2">C76/C75-1</f>
        <v>-8.8881287579121171E-3</v>
      </c>
      <c r="E76"/>
      <c r="F76" s="90">
        <v>44249</v>
      </c>
      <c r="G76" s="91">
        <v>18060.30078125</v>
      </c>
      <c r="H76" s="9">
        <f t="shared" ref="H76:H139" si="3">G76/G75-1</f>
        <v>-1.7623732545240189E-2</v>
      </c>
      <c r="R76" s="9"/>
    </row>
    <row r="77" spans="2:18">
      <c r="B77" s="90">
        <v>44256</v>
      </c>
      <c r="C77" s="91">
        <v>61.263694763183501</v>
      </c>
      <c r="D77" s="9">
        <f t="shared" si="2"/>
        <v>5.4948613664288048E-2</v>
      </c>
      <c r="E77"/>
      <c r="F77" s="90">
        <v>44256</v>
      </c>
      <c r="G77" s="91">
        <v>18381</v>
      </c>
      <c r="H77" s="9">
        <f t="shared" si="3"/>
        <v>1.7757136087287462E-2</v>
      </c>
      <c r="R77" s="9"/>
    </row>
    <row r="78" spans="2:18">
      <c r="B78" s="90">
        <v>44263</v>
      </c>
      <c r="C78" s="91">
        <v>62.059078216552699</v>
      </c>
      <c r="D78" s="9">
        <f t="shared" si="2"/>
        <v>1.298294946858447E-2</v>
      </c>
      <c r="E78"/>
      <c r="F78" s="90">
        <v>44263</v>
      </c>
      <c r="G78" s="91">
        <v>18851.30078125</v>
      </c>
      <c r="H78" s="9">
        <f t="shared" si="3"/>
        <v>2.558624564767964E-2</v>
      </c>
      <c r="R78" s="9"/>
    </row>
    <row r="79" spans="2:18">
      <c r="B79" s="90">
        <v>44270</v>
      </c>
      <c r="C79" s="91">
        <v>63.374492645263601</v>
      </c>
      <c r="D79" s="9">
        <f t="shared" si="2"/>
        <v>2.1196164469617473E-2</v>
      </c>
      <c r="E79"/>
      <c r="F79" s="90">
        <v>44270</v>
      </c>
      <c r="G79" s="91">
        <v>18854</v>
      </c>
      <c r="H79" s="9">
        <f t="shared" si="3"/>
        <v>1.431847479025361E-4</v>
      </c>
      <c r="R79" s="9"/>
    </row>
    <row r="80" spans="2:18">
      <c r="B80" s="90">
        <v>44277</v>
      </c>
      <c r="C80" s="91">
        <v>65.163734436035099</v>
      </c>
      <c r="D80" s="9">
        <f t="shared" si="2"/>
        <v>2.8232838103915414E-2</v>
      </c>
      <c r="E80"/>
      <c r="F80" s="90">
        <v>44277</v>
      </c>
      <c r="G80" s="91">
        <v>18752.599609375</v>
      </c>
      <c r="H80" s="9">
        <f t="shared" si="3"/>
        <v>-5.3781898072027268E-3</v>
      </c>
      <c r="R80" s="9"/>
    </row>
    <row r="81" spans="2:18">
      <c r="B81" s="90">
        <v>44284</v>
      </c>
      <c r="C81" s="91">
        <v>66.962448120117102</v>
      </c>
      <c r="D81" s="9">
        <f t="shared" si="2"/>
        <v>2.7602986533063589E-2</v>
      </c>
      <c r="E81"/>
      <c r="F81" s="90">
        <v>44284</v>
      </c>
      <c r="G81" s="91">
        <v>18990.30078125</v>
      </c>
      <c r="H81" s="9">
        <f t="shared" si="3"/>
        <v>1.2675638408883083E-2</v>
      </c>
      <c r="R81" s="9"/>
    </row>
    <row r="82" spans="2:18">
      <c r="B82" s="90">
        <v>44291</v>
      </c>
      <c r="C82" s="91">
        <v>66.810188293457003</v>
      </c>
      <c r="D82" s="9">
        <f t="shared" si="2"/>
        <v>-2.273809141311256E-3</v>
      </c>
      <c r="E82"/>
      <c r="F82" s="90">
        <v>44291</v>
      </c>
      <c r="G82" s="91">
        <v>19228</v>
      </c>
      <c r="H82" s="9">
        <f t="shared" si="3"/>
        <v>1.2516874876710382E-2</v>
      </c>
      <c r="R82" s="9"/>
    </row>
    <row r="83" spans="2:18">
      <c r="B83" s="90">
        <v>44298</v>
      </c>
      <c r="C83" s="91">
        <v>66.505638122558594</v>
      </c>
      <c r="D83" s="9">
        <f t="shared" si="2"/>
        <v>-4.5584390446664624E-3</v>
      </c>
      <c r="E83"/>
      <c r="F83" s="90">
        <v>44298</v>
      </c>
      <c r="G83" s="91">
        <v>19351.30078125</v>
      </c>
      <c r="H83" s="9">
        <f t="shared" si="3"/>
        <v>6.4125640342209689E-3</v>
      </c>
      <c r="R83" s="9"/>
    </row>
    <row r="84" spans="2:18">
      <c r="B84" s="90">
        <v>44305</v>
      </c>
      <c r="C84" s="91">
        <v>65.953643798828097</v>
      </c>
      <c r="D84" s="9">
        <f t="shared" si="2"/>
        <v>-8.2999628198929809E-3</v>
      </c>
      <c r="E84"/>
      <c r="F84" s="90">
        <v>44305</v>
      </c>
      <c r="G84" s="91">
        <v>19102.30078125</v>
      </c>
      <c r="H84" s="9">
        <f t="shared" si="3"/>
        <v>-1.2867352061483261E-2</v>
      </c>
      <c r="R84" s="9"/>
    </row>
    <row r="85" spans="2:18">
      <c r="B85" s="90">
        <v>44312</v>
      </c>
      <c r="C85" s="91">
        <v>64.954322814941406</v>
      </c>
      <c r="D85" s="9">
        <f t="shared" si="2"/>
        <v>-1.5151869196716738E-2</v>
      </c>
      <c r="E85"/>
      <c r="F85" s="90">
        <v>44312</v>
      </c>
      <c r="G85" s="91">
        <v>19108.30078125</v>
      </c>
      <c r="H85" s="9">
        <f t="shared" si="3"/>
        <v>3.1409828945272444E-4</v>
      </c>
      <c r="R85" s="9"/>
    </row>
    <row r="86" spans="2:18">
      <c r="B86" s="90">
        <v>44319</v>
      </c>
      <c r="C86" s="91">
        <v>67.200370788574205</v>
      </c>
      <c r="D86" s="9">
        <f t="shared" si="2"/>
        <v>3.4578883687724993E-2</v>
      </c>
      <c r="E86"/>
      <c r="F86" s="90">
        <v>44319</v>
      </c>
      <c r="G86" s="91">
        <v>19472.69921875</v>
      </c>
      <c r="H86" s="9">
        <f t="shared" si="3"/>
        <v>1.9070164410305068E-2</v>
      </c>
      <c r="R86" s="9"/>
    </row>
    <row r="87" spans="2:18">
      <c r="B87" s="90">
        <v>44326</v>
      </c>
      <c r="C87" s="91">
        <v>68.656494140625</v>
      </c>
      <c r="D87" s="9">
        <f t="shared" si="2"/>
        <v>2.1668382703304623E-2</v>
      </c>
      <c r="E87"/>
      <c r="F87" s="90">
        <v>44326</v>
      </c>
      <c r="G87" s="91">
        <v>19366.69921875</v>
      </c>
      <c r="H87" s="9">
        <f t="shared" si="3"/>
        <v>-5.4435185799991403E-3</v>
      </c>
      <c r="R87" s="9"/>
    </row>
    <row r="88" spans="2:18">
      <c r="B88" s="90">
        <v>44333</v>
      </c>
      <c r="C88" s="91">
        <v>70.588470458984304</v>
      </c>
      <c r="D88" s="9">
        <f t="shared" si="2"/>
        <v>2.8139746174661306E-2</v>
      </c>
      <c r="E88"/>
      <c r="F88" s="90">
        <v>44333</v>
      </c>
      <c r="G88" s="91">
        <v>19527.30078125</v>
      </c>
      <c r="H88" s="9">
        <f t="shared" si="3"/>
        <v>8.2926657085948818E-3</v>
      </c>
      <c r="R88" s="9"/>
    </row>
    <row r="89" spans="2:18">
      <c r="B89" s="90">
        <v>44340</v>
      </c>
      <c r="C89" s="91">
        <v>70.750244140625</v>
      </c>
      <c r="D89" s="9">
        <f t="shared" si="2"/>
        <v>2.2917861881521784E-3</v>
      </c>
      <c r="E89"/>
      <c r="F89" s="90">
        <v>44340</v>
      </c>
      <c r="G89" s="91">
        <v>19852.19921875</v>
      </c>
      <c r="H89" s="9">
        <f t="shared" si="3"/>
        <v>1.663816423680875E-2</v>
      </c>
      <c r="R89" s="9"/>
    </row>
    <row r="90" spans="2:18">
      <c r="B90" s="90">
        <v>44347</v>
      </c>
      <c r="C90" s="91">
        <v>71.654403686523395</v>
      </c>
      <c r="D90" s="9">
        <f t="shared" si="2"/>
        <v>1.2779596125509718E-2</v>
      </c>
      <c r="E90"/>
      <c r="F90" s="90">
        <v>44347</v>
      </c>
      <c r="G90" s="91">
        <v>20029.19921875</v>
      </c>
      <c r="H90" s="9">
        <f t="shared" si="3"/>
        <v>8.9158887662594832E-3</v>
      </c>
      <c r="R90" s="9"/>
    </row>
    <row r="91" spans="2:18">
      <c r="B91" s="90">
        <v>44354</v>
      </c>
      <c r="C91" s="91">
        <v>72.330108642578097</v>
      </c>
      <c r="D91" s="9">
        <f t="shared" si="2"/>
        <v>9.4300548366965664E-3</v>
      </c>
      <c r="E91"/>
      <c r="F91" s="90">
        <v>44354</v>
      </c>
      <c r="G91" s="91">
        <v>20138.400390625</v>
      </c>
      <c r="H91" s="9">
        <f t="shared" si="3"/>
        <v>5.4520987425583645E-3</v>
      </c>
      <c r="R91" s="9"/>
    </row>
    <row r="92" spans="2:18">
      <c r="B92" s="90">
        <v>44361</v>
      </c>
      <c r="C92" s="91">
        <v>71.216613769531193</v>
      </c>
      <c r="D92" s="9">
        <f t="shared" si="2"/>
        <v>-1.5394624644479382E-2</v>
      </c>
      <c r="E92"/>
      <c r="F92" s="90">
        <v>44361</v>
      </c>
      <c r="G92" s="91">
        <v>19999.599609375</v>
      </c>
      <c r="H92" s="9">
        <f t="shared" si="3"/>
        <v>-6.8923439080402771E-3</v>
      </c>
      <c r="R92" s="9"/>
    </row>
    <row r="93" spans="2:18">
      <c r="B93" s="90">
        <v>44368</v>
      </c>
      <c r="C93" s="91">
        <v>72.506965637207003</v>
      </c>
      <c r="D93" s="9">
        <f t="shared" si="2"/>
        <v>1.8118691684100519E-2</v>
      </c>
      <c r="E93"/>
      <c r="F93" s="90">
        <v>44368</v>
      </c>
      <c r="G93" s="91">
        <v>20230.30078125</v>
      </c>
      <c r="H93" s="9">
        <f t="shared" si="3"/>
        <v>1.1535289524839065E-2</v>
      </c>
      <c r="R93" s="9"/>
    </row>
    <row r="94" spans="2:18">
      <c r="B94" s="90">
        <v>44375</v>
      </c>
      <c r="C94" s="91">
        <v>73.740097045898395</v>
      </c>
      <c r="D94" s="9">
        <f t="shared" si="2"/>
        <v>1.7007075083812495E-2</v>
      </c>
      <c r="E94"/>
      <c r="F94" s="90">
        <v>44375</v>
      </c>
      <c r="G94" s="91">
        <v>20226.099609375</v>
      </c>
      <c r="H94" s="9">
        <f t="shared" si="3"/>
        <v>-2.0766729671628514E-4</v>
      </c>
      <c r="R94" s="9"/>
    </row>
    <row r="95" spans="2:18">
      <c r="B95" s="90">
        <v>44382</v>
      </c>
      <c r="C95" s="91">
        <v>75.107063293457003</v>
      </c>
      <c r="D95" s="9">
        <f t="shared" si="2"/>
        <v>1.8537624743126591E-2</v>
      </c>
      <c r="E95"/>
      <c r="F95" s="90">
        <v>44382</v>
      </c>
      <c r="G95" s="91">
        <v>20258</v>
      </c>
      <c r="H95" s="9">
        <f t="shared" si="3"/>
        <v>1.577189435486348E-3</v>
      </c>
      <c r="R95" s="9"/>
    </row>
    <row r="96" spans="2:18">
      <c r="B96" s="90">
        <v>44389</v>
      </c>
      <c r="C96" s="91">
        <v>76.674774169921804</v>
      </c>
      <c r="D96" s="9">
        <f t="shared" si="2"/>
        <v>2.0873015236123171E-2</v>
      </c>
      <c r="E96"/>
      <c r="F96" s="90">
        <v>44389</v>
      </c>
      <c r="G96" s="91">
        <v>19985.5</v>
      </c>
      <c r="H96" s="9">
        <f t="shared" si="3"/>
        <v>-1.3451475960114534E-2</v>
      </c>
      <c r="R96" s="9"/>
    </row>
    <row r="97" spans="2:18">
      <c r="B97" s="90">
        <v>44396</v>
      </c>
      <c r="C97" s="91">
        <v>76.713027954101506</v>
      </c>
      <c r="D97" s="9">
        <f t="shared" si="2"/>
        <v>4.989096426279982E-4</v>
      </c>
      <c r="E97"/>
      <c r="F97" s="90">
        <v>44396</v>
      </c>
      <c r="G97" s="91">
        <v>20188.400390625</v>
      </c>
      <c r="H97" s="9">
        <f t="shared" si="3"/>
        <v>1.0152380006754891E-2</v>
      </c>
      <c r="R97" s="9"/>
    </row>
    <row r="98" spans="2:18">
      <c r="B98" s="90">
        <v>44403</v>
      </c>
      <c r="C98" s="91">
        <v>80.680107116699205</v>
      </c>
      <c r="D98" s="9">
        <f t="shared" si="2"/>
        <v>5.1713239177200165E-2</v>
      </c>
      <c r="E98"/>
      <c r="F98" s="90">
        <v>44403</v>
      </c>
      <c r="G98" s="91">
        <v>20287.80078125</v>
      </c>
      <c r="H98" s="9">
        <f t="shared" si="3"/>
        <v>4.9236387579849605E-3</v>
      </c>
      <c r="R98" s="9"/>
    </row>
    <row r="99" spans="2:18">
      <c r="B99" s="90">
        <v>44410</v>
      </c>
      <c r="C99" s="91">
        <v>82.008842468261705</v>
      </c>
      <c r="D99" s="9">
        <f t="shared" si="2"/>
        <v>1.6469181797695853E-2</v>
      </c>
      <c r="E99"/>
      <c r="F99" s="90">
        <v>44410</v>
      </c>
      <c r="G99" s="91">
        <v>20475.400390625</v>
      </c>
      <c r="H99" s="9">
        <f t="shared" si="3"/>
        <v>9.2469169723108369E-3</v>
      </c>
      <c r="R99" s="9"/>
    </row>
    <row r="100" spans="2:18">
      <c r="B100" s="90">
        <v>44417</v>
      </c>
      <c r="C100" s="91">
        <v>83.050811767578097</v>
      </c>
      <c r="D100" s="9">
        <f t="shared" si="2"/>
        <v>1.2705572569441381E-2</v>
      </c>
      <c r="E100"/>
      <c r="F100" s="90">
        <v>44417</v>
      </c>
      <c r="G100" s="91">
        <v>20518.099609375</v>
      </c>
      <c r="H100" s="9">
        <f t="shared" si="3"/>
        <v>2.085391149154292E-3</v>
      </c>
      <c r="R100" s="9"/>
    </row>
    <row r="101" spans="2:18">
      <c r="B101" s="90">
        <v>44424</v>
      </c>
      <c r="C101" s="91">
        <v>85.039123535156193</v>
      </c>
      <c r="D101" s="9">
        <f t="shared" si="2"/>
        <v>2.394090708158858E-2</v>
      </c>
      <c r="E101"/>
      <c r="F101" s="90">
        <v>44424</v>
      </c>
      <c r="G101" s="91">
        <v>20339</v>
      </c>
      <c r="H101" s="9">
        <f t="shared" si="3"/>
        <v>-8.7288595330323737E-3</v>
      </c>
      <c r="R101" s="9"/>
    </row>
    <row r="102" spans="2:18">
      <c r="B102" s="90">
        <v>44431</v>
      </c>
      <c r="C102" s="91">
        <v>84.236152648925696</v>
      </c>
      <c r="D102" s="9">
        <f t="shared" si="2"/>
        <v>-9.4423702038572976E-3</v>
      </c>
      <c r="E102"/>
      <c r="F102" s="90">
        <v>44431</v>
      </c>
      <c r="G102" s="91">
        <v>20644.599609375</v>
      </c>
      <c r="H102" s="9">
        <f t="shared" si="3"/>
        <v>1.5025301606519603E-2</v>
      </c>
      <c r="R102" s="9"/>
    </row>
    <row r="103" spans="2:18">
      <c r="B103" s="90">
        <v>44438</v>
      </c>
      <c r="C103" s="91">
        <v>85.851676940917898</v>
      </c>
      <c r="D103" s="9">
        <f t="shared" si="2"/>
        <v>1.9178514701701621E-2</v>
      </c>
      <c r="E103"/>
      <c r="F103" s="90">
        <v>44438</v>
      </c>
      <c r="G103" s="91">
        <v>20821.400390625</v>
      </c>
      <c r="H103" s="9">
        <f t="shared" si="3"/>
        <v>8.5640208381523308E-3</v>
      </c>
      <c r="R103" s="9"/>
    </row>
    <row r="104" spans="2:18">
      <c r="B104" s="90">
        <v>44445</v>
      </c>
      <c r="C104" s="91">
        <v>86.721580505371094</v>
      </c>
      <c r="D104" s="9">
        <f t="shared" si="2"/>
        <v>1.0132633344504871E-2</v>
      </c>
      <c r="E104"/>
      <c r="F104" s="90">
        <v>44445</v>
      </c>
      <c r="G104" s="91">
        <v>20633.099609375</v>
      </c>
      <c r="H104" s="9">
        <f t="shared" si="3"/>
        <v>-9.0436175145445219E-3</v>
      </c>
      <c r="R104" s="9"/>
    </row>
    <row r="105" spans="2:18">
      <c r="B105" s="90">
        <v>44452</v>
      </c>
      <c r="C105" s="91">
        <v>81.865463256835895</v>
      </c>
      <c r="D105" s="9">
        <f t="shared" si="2"/>
        <v>-5.5996641438452954E-2</v>
      </c>
      <c r="E105"/>
      <c r="F105" s="90">
        <v>44452</v>
      </c>
      <c r="G105" s="91">
        <v>20490.400390625</v>
      </c>
      <c r="H105" s="9">
        <f t="shared" si="3"/>
        <v>-6.9160340158084255E-3</v>
      </c>
      <c r="R105" s="9"/>
    </row>
    <row r="106" spans="2:18">
      <c r="B106" s="90">
        <v>44459</v>
      </c>
      <c r="C106" s="91">
        <v>81.925209045410099</v>
      </c>
      <c r="D106" s="9">
        <f t="shared" si="2"/>
        <v>7.2980456223348256E-4</v>
      </c>
      <c r="E106"/>
      <c r="F106" s="90">
        <v>44459</v>
      </c>
      <c r="G106" s="91">
        <v>20402.69921875</v>
      </c>
      <c r="H106" s="9">
        <f t="shared" si="3"/>
        <v>-4.2801102078574571E-3</v>
      </c>
      <c r="R106" s="9"/>
    </row>
    <row r="107" spans="2:18">
      <c r="B107" s="90">
        <v>44466</v>
      </c>
      <c r="C107" s="91">
        <v>82.981071472167898</v>
      </c>
      <c r="D107" s="9">
        <f t="shared" si="2"/>
        <v>1.2888126122113874E-2</v>
      </c>
      <c r="E107"/>
      <c r="F107" s="90">
        <v>44466</v>
      </c>
      <c r="G107" s="91">
        <v>20150.900390625</v>
      </c>
      <c r="H107" s="9">
        <f t="shared" si="3"/>
        <v>-1.2341446855894334E-2</v>
      </c>
      <c r="R107" s="9"/>
    </row>
    <row r="108" spans="2:18">
      <c r="B108" s="90">
        <v>44473</v>
      </c>
      <c r="C108" s="91">
        <v>86.350227355957003</v>
      </c>
      <c r="D108" s="9">
        <f t="shared" si="2"/>
        <v>4.0601498920378898E-2</v>
      </c>
      <c r="E108"/>
      <c r="F108" s="90">
        <v>44473</v>
      </c>
      <c r="G108" s="91">
        <v>20416.30078125</v>
      </c>
      <c r="H108" s="9">
        <f t="shared" si="3"/>
        <v>1.3170646744324888E-2</v>
      </c>
      <c r="R108" s="9"/>
    </row>
    <row r="109" spans="2:18">
      <c r="B109" s="90">
        <v>44480</v>
      </c>
      <c r="C109" s="91">
        <v>88.461952209472599</v>
      </c>
      <c r="D109" s="9">
        <f t="shared" si="2"/>
        <v>2.4455347926422233E-2</v>
      </c>
      <c r="E109"/>
      <c r="F109" s="90">
        <v>44480</v>
      </c>
      <c r="G109" s="91">
        <v>20928.099609375</v>
      </c>
      <c r="H109" s="9">
        <f t="shared" si="3"/>
        <v>2.5068146948296732E-2</v>
      </c>
      <c r="R109" s="9"/>
    </row>
    <row r="110" spans="2:18">
      <c r="B110" s="90">
        <v>44487</v>
      </c>
      <c r="C110" s="91">
        <v>90.237709045410099</v>
      </c>
      <c r="D110" s="9">
        <f t="shared" si="2"/>
        <v>2.0073679040369941E-2</v>
      </c>
      <c r="E110"/>
      <c r="F110" s="90">
        <v>44487</v>
      </c>
      <c r="G110" s="91">
        <v>21216.19921875</v>
      </c>
      <c r="H110" s="9">
        <f t="shared" si="3"/>
        <v>1.376616199045344E-2</v>
      </c>
      <c r="R110" s="9"/>
    </row>
    <row r="111" spans="2:18">
      <c r="B111" s="90">
        <v>44494</v>
      </c>
      <c r="C111" s="91">
        <v>89.345046997070298</v>
      </c>
      <c r="D111" s="9">
        <f t="shared" si="2"/>
        <v>-9.8923394419353494E-3</v>
      </c>
      <c r="E111"/>
      <c r="F111" s="90">
        <v>44494</v>
      </c>
      <c r="G111" s="91">
        <v>21037.099609375</v>
      </c>
      <c r="H111" s="9">
        <f t="shared" si="3"/>
        <v>-8.4416444023922566E-3</v>
      </c>
      <c r="R111" s="9"/>
    </row>
    <row r="112" spans="2:18">
      <c r="B112" s="90">
        <v>44501</v>
      </c>
      <c r="C112" s="91">
        <v>91.543151855468693</v>
      </c>
      <c r="D112" s="9">
        <f t="shared" si="2"/>
        <v>2.4602425453651211E-2</v>
      </c>
      <c r="E112"/>
      <c r="F112" s="90">
        <v>44501</v>
      </c>
      <c r="G112" s="91">
        <v>21455.80078125</v>
      </c>
      <c r="H112" s="9">
        <f t="shared" si="3"/>
        <v>1.9902989463833176E-2</v>
      </c>
      <c r="R112" s="9"/>
    </row>
    <row r="113" spans="2:18">
      <c r="B113" s="90">
        <v>44508</v>
      </c>
      <c r="C113" s="91">
        <v>94.134803771972599</v>
      </c>
      <c r="D113" s="9">
        <f t="shared" si="2"/>
        <v>2.8310713187980285E-2</v>
      </c>
      <c r="E113"/>
      <c r="F113" s="90">
        <v>44508</v>
      </c>
      <c r="G113" s="91">
        <v>21768.5</v>
      </c>
      <c r="H113" s="9">
        <f t="shared" si="3"/>
        <v>1.4574110840144705E-2</v>
      </c>
      <c r="R113" s="9"/>
    </row>
    <row r="114" spans="2:18">
      <c r="B114" s="90">
        <v>44515</v>
      </c>
      <c r="C114" s="91">
        <v>94.067611694335895</v>
      </c>
      <c r="D114" s="9">
        <f t="shared" si="2"/>
        <v>-7.1378570883806614E-4</v>
      </c>
      <c r="E114"/>
      <c r="F114" s="90">
        <v>44515</v>
      </c>
      <c r="G114" s="91">
        <v>21555</v>
      </c>
      <c r="H114" s="9">
        <f t="shared" si="3"/>
        <v>-9.8077497301146677E-3</v>
      </c>
      <c r="R114" s="9"/>
    </row>
    <row r="115" spans="2:18">
      <c r="B115" s="90">
        <v>44522</v>
      </c>
      <c r="C115" s="91">
        <v>92.570205688476506</v>
      </c>
      <c r="D115" s="9">
        <f t="shared" si="2"/>
        <v>-1.5918401444325769E-2</v>
      </c>
      <c r="F115" s="90">
        <v>44522</v>
      </c>
      <c r="G115" s="91">
        <v>21125.900390625</v>
      </c>
      <c r="H115" s="9">
        <f t="shared" si="3"/>
        <v>-1.9907195981210823E-2</v>
      </c>
    </row>
    <row r="116" spans="2:18">
      <c r="B116" s="90">
        <v>44529</v>
      </c>
      <c r="C116" s="91">
        <v>93.482109069824205</v>
      </c>
      <c r="D116" s="9">
        <f t="shared" si="2"/>
        <v>9.850938264267306E-3</v>
      </c>
      <c r="F116" s="90">
        <v>44529</v>
      </c>
      <c r="G116" s="91">
        <v>20633.30078125</v>
      </c>
      <c r="H116" s="9">
        <f t="shared" si="3"/>
        <v>-2.33173308718998E-2</v>
      </c>
    </row>
    <row r="117" spans="2:18">
      <c r="B117" s="90">
        <v>44536</v>
      </c>
      <c r="C117" s="91">
        <v>95.229064941406193</v>
      </c>
      <c r="D117" s="9">
        <f t="shared" si="2"/>
        <v>1.8687595829455894E-2</v>
      </c>
      <c r="F117" s="90">
        <v>44536</v>
      </c>
      <c r="G117" s="91">
        <v>20890.599609375</v>
      </c>
      <c r="H117" s="9">
        <f t="shared" si="3"/>
        <v>1.2470075963745719E-2</v>
      </c>
    </row>
    <row r="118" spans="2:18">
      <c r="B118" s="90">
        <v>44543</v>
      </c>
      <c r="C118" s="91">
        <v>99.385322570800696</v>
      </c>
      <c r="D118" s="9">
        <f t="shared" si="2"/>
        <v>4.3644843430436175E-2</v>
      </c>
      <c r="F118" s="90">
        <v>44543</v>
      </c>
      <c r="G118" s="91">
        <v>20739.19921875</v>
      </c>
      <c r="H118" s="9">
        <f t="shared" si="3"/>
        <v>-7.2472975144790563E-3</v>
      </c>
    </row>
    <row r="119" spans="2:18">
      <c r="B119" s="90">
        <v>44550</v>
      </c>
      <c r="C119" s="91">
        <v>99.787757873535099</v>
      </c>
      <c r="D119" s="9">
        <f t="shared" si="2"/>
        <v>4.0492428089440313E-3</v>
      </c>
      <c r="F119" s="90">
        <v>44550</v>
      </c>
      <c r="G119" s="91">
        <v>21229.69921875</v>
      </c>
      <c r="H119" s="9">
        <f t="shared" si="3"/>
        <v>2.3650864955120587E-2</v>
      </c>
    </row>
    <row r="120" spans="2:18">
      <c r="B120" s="90">
        <v>44557</v>
      </c>
      <c r="C120" s="91">
        <v>99.845550537109304</v>
      </c>
      <c r="D120" s="9">
        <f t="shared" si="2"/>
        <v>5.7915584843026835E-4</v>
      </c>
      <c r="F120" s="90">
        <v>44557</v>
      </c>
      <c r="G120" s="91">
        <v>21222.80078125</v>
      </c>
      <c r="H120" s="9">
        <f t="shared" si="3"/>
        <v>-3.2494278081474093E-4</v>
      </c>
    </row>
    <row r="121" spans="2:18">
      <c r="B121" s="90">
        <v>44564</v>
      </c>
      <c r="C121" s="91">
        <v>98.400466918945298</v>
      </c>
      <c r="D121" s="9">
        <f t="shared" si="2"/>
        <v>-1.4473189945774401E-2</v>
      </c>
      <c r="F121" s="90">
        <v>44564</v>
      </c>
      <c r="G121" s="91">
        <v>21084.5</v>
      </c>
      <c r="H121" s="9">
        <f t="shared" si="3"/>
        <v>-6.516613083989653E-3</v>
      </c>
    </row>
    <row r="122" spans="2:18">
      <c r="B122" s="90">
        <v>44571</v>
      </c>
      <c r="C122" s="91">
        <v>95.568122863769503</v>
      </c>
      <c r="D122" s="9">
        <f t="shared" si="2"/>
        <v>-2.8783847718007904E-2</v>
      </c>
      <c r="F122" s="90">
        <v>44571</v>
      </c>
      <c r="G122" s="91">
        <v>21357.599609375</v>
      </c>
      <c r="H122" s="9">
        <f t="shared" si="3"/>
        <v>1.2952624410111691E-2</v>
      </c>
    </row>
    <row r="123" spans="2:18">
      <c r="B123" s="90">
        <v>44578</v>
      </c>
      <c r="C123" s="91">
        <v>89.074851989746094</v>
      </c>
      <c r="D123" s="9">
        <f t="shared" si="2"/>
        <v>-6.7943898859240348E-2</v>
      </c>
      <c r="F123" s="90">
        <v>44578</v>
      </c>
      <c r="G123" s="91">
        <v>20621.400390625</v>
      </c>
      <c r="H123" s="9">
        <f t="shared" si="3"/>
        <v>-3.4470129238064917E-2</v>
      </c>
    </row>
    <row r="124" spans="2:18">
      <c r="B124" s="90">
        <v>44585</v>
      </c>
      <c r="C124" s="91">
        <v>94.450576782226506</v>
      </c>
      <c r="D124" s="9">
        <f t="shared" si="2"/>
        <v>6.035064524271383E-2</v>
      </c>
      <c r="F124" s="90">
        <v>44585</v>
      </c>
      <c r="G124" s="91">
        <v>20741.80078125</v>
      </c>
      <c r="H124" s="9">
        <f t="shared" si="3"/>
        <v>5.8386136898702645E-3</v>
      </c>
    </row>
    <row r="125" spans="2:18">
      <c r="B125" s="90">
        <v>44592</v>
      </c>
      <c r="C125" s="91">
        <v>97.591224670410099</v>
      </c>
      <c r="D125" s="9">
        <f t="shared" si="2"/>
        <v>3.3251759758174293E-2</v>
      </c>
      <c r="F125" s="90">
        <v>44592</v>
      </c>
      <c r="G125" s="91">
        <v>21271.900390625</v>
      </c>
      <c r="H125" s="9">
        <f t="shared" si="3"/>
        <v>2.5557067824804935E-2</v>
      </c>
    </row>
    <row r="126" spans="2:18">
      <c r="B126" s="90">
        <v>44599</v>
      </c>
      <c r="C126" s="91">
        <v>97.793540954589801</v>
      </c>
      <c r="D126" s="9">
        <f t="shared" si="2"/>
        <v>2.0730991424995349E-3</v>
      </c>
      <c r="F126" s="90">
        <v>44599</v>
      </c>
      <c r="G126" s="91">
        <v>21548.80078125</v>
      </c>
      <c r="H126" s="9">
        <f t="shared" si="3"/>
        <v>1.3017191014444318E-2</v>
      </c>
    </row>
    <row r="127" spans="2:18">
      <c r="B127" s="90">
        <v>44606</v>
      </c>
      <c r="C127" s="91">
        <v>94.575820922851506</v>
      </c>
      <c r="D127" s="9">
        <f t="shared" si="2"/>
        <v>-3.2903195858634882E-2</v>
      </c>
      <c r="F127" s="90">
        <v>44606</v>
      </c>
      <c r="G127" s="91">
        <v>21008.19921875</v>
      </c>
      <c r="H127" s="9">
        <f t="shared" si="3"/>
        <v>-2.5087315437543389E-2</v>
      </c>
    </row>
    <row r="128" spans="2:18">
      <c r="B128" s="90">
        <v>44613</v>
      </c>
      <c r="C128" s="91">
        <v>97.254051208496094</v>
      </c>
      <c r="D128" s="9">
        <f t="shared" si="2"/>
        <v>2.831834034863201E-2</v>
      </c>
      <c r="F128" s="90">
        <v>44613</v>
      </c>
      <c r="G128" s="91">
        <v>21106</v>
      </c>
      <c r="H128" s="9">
        <f t="shared" si="3"/>
        <v>4.6553624245295744E-3</v>
      </c>
    </row>
    <row r="129" spans="2:8">
      <c r="B129" s="90">
        <v>44620</v>
      </c>
      <c r="C129" s="91">
        <v>102.13840484619099</v>
      </c>
      <c r="D129" s="9">
        <f t="shared" si="2"/>
        <v>5.0222623911303055E-2</v>
      </c>
      <c r="F129" s="90">
        <v>44620</v>
      </c>
      <c r="G129" s="91">
        <v>21402.400390625</v>
      </c>
      <c r="H129" s="9">
        <f t="shared" si="3"/>
        <v>1.4043418488818293E-2</v>
      </c>
    </row>
    <row r="130" spans="2:8">
      <c r="B130" s="90">
        <v>44627</v>
      </c>
      <c r="C130" s="91">
        <v>110.54880523681599</v>
      </c>
      <c r="D130" s="9">
        <f t="shared" si="2"/>
        <v>8.2343173493752087E-2</v>
      </c>
      <c r="F130" s="90">
        <v>44627</v>
      </c>
      <c r="G130" s="91">
        <v>21461.80078125</v>
      </c>
      <c r="H130" s="9">
        <f t="shared" si="3"/>
        <v>2.7754078767268098E-3</v>
      </c>
    </row>
    <row r="131" spans="2:8">
      <c r="B131" s="90">
        <v>44634</v>
      </c>
      <c r="C131" s="91">
        <v>107.09023284912099</v>
      </c>
      <c r="D131" s="9">
        <f t="shared" si="2"/>
        <v>-3.128547956973482E-2</v>
      </c>
      <c r="F131" s="90">
        <v>44634</v>
      </c>
      <c r="G131" s="91">
        <v>21818.5</v>
      </c>
      <c r="H131" s="9">
        <f t="shared" si="3"/>
        <v>1.6620190560226789E-2</v>
      </c>
    </row>
    <row r="132" spans="2:8">
      <c r="B132" s="90">
        <v>44641</v>
      </c>
      <c r="C132" s="91">
        <v>105.79863739013599</v>
      </c>
      <c r="D132" s="9">
        <f t="shared" si="2"/>
        <v>-1.2060814741197912E-2</v>
      </c>
      <c r="F132" s="90">
        <v>44641</v>
      </c>
      <c r="G132" s="91">
        <v>22005.900390625</v>
      </c>
      <c r="H132" s="9">
        <f t="shared" si="3"/>
        <v>8.5890593131974224E-3</v>
      </c>
    </row>
    <row r="133" spans="2:8">
      <c r="B133" s="90">
        <v>44648</v>
      </c>
      <c r="C133" s="91">
        <v>107.161338806152</v>
      </c>
      <c r="D133" s="9">
        <f t="shared" si="2"/>
        <v>1.2880141461472761E-2</v>
      </c>
      <c r="F133" s="90">
        <v>44648</v>
      </c>
      <c r="G133" s="91">
        <v>21953</v>
      </c>
      <c r="H133" s="9">
        <f t="shared" si="3"/>
        <v>-2.4039184803152924E-3</v>
      </c>
    </row>
    <row r="134" spans="2:8">
      <c r="B134" s="90">
        <v>44655</v>
      </c>
      <c r="C134" s="91">
        <v>113.79127502441401</v>
      </c>
      <c r="D134" s="9">
        <f t="shared" si="2"/>
        <v>6.1868732624320133E-2</v>
      </c>
      <c r="F134" s="90">
        <v>44655</v>
      </c>
      <c r="G134" s="91">
        <v>21874.400390625</v>
      </c>
      <c r="H134" s="9">
        <f t="shared" si="3"/>
        <v>-3.5803584646745268E-3</v>
      </c>
    </row>
    <row r="135" spans="2:8">
      <c r="B135" s="90">
        <v>44662</v>
      </c>
      <c r="C135" s="91">
        <v>111.58773803710901</v>
      </c>
      <c r="D135" s="9">
        <f t="shared" si="2"/>
        <v>-1.9364727100845247E-2</v>
      </c>
      <c r="F135" s="90">
        <v>44662</v>
      </c>
      <c r="G135" s="91">
        <v>21855.69921875</v>
      </c>
      <c r="H135" s="9">
        <f t="shared" si="3"/>
        <v>-8.5493414864135087E-4</v>
      </c>
    </row>
    <row r="136" spans="2:8">
      <c r="B136" s="90">
        <v>44669</v>
      </c>
      <c r="C136" s="91">
        <v>112.57353973388599</v>
      </c>
      <c r="D136" s="9">
        <f t="shared" si="2"/>
        <v>8.8343192013549121E-3</v>
      </c>
      <c r="F136" s="90">
        <v>44669</v>
      </c>
      <c r="G136" s="91">
        <v>21186.400390625</v>
      </c>
      <c r="H136" s="9">
        <f t="shared" si="3"/>
        <v>-3.0623537660639522E-2</v>
      </c>
    </row>
    <row r="137" spans="2:8">
      <c r="B137" s="90">
        <v>44676</v>
      </c>
      <c r="C137" s="91">
        <v>113.56900024414</v>
      </c>
      <c r="D137" s="9">
        <f t="shared" si="2"/>
        <v>8.8427574775313822E-3</v>
      </c>
      <c r="F137" s="90">
        <v>44676</v>
      </c>
      <c r="G137" s="91">
        <v>20762</v>
      </c>
      <c r="H137" s="9">
        <f t="shared" si="3"/>
        <v>-2.0031736529098954E-2</v>
      </c>
    </row>
    <row r="138" spans="2:8">
      <c r="B138" s="90">
        <v>44683</v>
      </c>
      <c r="C138" s="91">
        <v>108.011833190917</v>
      </c>
      <c r="D138" s="9">
        <f t="shared" si="2"/>
        <v>-4.8932076898420496E-2</v>
      </c>
      <c r="F138" s="90">
        <v>44683</v>
      </c>
      <c r="G138" s="91">
        <v>20633.30078125</v>
      </c>
      <c r="H138" s="9">
        <f t="shared" si="3"/>
        <v>-6.1987871471920197E-3</v>
      </c>
    </row>
    <row r="139" spans="2:8">
      <c r="B139" s="90">
        <v>44690</v>
      </c>
      <c r="C139" s="91">
        <v>110.456993103027</v>
      </c>
      <c r="D139" s="9">
        <f t="shared" si="2"/>
        <v>2.2637889200417982E-2</v>
      </c>
      <c r="F139" s="90">
        <v>44690</v>
      </c>
      <c r="G139" s="91">
        <v>20099.80078125</v>
      </c>
      <c r="H139" s="9">
        <f t="shared" si="3"/>
        <v>-2.5856260501218697E-2</v>
      </c>
    </row>
    <row r="140" spans="2:8">
      <c r="B140" s="90">
        <v>44697</v>
      </c>
      <c r="C140" s="91">
        <v>107.451278686523</v>
      </c>
      <c r="D140" s="9">
        <f t="shared" ref="D140:D203" si="4">C140/C139-1</f>
        <v>-2.7211626281556267E-2</v>
      </c>
      <c r="F140" s="90">
        <v>44697</v>
      </c>
      <c r="G140" s="91">
        <v>20197.599609375</v>
      </c>
      <c r="H140" s="9">
        <f t="shared" ref="H140:H203" si="5">G140/G139-1</f>
        <v>4.8656615649758095E-3</v>
      </c>
    </row>
    <row r="141" spans="2:8">
      <c r="B141" s="90">
        <v>44704</v>
      </c>
      <c r="C141" s="91">
        <v>112.177284240722</v>
      </c>
      <c r="D141" s="9">
        <f t="shared" si="4"/>
        <v>4.398277630540437E-2</v>
      </c>
      <c r="F141" s="90">
        <v>44704</v>
      </c>
      <c r="G141" s="91">
        <v>20748.599609375</v>
      </c>
      <c r="H141" s="9">
        <f t="shared" si="5"/>
        <v>2.7280469494218806E-2</v>
      </c>
    </row>
    <row r="142" spans="2:8">
      <c r="B142" s="90">
        <v>44711</v>
      </c>
      <c r="C142" s="91">
        <v>113.68497467041</v>
      </c>
      <c r="D142" s="9">
        <f t="shared" si="4"/>
        <v>1.3440247193474919E-2</v>
      </c>
      <c r="F142" s="90">
        <v>44711</v>
      </c>
      <c r="G142" s="91">
        <v>20790.69921875</v>
      </c>
      <c r="H142" s="9">
        <f t="shared" si="5"/>
        <v>2.02903377421082E-3</v>
      </c>
    </row>
    <row r="143" spans="2:8">
      <c r="B143" s="90">
        <v>44718</v>
      </c>
      <c r="C143" s="91">
        <v>111.07551574707</v>
      </c>
      <c r="D143" s="9">
        <f t="shared" si="4"/>
        <v>-2.295341957813879E-2</v>
      </c>
      <c r="F143" s="90">
        <v>44718</v>
      </c>
      <c r="G143" s="91">
        <v>20274.80078125</v>
      </c>
      <c r="H143" s="9">
        <f t="shared" si="5"/>
        <v>-2.4813905105930179E-2</v>
      </c>
    </row>
    <row r="144" spans="2:8">
      <c r="B144" s="90">
        <v>44725</v>
      </c>
      <c r="C144" s="91">
        <v>106.05957794189401</v>
      </c>
      <c r="D144" s="9">
        <f t="shared" si="4"/>
        <v>-4.5157906955820781E-2</v>
      </c>
      <c r="F144" s="90">
        <v>44725</v>
      </c>
      <c r="G144" s="91">
        <v>18930.5</v>
      </c>
      <c r="H144" s="9">
        <f t="shared" si="5"/>
        <v>-6.630401924803131E-2</v>
      </c>
    </row>
    <row r="145" spans="2:8">
      <c r="B145" s="90">
        <v>44732</v>
      </c>
      <c r="C145" s="91">
        <v>111.261596679687</v>
      </c>
      <c r="D145" s="9">
        <f t="shared" si="4"/>
        <v>4.9048080698972596E-2</v>
      </c>
      <c r="F145" s="90">
        <v>44732</v>
      </c>
      <c r="G145" s="91">
        <v>19062.900390625</v>
      </c>
      <c r="H145" s="9">
        <f t="shared" si="5"/>
        <v>6.9940250191489195E-3</v>
      </c>
    </row>
    <row r="146" spans="2:8">
      <c r="B146" s="90">
        <v>44739</v>
      </c>
      <c r="C146" s="91">
        <v>112.60011291503901</v>
      </c>
      <c r="D146" s="9">
        <f t="shared" si="4"/>
        <v>1.2030352568150438E-2</v>
      </c>
      <c r="F146" s="90">
        <v>44739</v>
      </c>
      <c r="G146" s="91">
        <v>18861.400390625</v>
      </c>
      <c r="H146" s="9">
        <f t="shared" si="5"/>
        <v>-1.057026978429243E-2</v>
      </c>
    </row>
    <row r="147" spans="2:8">
      <c r="B147" s="90">
        <v>44746</v>
      </c>
      <c r="C147" s="91">
        <v>115.52931213378901</v>
      </c>
      <c r="D147" s="9">
        <f t="shared" si="4"/>
        <v>2.6014176566236502E-2</v>
      </c>
      <c r="F147" s="90">
        <v>44746</v>
      </c>
      <c r="G147" s="91">
        <v>19022.900390625</v>
      </c>
      <c r="H147" s="9">
        <f t="shared" si="5"/>
        <v>8.5624607216479021E-3</v>
      </c>
    </row>
    <row r="148" spans="2:8">
      <c r="B148" s="90">
        <v>44753</v>
      </c>
      <c r="C148" s="91">
        <v>115.81060791015599</v>
      </c>
      <c r="D148" s="9">
        <f t="shared" si="4"/>
        <v>2.4348433412400006E-3</v>
      </c>
      <c r="F148" s="90">
        <v>44753</v>
      </c>
      <c r="G148" s="91">
        <v>18394.5</v>
      </c>
      <c r="H148" s="9">
        <f t="shared" si="5"/>
        <v>-3.3033889560536878E-2</v>
      </c>
    </row>
    <row r="149" spans="2:8">
      <c r="B149" s="90">
        <v>44760</v>
      </c>
      <c r="C149" s="91">
        <v>115.791198730468</v>
      </c>
      <c r="D149" s="9">
        <f t="shared" si="4"/>
        <v>-1.6759414390654648E-4</v>
      </c>
      <c r="F149" s="90">
        <v>44760</v>
      </c>
      <c r="G149" s="91">
        <v>18982.900390625</v>
      </c>
      <c r="H149" s="9">
        <f t="shared" si="5"/>
        <v>3.1987843682894423E-2</v>
      </c>
    </row>
    <row r="150" spans="2:8">
      <c r="B150" s="90">
        <v>44767</v>
      </c>
      <c r="C150" s="91">
        <v>113.06566619873</v>
      </c>
      <c r="D150" s="9">
        <f t="shared" si="4"/>
        <v>-2.3538339369664318E-2</v>
      </c>
      <c r="F150" s="90">
        <v>44767</v>
      </c>
      <c r="G150" s="91">
        <v>19692.900390625</v>
      </c>
      <c r="H150" s="9">
        <f t="shared" si="5"/>
        <v>3.7402082157616201E-2</v>
      </c>
    </row>
    <row r="151" spans="2:8">
      <c r="B151" s="90">
        <v>44774</v>
      </c>
      <c r="C151" s="91">
        <v>113.01717376708901</v>
      </c>
      <c r="D151" s="9">
        <f t="shared" si="4"/>
        <v>-4.2888732956092301E-4</v>
      </c>
      <c r="F151" s="90">
        <v>44774</v>
      </c>
      <c r="G151" s="91">
        <v>19620.099609375</v>
      </c>
      <c r="H151" s="9">
        <f t="shared" si="5"/>
        <v>-3.6968034066052757E-3</v>
      </c>
    </row>
    <row r="152" spans="2:8">
      <c r="B152" s="90">
        <v>44781</v>
      </c>
      <c r="C152" s="91">
        <v>114.442985534667</v>
      </c>
      <c r="D152" s="9">
        <f t="shared" si="4"/>
        <v>1.2615885887541145E-2</v>
      </c>
      <c r="F152" s="90">
        <v>44781</v>
      </c>
      <c r="G152" s="91">
        <v>20179.80078125</v>
      </c>
      <c r="H152" s="9">
        <f t="shared" si="5"/>
        <v>2.8526928151147546E-2</v>
      </c>
    </row>
    <row r="153" spans="2:8">
      <c r="B153" s="90">
        <v>44788</v>
      </c>
      <c r="C153" s="91">
        <v>119.874626159667</v>
      </c>
      <c r="D153" s="9">
        <f t="shared" si="4"/>
        <v>4.746154252813195E-2</v>
      </c>
      <c r="F153" s="90">
        <v>44788</v>
      </c>
      <c r="G153" s="91">
        <v>20111.400390625</v>
      </c>
      <c r="H153" s="9">
        <f t="shared" si="5"/>
        <v>-3.3895473680074506E-3</v>
      </c>
    </row>
    <row r="154" spans="2:8">
      <c r="B154" s="90">
        <v>44795</v>
      </c>
      <c r="C154" s="91">
        <v>113.78342437744099</v>
      </c>
      <c r="D154" s="9">
        <f t="shared" si="4"/>
        <v>-5.0813103467891807E-2</v>
      </c>
      <c r="F154" s="90">
        <v>44795</v>
      </c>
      <c r="G154" s="91">
        <v>19873.30078125</v>
      </c>
      <c r="H154" s="9">
        <f t="shared" si="5"/>
        <v>-1.1839036802528735E-2</v>
      </c>
    </row>
    <row r="155" spans="2:8">
      <c r="B155" s="90">
        <v>44802</v>
      </c>
      <c r="C155" s="91">
        <v>113.802833557128</v>
      </c>
      <c r="D155" s="9">
        <f t="shared" si="4"/>
        <v>1.7058002774295034E-4</v>
      </c>
      <c r="F155" s="90">
        <v>44802</v>
      </c>
      <c r="G155" s="91">
        <v>19270.900390625</v>
      </c>
      <c r="H155" s="9">
        <f t="shared" si="5"/>
        <v>-3.0312045153231493E-2</v>
      </c>
    </row>
    <row r="156" spans="2:8">
      <c r="B156" s="90">
        <v>44809</v>
      </c>
      <c r="C156" s="91">
        <v>113.92893218994099</v>
      </c>
      <c r="D156" s="9">
        <f t="shared" si="4"/>
        <v>1.1080447548759143E-3</v>
      </c>
      <c r="F156" s="90">
        <v>44809</v>
      </c>
      <c r="G156" s="91">
        <v>19773.30078125</v>
      </c>
      <c r="H156" s="9">
        <f t="shared" si="5"/>
        <v>2.607041603875504E-2</v>
      </c>
    </row>
    <row r="157" spans="2:8">
      <c r="B157" s="90">
        <v>44816</v>
      </c>
      <c r="C157" s="91">
        <v>110.378944396972</v>
      </c>
      <c r="D157" s="9">
        <f t="shared" si="4"/>
        <v>-3.1159668792914652E-2</v>
      </c>
      <c r="F157" s="90">
        <v>44816</v>
      </c>
      <c r="G157" s="91">
        <v>19385.900390625</v>
      </c>
      <c r="H157" s="9">
        <f t="shared" si="5"/>
        <v>-1.959209516462479E-2</v>
      </c>
    </row>
    <row r="158" spans="2:8">
      <c r="B158" s="90">
        <v>44823</v>
      </c>
      <c r="C158" s="91">
        <v>108.993751525878</v>
      </c>
      <c r="D158" s="9">
        <f t="shared" si="4"/>
        <v>-1.2549430316276977E-2</v>
      </c>
      <c r="F158" s="90">
        <v>44823</v>
      </c>
      <c r="G158" s="91">
        <v>18481</v>
      </c>
      <c r="H158" s="9">
        <f t="shared" si="5"/>
        <v>-4.6678275055132779E-2</v>
      </c>
    </row>
    <row r="159" spans="2:8">
      <c r="B159" s="90">
        <v>44830</v>
      </c>
      <c r="C159" s="91">
        <v>106.463081359863</v>
      </c>
      <c r="D159" s="9">
        <f t="shared" si="4"/>
        <v>-2.3218488496692835E-2</v>
      </c>
      <c r="F159" s="90">
        <v>44830</v>
      </c>
      <c r="G159" s="91">
        <v>18444.19921875</v>
      </c>
      <c r="H159" s="9">
        <f t="shared" si="5"/>
        <v>-1.9912765137167776E-3</v>
      </c>
    </row>
    <row r="160" spans="2:8">
      <c r="B160" s="90">
        <v>44837</v>
      </c>
      <c r="C160" s="91">
        <v>104.798683166503</v>
      </c>
      <c r="D160" s="9">
        <f t="shared" si="4"/>
        <v>-1.5633571488824938E-2</v>
      </c>
      <c r="F160" s="90">
        <v>44837</v>
      </c>
      <c r="G160" s="91">
        <v>18583.099609375</v>
      </c>
      <c r="H160" s="9">
        <f t="shared" si="5"/>
        <v>7.5308441953823024E-3</v>
      </c>
    </row>
    <row r="161" spans="2:8">
      <c r="B161" s="90">
        <v>44844</v>
      </c>
      <c r="C161" s="91">
        <v>106.35601043701099</v>
      </c>
      <c r="D161" s="9">
        <f t="shared" si="4"/>
        <v>1.4860179760405323E-2</v>
      </c>
      <c r="F161" s="90">
        <v>44844</v>
      </c>
      <c r="G161" s="91">
        <v>18326.400390625</v>
      </c>
      <c r="H161" s="9">
        <f t="shared" si="5"/>
        <v>-1.381358460891513E-2</v>
      </c>
    </row>
    <row r="162" spans="2:8">
      <c r="B162" s="90">
        <v>44851</v>
      </c>
      <c r="C162" s="91">
        <v>108.15666961669901</v>
      </c>
      <c r="D162" s="9">
        <f t="shared" si="4"/>
        <v>1.6930488199859983E-2</v>
      </c>
      <c r="F162" s="90">
        <v>44851</v>
      </c>
      <c r="G162" s="91">
        <v>18861</v>
      </c>
      <c r="H162" s="9">
        <f t="shared" si="5"/>
        <v>2.9171010017246868E-2</v>
      </c>
    </row>
    <row r="163" spans="2:8">
      <c r="B163" s="90">
        <v>44858</v>
      </c>
      <c r="C163" s="91">
        <v>110.872276306152</v>
      </c>
      <c r="D163" s="9">
        <f t="shared" si="4"/>
        <v>2.5108083478133647E-2</v>
      </c>
      <c r="F163" s="90">
        <v>44858</v>
      </c>
      <c r="G163" s="91">
        <v>19471.19921875</v>
      </c>
      <c r="H163" s="9">
        <f t="shared" si="5"/>
        <v>3.2352431936270687E-2</v>
      </c>
    </row>
    <row r="164" spans="2:8">
      <c r="B164" s="90">
        <v>44865</v>
      </c>
      <c r="C164" s="91">
        <v>109.36360931396401</v>
      </c>
      <c r="D164" s="9">
        <f t="shared" si="4"/>
        <v>-1.3607251897869488E-2</v>
      </c>
      <c r="F164" s="90">
        <v>44865</v>
      </c>
      <c r="G164" s="91">
        <v>19449.80078125</v>
      </c>
      <c r="H164" s="9">
        <f t="shared" si="5"/>
        <v>-1.0989789205891887E-3</v>
      </c>
    </row>
    <row r="165" spans="2:8">
      <c r="B165" s="90">
        <v>44872</v>
      </c>
      <c r="C165" s="91">
        <v>106.852409362792</v>
      </c>
      <c r="D165" s="9">
        <f t="shared" si="4"/>
        <v>-2.2961933744914953E-2</v>
      </c>
      <c r="F165" s="90">
        <v>44872</v>
      </c>
      <c r="G165" s="91">
        <v>20111.5</v>
      </c>
      <c r="H165" s="9">
        <f t="shared" si="5"/>
        <v>3.4020873848121358E-2</v>
      </c>
    </row>
    <row r="166" spans="2:8">
      <c r="B166" s="90">
        <v>44879</v>
      </c>
      <c r="C166" s="91">
        <v>107.981475830078</v>
      </c>
      <c r="D166" s="9">
        <f t="shared" si="4"/>
        <v>1.0566598114344128E-2</v>
      </c>
      <c r="F166" s="90">
        <v>44879</v>
      </c>
      <c r="G166" s="91">
        <v>19980.900390625</v>
      </c>
      <c r="H166" s="9">
        <f t="shared" si="5"/>
        <v>-6.4937776583049445E-3</v>
      </c>
    </row>
    <row r="167" spans="2:8">
      <c r="B167" s="90">
        <v>44886</v>
      </c>
      <c r="C167" s="91">
        <v>114.60987091064401</v>
      </c>
      <c r="D167" s="9">
        <f t="shared" si="4"/>
        <v>6.1384557208651103E-2</v>
      </c>
      <c r="F167" s="90">
        <v>44886</v>
      </c>
      <c r="G167" s="91">
        <v>20383.80078125</v>
      </c>
      <c r="H167" s="9">
        <f t="shared" si="5"/>
        <v>2.0164276021016558E-2</v>
      </c>
    </row>
    <row r="168" spans="2:8">
      <c r="B168" s="90">
        <v>44893</v>
      </c>
      <c r="C168" s="91">
        <v>119.019065856933</v>
      </c>
      <c r="D168" s="9">
        <f t="shared" si="4"/>
        <v>3.8471336816412904E-2</v>
      </c>
      <c r="F168" s="90">
        <v>44893</v>
      </c>
      <c r="G168" s="91">
        <v>20485.69921875</v>
      </c>
      <c r="H168" s="9">
        <f t="shared" si="5"/>
        <v>4.9989910416379235E-3</v>
      </c>
    </row>
    <row r="169" spans="2:8">
      <c r="B169" s="90">
        <v>44900</v>
      </c>
      <c r="C169" s="91">
        <v>122.201866149902</v>
      </c>
      <c r="D169" s="9">
        <f t="shared" si="4"/>
        <v>2.6741936428865021E-2</v>
      </c>
      <c r="F169" s="90">
        <v>44900</v>
      </c>
      <c r="G169" s="91">
        <v>19947.099609375</v>
      </c>
      <c r="H169" s="9">
        <f t="shared" si="5"/>
        <v>-2.6291492598018551E-2</v>
      </c>
    </row>
    <row r="170" spans="2:8">
      <c r="B170" s="90">
        <v>44907</v>
      </c>
      <c r="C170" s="91">
        <v>118.88279724121</v>
      </c>
      <c r="D170" s="9">
        <f t="shared" si="4"/>
        <v>-2.716054192348083E-2</v>
      </c>
      <c r="F170" s="90">
        <v>44907</v>
      </c>
      <c r="G170" s="91">
        <v>19443.30078125</v>
      </c>
      <c r="H170" s="9">
        <f t="shared" si="5"/>
        <v>-2.525674599269645E-2</v>
      </c>
    </row>
    <row r="171" spans="2:8">
      <c r="B171" s="90">
        <v>44914</v>
      </c>
      <c r="C171" s="91">
        <v>120.756797790527</v>
      </c>
      <c r="D171" s="9">
        <f t="shared" si="4"/>
        <v>1.576342913192641E-2</v>
      </c>
      <c r="F171" s="90">
        <v>44914</v>
      </c>
      <c r="G171" s="91">
        <v>19506.69921875</v>
      </c>
      <c r="H171" s="9">
        <f t="shared" si="5"/>
        <v>3.260682854895558E-3</v>
      </c>
    </row>
    <row r="172" spans="2:8">
      <c r="B172" s="90">
        <v>44921</v>
      </c>
      <c r="C172" s="91">
        <v>116.909301757812</v>
      </c>
      <c r="D172" s="9">
        <f t="shared" si="4"/>
        <v>-3.1861527492548558E-2</v>
      </c>
      <c r="F172" s="90">
        <v>44921</v>
      </c>
      <c r="G172" s="91">
        <v>19384.900390625</v>
      </c>
      <c r="H172" s="9">
        <f t="shared" si="5"/>
        <v>-6.2439486434447966E-3</v>
      </c>
    </row>
    <row r="173" spans="2:8">
      <c r="B173" s="90">
        <v>44928</v>
      </c>
      <c r="C173" s="91">
        <v>117.38777923583901</v>
      </c>
      <c r="D173" s="9">
        <f t="shared" si="4"/>
        <v>4.0927237681926965E-3</v>
      </c>
      <c r="F173" s="90">
        <v>44928</v>
      </c>
      <c r="G173" s="91">
        <v>19814.5</v>
      </c>
      <c r="H173" s="9">
        <f t="shared" si="5"/>
        <v>2.2161558776064849E-2</v>
      </c>
    </row>
    <row r="174" spans="2:8">
      <c r="B174" s="90">
        <v>44935</v>
      </c>
      <c r="C174" s="91">
        <v>113.100852966308</v>
      </c>
      <c r="D174" s="9">
        <f t="shared" si="4"/>
        <v>-3.6519357444511513E-2</v>
      </c>
      <c r="F174" s="90">
        <v>44935</v>
      </c>
      <c r="G174" s="91">
        <v>20360.099609375</v>
      </c>
      <c r="H174" s="9">
        <f t="shared" si="5"/>
        <v>2.7535371035100509E-2</v>
      </c>
    </row>
    <row r="175" spans="2:8">
      <c r="B175" s="90">
        <v>44942</v>
      </c>
      <c r="C175" s="91">
        <v>115.385925292968</v>
      </c>
      <c r="D175" s="9">
        <f t="shared" si="4"/>
        <v>2.0203846980187734E-2</v>
      </c>
      <c r="F175" s="90">
        <v>44942</v>
      </c>
      <c r="G175" s="91">
        <v>20503.19921875</v>
      </c>
      <c r="H175" s="9">
        <f t="shared" si="5"/>
        <v>7.0284336580115347E-3</v>
      </c>
    </row>
    <row r="176" spans="2:8">
      <c r="B176" s="90">
        <v>44949</v>
      </c>
      <c r="C176" s="91">
        <v>118.14946746826099</v>
      </c>
      <c r="D176" s="9">
        <f t="shared" si="4"/>
        <v>2.3950426954381987E-2</v>
      </c>
      <c r="F176" s="90">
        <v>44949</v>
      </c>
      <c r="G176" s="91">
        <v>20714.5</v>
      </c>
      <c r="H176" s="9">
        <f t="shared" si="5"/>
        <v>1.0305746873725319E-2</v>
      </c>
    </row>
    <row r="177" spans="2:8">
      <c r="B177" s="90">
        <v>44956</v>
      </c>
      <c r="C177" s="91">
        <v>112.534469604492</v>
      </c>
      <c r="D177" s="9">
        <f t="shared" si="4"/>
        <v>-4.7524529598725218E-2</v>
      </c>
      <c r="F177" s="90">
        <v>44956</v>
      </c>
      <c r="G177" s="91">
        <v>20758.30078125</v>
      </c>
      <c r="H177" s="9">
        <f t="shared" si="5"/>
        <v>2.1144986000145582E-3</v>
      </c>
    </row>
    <row r="178" spans="2:8">
      <c r="B178" s="90">
        <v>44963</v>
      </c>
      <c r="C178" s="91">
        <v>114.36056518554599</v>
      </c>
      <c r="D178" s="9">
        <f t="shared" si="4"/>
        <v>1.622698882815099E-2</v>
      </c>
      <c r="F178" s="90">
        <v>44963</v>
      </c>
      <c r="G178" s="91">
        <v>20612.099609375</v>
      </c>
      <c r="H178" s="9">
        <f t="shared" si="5"/>
        <v>-7.0430221344059962E-3</v>
      </c>
    </row>
    <row r="179" spans="2:8">
      <c r="B179" s="90">
        <v>44970</v>
      </c>
      <c r="C179" s="91">
        <v>116.09878540039</v>
      </c>
      <c r="D179" s="9">
        <f t="shared" si="4"/>
        <v>1.5199472055981822E-2</v>
      </c>
      <c r="F179" s="90">
        <v>44970</v>
      </c>
      <c r="G179" s="91">
        <v>20515.19921875</v>
      </c>
      <c r="H179" s="9">
        <f t="shared" si="5"/>
        <v>-4.7011411967428085E-3</v>
      </c>
    </row>
    <row r="180" spans="2:8">
      <c r="B180" s="90">
        <v>44977</v>
      </c>
      <c r="C180" s="91">
        <v>116.821411132812</v>
      </c>
      <c r="D180" s="9">
        <f t="shared" si="4"/>
        <v>6.2242316311051926E-3</v>
      </c>
      <c r="F180" s="90">
        <v>44977</v>
      </c>
      <c r="G180" s="91">
        <v>20219.19921875</v>
      </c>
      <c r="H180" s="9">
        <f t="shared" si="5"/>
        <v>-1.4428326863600183E-2</v>
      </c>
    </row>
    <row r="181" spans="2:8">
      <c r="B181" s="90">
        <v>44984</v>
      </c>
      <c r="C181" s="91">
        <v>114.057861328125</v>
      </c>
      <c r="D181" s="9">
        <f t="shared" si="4"/>
        <v>-2.365619262675378E-2</v>
      </c>
      <c r="F181" s="90">
        <v>44984</v>
      </c>
      <c r="G181" s="91">
        <v>20581.599609375</v>
      </c>
      <c r="H181" s="9">
        <f t="shared" si="5"/>
        <v>1.7923577818498959E-2</v>
      </c>
    </row>
    <row r="182" spans="2:8">
      <c r="B182" s="90">
        <v>44991</v>
      </c>
      <c r="C182" s="91">
        <v>112.866493225097</v>
      </c>
      <c r="D182" s="9">
        <f t="shared" si="4"/>
        <v>-1.0445295827532952E-2</v>
      </c>
      <c r="F182" s="90">
        <v>44991</v>
      </c>
      <c r="G182" s="91">
        <v>19774.900390625</v>
      </c>
      <c r="H182" s="9">
        <f t="shared" si="5"/>
        <v>-3.9195166267958381E-2</v>
      </c>
    </row>
    <row r="183" spans="2:8">
      <c r="B183" s="90">
        <v>44998</v>
      </c>
      <c r="C183" s="91">
        <v>113.33521270751901</v>
      </c>
      <c r="D183" s="9">
        <f t="shared" si="4"/>
        <v>4.1528665330923253E-3</v>
      </c>
      <c r="F183" s="90">
        <v>44998</v>
      </c>
      <c r="G183" s="91">
        <v>19387.69921875</v>
      </c>
      <c r="H183" s="9">
        <f t="shared" si="5"/>
        <v>-1.9580436018710179E-2</v>
      </c>
    </row>
    <row r="184" spans="2:8">
      <c r="B184" s="90">
        <v>45005</v>
      </c>
      <c r="C184" s="91">
        <v>113.962608337402</v>
      </c>
      <c r="D184" s="9">
        <f t="shared" si="4"/>
        <v>5.535751995296545E-3</v>
      </c>
      <c r="F184" s="90">
        <v>45005</v>
      </c>
      <c r="G184" s="91">
        <v>19501.5</v>
      </c>
      <c r="H184" s="9">
        <f t="shared" si="5"/>
        <v>5.8697414255293179E-3</v>
      </c>
    </row>
    <row r="185" spans="2:8">
      <c r="B185" s="90">
        <v>45012</v>
      </c>
      <c r="C185" s="91">
        <v>120.70491790771401</v>
      </c>
      <c r="D185" s="9">
        <f t="shared" si="4"/>
        <v>5.9162471521803539E-2</v>
      </c>
      <c r="F185" s="90">
        <v>45012</v>
      </c>
      <c r="G185" s="91">
        <v>20099.900390625</v>
      </c>
      <c r="H185" s="9">
        <f t="shared" si="5"/>
        <v>3.0684839146988718E-2</v>
      </c>
    </row>
    <row r="186" spans="2:8">
      <c r="B186" s="90">
        <v>45019</v>
      </c>
      <c r="C186" s="91">
        <v>123.478271484375</v>
      </c>
      <c r="D186" s="9">
        <f t="shared" si="4"/>
        <v>2.297630970414466E-2</v>
      </c>
      <c r="F186" s="90">
        <v>45019</v>
      </c>
      <c r="G186" s="91">
        <v>20196.69921875</v>
      </c>
      <c r="H186" s="9">
        <f t="shared" si="5"/>
        <v>4.8158859618103733E-3</v>
      </c>
    </row>
    <row r="187" spans="2:8">
      <c r="B187" s="90">
        <v>45026</v>
      </c>
      <c r="C187" s="91">
        <v>123.63507080078099</v>
      </c>
      <c r="D187" s="9">
        <f t="shared" si="4"/>
        <v>1.2698535096180574E-3</v>
      </c>
      <c r="F187" s="90">
        <v>45026</v>
      </c>
      <c r="G187" s="91">
        <v>20579.900390625</v>
      </c>
      <c r="H187" s="9">
        <f t="shared" si="5"/>
        <v>1.8973455401031458E-2</v>
      </c>
    </row>
    <row r="188" spans="2:8">
      <c r="B188" s="90">
        <v>45033</v>
      </c>
      <c r="C188" s="91">
        <v>122.41008758544901</v>
      </c>
      <c r="D188" s="9">
        <f t="shared" si="4"/>
        <v>-9.9080560830985265E-3</v>
      </c>
      <c r="F188" s="90">
        <v>45033</v>
      </c>
      <c r="G188" s="91">
        <v>20693.19921875</v>
      </c>
      <c r="H188" s="9">
        <f t="shared" si="5"/>
        <v>5.5053146990260426E-3</v>
      </c>
    </row>
    <row r="189" spans="2:8">
      <c r="B189" s="90">
        <v>45040</v>
      </c>
      <c r="C189" s="91">
        <v>124.87965393066401</v>
      </c>
      <c r="D189" s="9">
        <f t="shared" si="4"/>
        <v>2.0174532948447732E-2</v>
      </c>
      <c r="F189" s="90">
        <v>45040</v>
      </c>
      <c r="G189" s="91">
        <v>20636.5</v>
      </c>
      <c r="H189" s="9">
        <f t="shared" si="5"/>
        <v>-2.7399928909312976E-3</v>
      </c>
    </row>
    <row r="190" spans="2:8">
      <c r="B190" s="90">
        <v>45047</v>
      </c>
      <c r="C190" s="91">
        <v>119.891510009765</v>
      </c>
      <c r="D190" s="9">
        <f t="shared" si="4"/>
        <v>-3.9943607816758764E-2</v>
      </c>
      <c r="F190" s="90">
        <v>45047</v>
      </c>
      <c r="G190" s="91">
        <v>20542</v>
      </c>
      <c r="H190" s="9">
        <f t="shared" si="5"/>
        <v>-4.5792648947253767E-3</v>
      </c>
    </row>
    <row r="191" spans="2:8">
      <c r="B191" s="90">
        <v>45054</v>
      </c>
      <c r="C191" s="91">
        <v>120.97930145263599</v>
      </c>
      <c r="D191" s="9">
        <f t="shared" si="4"/>
        <v>9.0731315568750581E-3</v>
      </c>
      <c r="F191" s="90">
        <v>45054</v>
      </c>
      <c r="G191" s="91">
        <v>20419.599609375</v>
      </c>
      <c r="H191" s="9">
        <f t="shared" si="5"/>
        <v>-5.9585430155291164E-3</v>
      </c>
    </row>
    <row r="192" spans="2:8">
      <c r="B192" s="90">
        <v>45061</v>
      </c>
      <c r="C192" s="91">
        <v>120.518714904785</v>
      </c>
      <c r="D192" s="9">
        <f t="shared" si="4"/>
        <v>-3.8071516558666474E-3</v>
      </c>
      <c r="F192" s="90">
        <v>45061</v>
      </c>
      <c r="G192" s="91">
        <v>20351.099609375</v>
      </c>
      <c r="H192" s="9">
        <f t="shared" si="5"/>
        <v>-3.3546201350858063E-3</v>
      </c>
    </row>
    <row r="193" spans="2:8">
      <c r="B193" s="90">
        <v>45068</v>
      </c>
      <c r="C193" s="91">
        <v>118.431343078613</v>
      </c>
      <c r="D193" s="9">
        <f t="shared" si="4"/>
        <v>-1.7319897808577789E-2</v>
      </c>
      <c r="F193" s="90">
        <v>45068</v>
      </c>
      <c r="G193" s="91">
        <v>19920.30078125</v>
      </c>
      <c r="H193" s="9">
        <f t="shared" si="5"/>
        <v>-2.1168331755722303E-2</v>
      </c>
    </row>
    <row r="194" spans="2:8">
      <c r="B194" s="90">
        <v>45075</v>
      </c>
      <c r="C194" s="91">
        <v>116.11856842041</v>
      </c>
      <c r="D194" s="9">
        <f t="shared" si="4"/>
        <v>-1.9528400152211467E-2</v>
      </c>
      <c r="F194" s="90">
        <v>45075</v>
      </c>
      <c r="G194" s="91">
        <v>20024.599609375</v>
      </c>
      <c r="H194" s="9">
        <f t="shared" si="5"/>
        <v>5.2358058881907255E-3</v>
      </c>
    </row>
    <row r="195" spans="2:8">
      <c r="B195" s="90">
        <v>45082</v>
      </c>
      <c r="C195" s="91">
        <v>114.12920379638599</v>
      </c>
      <c r="D195" s="9">
        <f t="shared" si="4"/>
        <v>-1.7132183517983623E-2</v>
      </c>
      <c r="F195" s="90">
        <v>45082</v>
      </c>
      <c r="G195" s="91">
        <v>19892.099609375</v>
      </c>
      <c r="H195" s="9">
        <f t="shared" si="5"/>
        <v>-6.6168613897261697E-3</v>
      </c>
    </row>
    <row r="196" spans="2:8">
      <c r="B196" s="90">
        <v>45089</v>
      </c>
      <c r="C196" s="91">
        <v>112.914016723632</v>
      </c>
      <c r="D196" s="9">
        <f t="shared" si="4"/>
        <v>-1.0647468240661428E-2</v>
      </c>
      <c r="F196" s="90">
        <v>45089</v>
      </c>
      <c r="G196" s="91">
        <v>19975.400390625</v>
      </c>
      <c r="H196" s="9">
        <f t="shared" si="5"/>
        <v>4.187631415777826E-3</v>
      </c>
    </row>
    <row r="197" spans="2:8">
      <c r="B197" s="90">
        <v>45096</v>
      </c>
      <c r="C197" s="91">
        <v>114.496276855468</v>
      </c>
      <c r="D197" s="9">
        <f t="shared" si="4"/>
        <v>1.4012964711978437E-2</v>
      </c>
      <c r="F197" s="90">
        <v>45096</v>
      </c>
      <c r="G197" s="91">
        <v>19418.19921875</v>
      </c>
      <c r="H197" s="9">
        <f t="shared" si="5"/>
        <v>-2.7894368121727853E-2</v>
      </c>
    </row>
    <row r="198" spans="2:8">
      <c r="B198" s="90">
        <v>45103</v>
      </c>
      <c r="C198" s="91">
        <v>119.30672454833901</v>
      </c>
      <c r="D198" s="9">
        <f t="shared" si="4"/>
        <v>4.2014009756346837E-2</v>
      </c>
      <c r="F198" s="90">
        <v>45103</v>
      </c>
      <c r="G198" s="91">
        <v>20155.30078125</v>
      </c>
      <c r="H198" s="9">
        <f t="shared" si="5"/>
        <v>3.7959316113528319E-2</v>
      </c>
    </row>
    <row r="199" spans="2:8">
      <c r="B199" s="90">
        <v>45110</v>
      </c>
      <c r="C199" s="91">
        <v>116.729354858398</v>
      </c>
      <c r="D199" s="9">
        <f t="shared" si="4"/>
        <v>-2.1602887009916527E-2</v>
      </c>
      <c r="F199" s="90">
        <v>45110</v>
      </c>
      <c r="G199" s="91">
        <v>19831</v>
      </c>
      <c r="H199" s="9">
        <f t="shared" si="5"/>
        <v>-1.6090098816669118E-2</v>
      </c>
    </row>
    <row r="200" spans="2:8">
      <c r="B200" s="90">
        <v>45117</v>
      </c>
      <c r="C200" s="91">
        <v>117.75242614746</v>
      </c>
      <c r="D200" s="9">
        <f t="shared" si="4"/>
        <v>8.7644730865090725E-3</v>
      </c>
      <c r="F200" s="90">
        <v>45117</v>
      </c>
      <c r="G200" s="91">
        <v>20262.099609375</v>
      </c>
      <c r="H200" s="9">
        <f t="shared" si="5"/>
        <v>2.1738672249256297E-2</v>
      </c>
    </row>
    <row r="201" spans="2:8">
      <c r="B201" s="90">
        <v>45124</v>
      </c>
      <c r="C201" s="91">
        <v>118.40168762207</v>
      </c>
      <c r="D201" s="9">
        <f t="shared" si="4"/>
        <v>5.5137842662955627E-3</v>
      </c>
      <c r="F201" s="90">
        <v>45124</v>
      </c>
      <c r="G201" s="91">
        <v>20547.5</v>
      </c>
      <c r="H201" s="9">
        <f t="shared" si="5"/>
        <v>1.4085430243021335E-2</v>
      </c>
    </row>
    <row r="202" spans="2:8">
      <c r="B202" s="90">
        <v>45131</v>
      </c>
      <c r="C202" s="91">
        <v>114.85042572021401</v>
      </c>
      <c r="D202" s="9">
        <f t="shared" si="4"/>
        <v>-2.9993338550978965E-2</v>
      </c>
      <c r="F202" s="90">
        <v>45131</v>
      </c>
      <c r="G202" s="91">
        <v>20519.400390625</v>
      </c>
      <c r="H202" s="9">
        <f t="shared" si="5"/>
        <v>-1.3675439530356215E-3</v>
      </c>
    </row>
    <row r="203" spans="2:8">
      <c r="B203" s="90">
        <v>45138</v>
      </c>
      <c r="C203" s="91">
        <v>114.01425170898401</v>
      </c>
      <c r="D203" s="9">
        <f t="shared" si="4"/>
        <v>-7.2805477732141854E-3</v>
      </c>
      <c r="F203" s="90">
        <v>45138</v>
      </c>
      <c r="G203" s="91">
        <v>20236</v>
      </c>
      <c r="H203" s="9">
        <f t="shared" si="5"/>
        <v>-1.3811338793041972E-2</v>
      </c>
    </row>
    <row r="204" spans="2:8">
      <c r="B204" s="90">
        <v>45145</v>
      </c>
      <c r="C204" s="91">
        <v>116.089920043945</v>
      </c>
      <c r="D204" s="9">
        <f t="shared" ref="D204:D267" si="6">C204/C203-1</f>
        <v>1.8205341032795141E-2</v>
      </c>
      <c r="F204" s="90">
        <v>45145</v>
      </c>
      <c r="G204" s="91">
        <v>20407.599609375</v>
      </c>
      <c r="H204" s="9">
        <f t="shared" ref="H204:H267" si="7">G204/G203-1</f>
        <v>8.4799174429235347E-3</v>
      </c>
    </row>
    <row r="205" spans="2:8">
      <c r="B205" s="90">
        <v>45152</v>
      </c>
      <c r="C205" s="91">
        <v>113.83717346191401</v>
      </c>
      <c r="D205" s="9">
        <f t="shared" si="6"/>
        <v>-1.9405186782609829E-2</v>
      </c>
      <c r="F205" s="90">
        <v>45152</v>
      </c>
      <c r="G205" s="91">
        <v>19818.400390625</v>
      </c>
      <c r="H205" s="9">
        <f t="shared" si="7"/>
        <v>-2.8871559126401602E-2</v>
      </c>
    </row>
    <row r="206" spans="2:8">
      <c r="B206" s="90">
        <v>45159</v>
      </c>
      <c r="C206" s="91">
        <v>114.653678894042</v>
      </c>
      <c r="D206" s="9">
        <f t="shared" si="6"/>
        <v>7.1725729592291287E-3</v>
      </c>
      <c r="F206" s="90">
        <v>45159</v>
      </c>
      <c r="G206" s="91">
        <v>19835.80078125</v>
      </c>
      <c r="H206" s="9">
        <f t="shared" si="7"/>
        <v>8.7799167854285542E-4</v>
      </c>
    </row>
    <row r="207" spans="2:8">
      <c r="B207" s="90">
        <v>45166</v>
      </c>
      <c r="C207" s="91">
        <v>116.640808105468</v>
      </c>
      <c r="D207" s="9">
        <f t="shared" si="6"/>
        <v>1.7331578285092908E-2</v>
      </c>
      <c r="F207" s="90">
        <v>45166</v>
      </c>
      <c r="G207" s="91">
        <v>20545.400390625</v>
      </c>
      <c r="H207" s="9">
        <f t="shared" si="7"/>
        <v>3.5773680992287282E-2</v>
      </c>
    </row>
    <row r="208" spans="2:8">
      <c r="B208" s="90">
        <v>45173</v>
      </c>
      <c r="C208" s="91">
        <v>116.207954406738</v>
      </c>
      <c r="D208" s="9">
        <f t="shared" si="6"/>
        <v>-3.7109970837874151E-3</v>
      </c>
      <c r="F208" s="90">
        <v>45173</v>
      </c>
      <c r="G208" s="91">
        <v>20074.69921875</v>
      </c>
      <c r="H208" s="9">
        <f t="shared" si="7"/>
        <v>-2.2910294417517574E-2</v>
      </c>
    </row>
    <row r="209" spans="2:8">
      <c r="B209" s="90">
        <v>45180</v>
      </c>
      <c r="C209" s="91">
        <v>113.492874145507</v>
      </c>
      <c r="D209" s="9">
        <f t="shared" si="6"/>
        <v>-2.3363979471904051E-2</v>
      </c>
      <c r="F209" s="90">
        <v>45180</v>
      </c>
      <c r="G209" s="91">
        <v>20622.30078125</v>
      </c>
      <c r="H209" s="9">
        <f t="shared" si="7"/>
        <v>2.7278195131737348E-2</v>
      </c>
    </row>
    <row r="210" spans="2:8">
      <c r="B210" s="90">
        <v>45187</v>
      </c>
      <c r="C210" s="91">
        <v>111.63404083251901</v>
      </c>
      <c r="D210" s="9">
        <f t="shared" si="6"/>
        <v>-1.637841430119058E-2</v>
      </c>
      <c r="F210" s="90">
        <v>45187</v>
      </c>
      <c r="G210" s="91">
        <v>19780</v>
      </c>
      <c r="H210" s="9">
        <f t="shared" si="7"/>
        <v>-4.08441710837536E-2</v>
      </c>
    </row>
    <row r="211" spans="2:8">
      <c r="B211" s="90">
        <v>45194</v>
      </c>
      <c r="C211" s="91">
        <v>113.95459747314401</v>
      </c>
      <c r="D211" s="9">
        <f t="shared" si="6"/>
        <v>2.0787177668382117E-2</v>
      </c>
      <c r="F211" s="90">
        <v>45194</v>
      </c>
      <c r="G211" s="91">
        <v>19541.30078125</v>
      </c>
      <c r="H211" s="9">
        <f t="shared" si="7"/>
        <v>-1.2067705700202214E-2</v>
      </c>
    </row>
    <row r="212" spans="2:8">
      <c r="B212" s="90">
        <v>45201</v>
      </c>
      <c r="C212" s="91">
        <v>115.001319885253</v>
      </c>
      <c r="D212" s="9">
        <f t="shared" si="6"/>
        <v>9.1854338071413189E-3</v>
      </c>
      <c r="F212" s="90">
        <v>45201</v>
      </c>
      <c r="G212" s="91">
        <v>19246.099609375</v>
      </c>
      <c r="H212" s="9">
        <f t="shared" si="7"/>
        <v>-1.5106526181626889E-2</v>
      </c>
    </row>
    <row r="213" spans="2:8">
      <c r="B213" s="90">
        <v>45208</v>
      </c>
      <c r="C213" s="91">
        <v>112.374641418457</v>
      </c>
      <c r="D213" s="9">
        <f t="shared" si="6"/>
        <v>-2.2840420174454201E-2</v>
      </c>
      <c r="F213" s="90">
        <v>45208</v>
      </c>
      <c r="G213" s="91">
        <v>19462.900390625</v>
      </c>
      <c r="H213" s="9">
        <f t="shared" si="7"/>
        <v>1.1264660666330251E-2</v>
      </c>
    </row>
    <row r="214" spans="2:8">
      <c r="B214" s="90">
        <v>45215</v>
      </c>
      <c r="C214" s="91">
        <v>110.12318420410099</v>
      </c>
      <c r="D214" s="9">
        <f t="shared" si="6"/>
        <v>-2.0035278297103609E-2</v>
      </c>
      <c r="F214" s="90">
        <v>45215</v>
      </c>
      <c r="G214" s="91">
        <v>19115.599609375</v>
      </c>
      <c r="H214" s="9">
        <f t="shared" si="7"/>
        <v>-1.7844245938662295E-2</v>
      </c>
    </row>
    <row r="215" spans="2:8">
      <c r="B215" s="90">
        <v>45222</v>
      </c>
      <c r="C215" s="91">
        <v>109.22459411621</v>
      </c>
      <c r="D215" s="9">
        <f t="shared" si="6"/>
        <v>-8.1598629242827236E-3</v>
      </c>
      <c r="F215" s="90">
        <v>45222</v>
      </c>
      <c r="G215" s="91">
        <v>18737.400390625</v>
      </c>
      <c r="H215" s="9">
        <f t="shared" si="7"/>
        <v>-1.978484727021157E-2</v>
      </c>
    </row>
    <row r="216" spans="2:8">
      <c r="B216" s="90">
        <v>45229</v>
      </c>
      <c r="C216" s="91">
        <v>118.072364807128</v>
      </c>
      <c r="D216" s="9">
        <f t="shared" si="6"/>
        <v>8.1005297044220326E-2</v>
      </c>
      <c r="F216" s="90">
        <v>45229</v>
      </c>
      <c r="G216" s="91">
        <v>19824.900390625</v>
      </c>
      <c r="H216" s="9">
        <f t="shared" si="7"/>
        <v>5.8039000999525747E-2</v>
      </c>
    </row>
    <row r="217" spans="2:8">
      <c r="B217" s="90">
        <v>45236</v>
      </c>
      <c r="C217" s="91">
        <v>119.790573120117</v>
      </c>
      <c r="D217" s="9">
        <f t="shared" si="6"/>
        <v>1.4552163122977246E-2</v>
      </c>
      <c r="F217" s="90">
        <v>45236</v>
      </c>
      <c r="G217" s="91">
        <v>19654.5</v>
      </c>
      <c r="H217" s="9">
        <f t="shared" si="7"/>
        <v>-8.5952709606339495E-3</v>
      </c>
    </row>
    <row r="218" spans="2:8">
      <c r="B218" s="90">
        <v>45243</v>
      </c>
      <c r="C218" s="91">
        <v>120.234939575195</v>
      </c>
      <c r="D218" s="9">
        <f t="shared" si="6"/>
        <v>3.7095277491694389E-3</v>
      </c>
      <c r="F218" s="90">
        <v>45243</v>
      </c>
      <c r="G218" s="91">
        <v>20175.80078125</v>
      </c>
      <c r="H218" s="9">
        <f t="shared" si="7"/>
        <v>2.6523227823144868E-2</v>
      </c>
    </row>
    <row r="219" spans="2:8">
      <c r="B219" s="90">
        <v>45250</v>
      </c>
      <c r="C219" s="91">
        <v>120.14605712890599</v>
      </c>
      <c r="D219" s="9">
        <f t="shared" si="6"/>
        <v>-7.392397468076739E-4</v>
      </c>
      <c r="F219" s="90">
        <v>45250</v>
      </c>
      <c r="G219" s="91">
        <v>20103.099609375</v>
      </c>
      <c r="H219" s="9">
        <f t="shared" si="7"/>
        <v>-3.6033847014669274E-3</v>
      </c>
    </row>
    <row r="220" spans="2:8">
      <c r="B220" s="90">
        <v>45257</v>
      </c>
      <c r="C220" s="91">
        <v>116.709663391113</v>
      </c>
      <c r="D220" s="9">
        <f t="shared" si="6"/>
        <v>-2.8601802005920662E-2</v>
      </c>
      <c r="F220" s="90">
        <v>45257</v>
      </c>
      <c r="G220" s="91">
        <v>20452.900390625</v>
      </c>
      <c r="H220" s="9">
        <f t="shared" si="7"/>
        <v>1.7400340646318568E-2</v>
      </c>
    </row>
    <row r="221" spans="2:8">
      <c r="B221" s="90">
        <v>45264</v>
      </c>
      <c r="C221" s="91">
        <v>122.49626159667901</v>
      </c>
      <c r="D221" s="9">
        <f t="shared" si="6"/>
        <v>4.958114039087036E-2</v>
      </c>
      <c r="F221" s="90">
        <v>45264</v>
      </c>
      <c r="G221" s="91">
        <v>20331.5</v>
      </c>
      <c r="H221" s="9">
        <f t="shared" si="7"/>
        <v>-5.9356075816340281E-3</v>
      </c>
    </row>
    <row r="222" spans="2:8">
      <c r="B222" s="90">
        <v>45271</v>
      </c>
      <c r="C222" s="91">
        <v>117.094764709472</v>
      </c>
      <c r="D222" s="9">
        <f t="shared" si="6"/>
        <v>-4.4095197819109977E-2</v>
      </c>
      <c r="F222" s="90">
        <v>45271</v>
      </c>
      <c r="G222" s="91">
        <v>20529.19921875</v>
      </c>
      <c r="H222" s="9">
        <f t="shared" si="7"/>
        <v>9.7237891326267256E-3</v>
      </c>
    </row>
    <row r="223" spans="2:8">
      <c r="B223" s="90">
        <v>45278</v>
      </c>
      <c r="C223" s="91">
        <v>124.922981262207</v>
      </c>
      <c r="D223" s="9">
        <f t="shared" si="6"/>
        <v>6.6853685321951462E-2</v>
      </c>
      <c r="F223" s="90">
        <v>45278</v>
      </c>
      <c r="G223" s="91">
        <v>20881.19921875</v>
      </c>
      <c r="H223" s="9">
        <f t="shared" si="7"/>
        <v>1.7146309325037246E-2</v>
      </c>
    </row>
    <row r="224" spans="2:8">
      <c r="B224" s="90">
        <v>45285</v>
      </c>
      <c r="C224" s="91">
        <v>127.12296295166</v>
      </c>
      <c r="D224" s="9">
        <f t="shared" si="6"/>
        <v>1.7610704349389161E-2</v>
      </c>
      <c r="F224" s="90">
        <v>45285</v>
      </c>
      <c r="G224" s="91">
        <v>20958.400390625</v>
      </c>
      <c r="H224" s="9">
        <f t="shared" si="7"/>
        <v>3.6971617897154641E-3</v>
      </c>
    </row>
    <row r="225" spans="2:8">
      <c r="B225" s="90">
        <v>45292</v>
      </c>
      <c r="C225" s="91">
        <v>125.63648986816401</v>
      </c>
      <c r="D225" s="9">
        <f t="shared" si="6"/>
        <v>-1.1693190978102397E-2</v>
      </c>
      <c r="F225" s="90">
        <v>45292</v>
      </c>
      <c r="G225" s="91">
        <v>20937.599609375</v>
      </c>
      <c r="H225" s="9">
        <f t="shared" si="7"/>
        <v>-9.9247942888358587E-4</v>
      </c>
    </row>
    <row r="226" spans="2:8">
      <c r="B226" s="90">
        <v>45299</v>
      </c>
      <c r="C226" s="91">
        <v>128.24276733398401</v>
      </c>
      <c r="D226" s="9">
        <f t="shared" si="6"/>
        <v>2.0744589955950632E-2</v>
      </c>
      <c r="F226" s="90">
        <v>45299</v>
      </c>
      <c r="G226" s="91">
        <v>20990.19921875</v>
      </c>
      <c r="H226" s="9">
        <f t="shared" si="7"/>
        <v>2.512208197517074E-3</v>
      </c>
    </row>
    <row r="227" spans="2:8">
      <c r="B227" s="90">
        <v>45306</v>
      </c>
      <c r="C227" s="91">
        <v>132.75173950195301</v>
      </c>
      <c r="D227" s="9">
        <f t="shared" si="6"/>
        <v>3.5159660554004102E-2</v>
      </c>
      <c r="F227" s="90">
        <v>45306</v>
      </c>
      <c r="G227" s="91">
        <v>20906.5</v>
      </c>
      <c r="H227" s="9">
        <f t="shared" si="7"/>
        <v>-3.9875380827845142E-3</v>
      </c>
    </row>
    <row r="228" spans="2:8">
      <c r="B228" s="90">
        <v>45313</v>
      </c>
      <c r="C228" s="91">
        <v>132.34542846679599</v>
      </c>
      <c r="D228" s="9">
        <f t="shared" si="6"/>
        <v>-3.0606833227299068E-3</v>
      </c>
      <c r="F228" s="90">
        <v>45313</v>
      </c>
      <c r="G228" s="91">
        <v>21125.30078125</v>
      </c>
      <c r="H228" s="9">
        <f t="shared" si="7"/>
        <v>1.0465682024729084E-2</v>
      </c>
    </row>
    <row r="229" spans="2:8">
      <c r="B229" s="90">
        <v>45320</v>
      </c>
      <c r="C229" s="91">
        <v>134.83279418945301</v>
      </c>
      <c r="D229" s="9">
        <f t="shared" si="6"/>
        <v>1.879449673081135E-2</v>
      </c>
      <c r="F229" s="90">
        <v>45320</v>
      </c>
      <c r="G229" s="91">
        <v>21085.099609375</v>
      </c>
      <c r="H229" s="9">
        <f t="shared" si="7"/>
        <v>-1.9029869582107839E-3</v>
      </c>
    </row>
    <row r="230" spans="2:8">
      <c r="B230" s="90">
        <v>45327</v>
      </c>
      <c r="C230" s="91">
        <v>132.79136657714801</v>
      </c>
      <c r="D230" s="9">
        <f t="shared" si="6"/>
        <v>-1.5140438382049703E-2</v>
      </c>
      <c r="F230" s="90">
        <v>45327</v>
      </c>
      <c r="G230" s="91">
        <v>21009.599609375</v>
      </c>
      <c r="H230" s="9">
        <f t="shared" si="7"/>
        <v>-3.5807276891606232E-3</v>
      </c>
    </row>
    <row r="231" spans="2:8">
      <c r="B231" s="90">
        <v>45334</v>
      </c>
      <c r="C231" s="91">
        <v>136.51744079589801</v>
      </c>
      <c r="D231" s="9">
        <f t="shared" si="6"/>
        <v>2.8059611967207632E-2</v>
      </c>
      <c r="F231" s="90">
        <v>45334</v>
      </c>
      <c r="G231" s="91">
        <v>21255.599609375</v>
      </c>
      <c r="H231" s="9">
        <f t="shared" si="7"/>
        <v>1.1708933276873612E-2</v>
      </c>
    </row>
    <row r="232" spans="2:8">
      <c r="B232" s="90">
        <v>45341</v>
      </c>
      <c r="C232" s="91">
        <v>143.29576110839801</v>
      </c>
      <c r="D232" s="9">
        <f t="shared" si="6"/>
        <v>4.9651680202780879E-2</v>
      </c>
      <c r="F232" s="90">
        <v>45341</v>
      </c>
      <c r="G232" s="91">
        <v>21413.19921875</v>
      </c>
      <c r="H232" s="9">
        <f t="shared" si="7"/>
        <v>7.4144984037753936E-3</v>
      </c>
    </row>
    <row r="233" spans="2:8">
      <c r="B233" s="90">
        <v>45348</v>
      </c>
      <c r="C233" s="91">
        <v>143.82098388671801</v>
      </c>
      <c r="D233" s="9">
        <f t="shared" si="6"/>
        <v>3.6653057582261006E-3</v>
      </c>
      <c r="F233" s="90">
        <v>45348</v>
      </c>
      <c r="G233" s="91">
        <v>21552.400390625</v>
      </c>
      <c r="H233" s="9">
        <f t="shared" si="7"/>
        <v>6.5007181062934905E-3</v>
      </c>
    </row>
    <row r="234" spans="2:8">
      <c r="B234" s="90">
        <v>45355</v>
      </c>
      <c r="C234" s="91">
        <v>147.31913757324199</v>
      </c>
      <c r="D234" s="9">
        <f t="shared" si="6"/>
        <v>2.4322971460682963E-2</v>
      </c>
      <c r="F234" s="90">
        <v>45355</v>
      </c>
      <c r="G234" s="91">
        <v>21737.5</v>
      </c>
      <c r="H234" s="9">
        <f t="shared" si="7"/>
        <v>8.5883523886052249E-3</v>
      </c>
    </row>
    <row r="235" spans="2:8">
      <c r="B235" s="90">
        <v>45362</v>
      </c>
      <c r="C235" s="91">
        <v>149.28128051757801</v>
      </c>
      <c r="D235" s="9">
        <f t="shared" si="6"/>
        <v>1.3318995594584715E-2</v>
      </c>
      <c r="F235" s="90">
        <v>45362</v>
      </c>
      <c r="G235" s="91">
        <v>21849.19921875</v>
      </c>
      <c r="H235" s="9">
        <f t="shared" si="7"/>
        <v>5.1385494537090626E-3</v>
      </c>
    </row>
    <row r="236" spans="2:8">
      <c r="B236" s="90">
        <v>45369</v>
      </c>
      <c r="C236" s="91">
        <v>151.89869689941401</v>
      </c>
      <c r="D236" s="9">
        <f t="shared" si="6"/>
        <v>1.7533453442796443E-2</v>
      </c>
      <c r="F236" s="90">
        <v>45369</v>
      </c>
      <c r="G236" s="91">
        <v>21984.099609375</v>
      </c>
      <c r="H236" s="9">
        <f t="shared" si="7"/>
        <v>6.174157197909258E-3</v>
      </c>
    </row>
    <row r="237" spans="2:8">
      <c r="B237" s="90">
        <v>45376</v>
      </c>
      <c r="C237" s="91">
        <v>149.18533325195301</v>
      </c>
      <c r="D237" s="9">
        <f t="shared" si="6"/>
        <v>-1.7862981729578342E-2</v>
      </c>
      <c r="F237" s="90">
        <v>45376</v>
      </c>
      <c r="G237" s="91">
        <v>22167</v>
      </c>
      <c r="H237" s="9">
        <f t="shared" si="7"/>
        <v>8.3196671173653147E-3</v>
      </c>
    </row>
    <row r="238" spans="2:8">
      <c r="B238" s="90">
        <v>45383</v>
      </c>
      <c r="C238" s="91">
        <v>148.60887145996</v>
      </c>
      <c r="D238" s="9">
        <f t="shared" si="6"/>
        <v>-3.8640647805467943E-3</v>
      </c>
      <c r="F238" s="90">
        <v>45383</v>
      </c>
      <c r="G238" s="91">
        <v>22264.400390625</v>
      </c>
      <c r="H238" s="9">
        <f t="shared" si="7"/>
        <v>4.3939365103531358E-3</v>
      </c>
    </row>
    <row r="239" spans="2:8">
      <c r="B239" s="90">
        <v>45390</v>
      </c>
      <c r="C239" s="91">
        <v>145.69673156738199</v>
      </c>
      <c r="D239" s="9">
        <f t="shared" si="6"/>
        <v>-1.9596003010914687E-2</v>
      </c>
      <c r="F239" s="90">
        <v>45390</v>
      </c>
      <c r="G239" s="91">
        <v>21900</v>
      </c>
      <c r="H239" s="9">
        <f t="shared" si="7"/>
        <v>-1.6366952813983704E-2</v>
      </c>
    </row>
    <row r="240" spans="2:8">
      <c r="B240" s="90">
        <v>45397</v>
      </c>
      <c r="C240" s="91">
        <v>147.36648559570301</v>
      </c>
      <c r="D240" s="9">
        <f t="shared" si="6"/>
        <v>1.1460476912268813E-2</v>
      </c>
      <c r="F240" s="90">
        <v>45397</v>
      </c>
      <c r="G240" s="91">
        <v>21807.400390625</v>
      </c>
      <c r="H240" s="9">
        <f t="shared" si="7"/>
        <v>-4.2282926655251574E-3</v>
      </c>
    </row>
    <row r="241" spans="2:8">
      <c r="B241" s="90">
        <v>45404</v>
      </c>
      <c r="C241" s="91">
        <v>151.44149780273401</v>
      </c>
      <c r="D241" s="9">
        <f t="shared" si="6"/>
        <v>2.7652231717126607E-2</v>
      </c>
      <c r="F241" s="90">
        <v>45404</v>
      </c>
      <c r="G241" s="91">
        <v>21969.19921875</v>
      </c>
      <c r="H241" s="9">
        <f t="shared" si="7"/>
        <v>7.4194459324257167E-3</v>
      </c>
    </row>
    <row r="242" spans="2:8">
      <c r="B242" s="90">
        <v>45411</v>
      </c>
      <c r="C242" s="91">
        <v>152.99198913574199</v>
      </c>
      <c r="D242" s="9">
        <f t="shared" si="6"/>
        <v>1.0238219744944876E-2</v>
      </c>
      <c r="F242" s="90">
        <v>45411</v>
      </c>
      <c r="G242" s="91">
        <v>21947.400390625</v>
      </c>
      <c r="H242" s="9">
        <f t="shared" si="7"/>
        <v>-9.9224500210259858E-4</v>
      </c>
    </row>
    <row r="243" spans="2:8">
      <c r="B243" s="90">
        <v>45418</v>
      </c>
      <c r="C243" s="91">
        <v>155.16864013671801</v>
      </c>
      <c r="D243" s="9">
        <f t="shared" si="6"/>
        <v>1.422722204784721E-2</v>
      </c>
      <c r="F243" s="90">
        <v>45418</v>
      </c>
      <c r="G243" s="91">
        <v>22308.900390625</v>
      </c>
      <c r="H243" s="9">
        <f t="shared" si="7"/>
        <v>1.6471199028857075E-2</v>
      </c>
    </row>
    <row r="244" spans="2:8">
      <c r="B244" s="90">
        <v>45425</v>
      </c>
      <c r="C244" s="91">
        <v>156.52035522460901</v>
      </c>
      <c r="D244" s="9">
        <f t="shared" si="6"/>
        <v>8.7112646389115866E-3</v>
      </c>
      <c r="F244" s="90">
        <v>45425</v>
      </c>
      <c r="G244" s="91">
        <v>22465.400390625</v>
      </c>
      <c r="H244" s="9">
        <f t="shared" si="7"/>
        <v>7.0151373335176626E-3</v>
      </c>
    </row>
    <row r="245" spans="2:8">
      <c r="B245" s="90">
        <v>45432</v>
      </c>
      <c r="C245" s="91">
        <v>155.70535278320301</v>
      </c>
      <c r="D245" s="9">
        <f t="shared" si="6"/>
        <v>-5.2070060806880258E-3</v>
      </c>
      <c r="F245" s="90">
        <v>45432</v>
      </c>
      <c r="G245" s="91">
        <v>22320.900390625</v>
      </c>
      <c r="H245" s="9">
        <f t="shared" si="7"/>
        <v>-6.4321132714064699E-3</v>
      </c>
    </row>
    <row r="246" spans="2:8">
      <c r="B246" s="90">
        <v>45439</v>
      </c>
      <c r="C246" s="91">
        <v>157.33537292480401</v>
      </c>
      <c r="D246" s="9">
        <f t="shared" si="6"/>
        <v>1.0468619815983793E-2</v>
      </c>
      <c r="F246" s="90">
        <v>45439</v>
      </c>
      <c r="G246" s="91">
        <v>22269.099609375</v>
      </c>
      <c r="H246" s="9">
        <f t="shared" si="7"/>
        <v>-2.3207299142715687E-3</v>
      </c>
    </row>
    <row r="247" spans="2:8">
      <c r="B247" s="90">
        <v>45446</v>
      </c>
      <c r="C247" s="91">
        <v>159.94934082031199</v>
      </c>
      <c r="D247" s="9">
        <f t="shared" si="6"/>
        <v>1.6613987350176496E-2</v>
      </c>
      <c r="F247" s="90">
        <v>45446</v>
      </c>
      <c r="G247" s="91">
        <v>22007</v>
      </c>
      <c r="H247" s="9">
        <f t="shared" si="7"/>
        <v>-1.1769654542506003E-2</v>
      </c>
    </row>
    <row r="248" spans="2:8">
      <c r="B248" s="90">
        <v>45453</v>
      </c>
      <c r="C248" s="91">
        <v>155.39724731445301</v>
      </c>
      <c r="D248" s="9">
        <f t="shared" si="6"/>
        <v>-2.8459595285064809E-2</v>
      </c>
      <c r="F248" s="90">
        <v>45453</v>
      </c>
      <c r="G248" s="91">
        <v>21639.099609375</v>
      </c>
      <c r="H248" s="9">
        <f t="shared" si="7"/>
        <v>-1.6717425847457612E-2</v>
      </c>
    </row>
    <row r="249" spans="2:8">
      <c r="B249" s="90">
        <v>45460</v>
      </c>
      <c r="C249" s="91">
        <v>153.800521850585</v>
      </c>
      <c r="D249" s="9">
        <f t="shared" si="6"/>
        <v>-1.0275120643784441E-2</v>
      </c>
      <c r="F249" s="90">
        <v>45460</v>
      </c>
      <c r="G249" s="91">
        <v>21554.900390625</v>
      </c>
      <c r="H249" s="9">
        <f t="shared" si="7"/>
        <v>-3.8910684949904351E-3</v>
      </c>
    </row>
    <row r="250" spans="2:8">
      <c r="B250" s="90">
        <v>45467</v>
      </c>
      <c r="C250" s="91">
        <v>158.247802734375</v>
      </c>
      <c r="D250" s="9">
        <f t="shared" si="6"/>
        <v>2.8915902431790652E-2</v>
      </c>
      <c r="F250" s="90">
        <v>45467</v>
      </c>
      <c r="G250" s="91">
        <v>21875.80078125</v>
      </c>
      <c r="H250" s="9">
        <f t="shared" si="7"/>
        <v>1.4887584020781164E-2</v>
      </c>
    </row>
    <row r="251" spans="2:8">
      <c r="B251" s="90">
        <v>45474</v>
      </c>
      <c r="C251" s="91">
        <v>162.88456726074199</v>
      </c>
      <c r="D251" s="9">
        <f t="shared" si="6"/>
        <v>2.9300656604692277E-2</v>
      </c>
      <c r="F251" s="90">
        <v>45474</v>
      </c>
      <c r="G251" s="91">
        <v>22059</v>
      </c>
      <c r="H251" s="9">
        <f t="shared" si="7"/>
        <v>8.37451486150953E-3</v>
      </c>
    </row>
    <row r="252" spans="2:8">
      <c r="B252" s="90">
        <v>45481</v>
      </c>
      <c r="C252" s="91">
        <v>165.83612060546801</v>
      </c>
      <c r="D252" s="9">
        <f t="shared" si="6"/>
        <v>1.8120521755761176E-2</v>
      </c>
      <c r="F252" s="90">
        <v>45481</v>
      </c>
      <c r="G252" s="91">
        <v>22673.5</v>
      </c>
      <c r="H252" s="9">
        <f t="shared" si="7"/>
        <v>2.7857110476449565E-2</v>
      </c>
    </row>
    <row r="253" spans="2:8">
      <c r="B253" s="90">
        <v>45488</v>
      </c>
      <c r="C253" s="91">
        <v>168.79766845703099</v>
      </c>
      <c r="D253" s="9">
        <f t="shared" si="6"/>
        <v>1.7858279853329773E-2</v>
      </c>
      <c r="F253" s="90">
        <v>45488</v>
      </c>
      <c r="G253" s="91">
        <v>22690.400390625</v>
      </c>
      <c r="H253" s="9">
        <f t="shared" si="7"/>
        <v>7.45380758374381E-4</v>
      </c>
    </row>
    <row r="254" spans="2:8">
      <c r="B254" s="90">
        <v>45495</v>
      </c>
      <c r="C254" s="91">
        <v>168.24922180175699</v>
      </c>
      <c r="D254" s="9">
        <f t="shared" si="6"/>
        <v>-3.249136438241873E-3</v>
      </c>
      <c r="F254" s="90">
        <v>45495</v>
      </c>
      <c r="G254" s="91">
        <v>22814.80078125</v>
      </c>
      <c r="H254" s="9">
        <f t="shared" si="7"/>
        <v>5.4825119206092232E-3</v>
      </c>
    </row>
    <row r="255" spans="2:8">
      <c r="B255" s="90">
        <v>45502</v>
      </c>
      <c r="C255" s="91">
        <v>166.88313293457</v>
      </c>
      <c r="D255" s="9">
        <f t="shared" si="6"/>
        <v>-8.1194364678643938E-3</v>
      </c>
      <c r="F255" s="90">
        <v>45502</v>
      </c>
      <c r="G255" s="91">
        <v>22227.599609375</v>
      </c>
      <c r="H255" s="9">
        <f t="shared" si="7"/>
        <v>-2.5737729533785059E-2</v>
      </c>
    </row>
    <row r="256" spans="2:8">
      <c r="B256" s="90">
        <v>45509</v>
      </c>
      <c r="C256" s="91">
        <v>164.49993896484301</v>
      </c>
      <c r="D256" s="9">
        <f t="shared" si="6"/>
        <v>-1.4280616188224182E-2</v>
      </c>
      <c r="F256" s="90">
        <v>45509</v>
      </c>
      <c r="G256" s="91">
        <v>22311.30078125</v>
      </c>
      <c r="H256" s="9">
        <f t="shared" si="7"/>
        <v>3.7656415153211054E-3</v>
      </c>
    </row>
    <row r="257" spans="2:8">
      <c r="B257" s="90">
        <v>45516</v>
      </c>
      <c r="C257" s="91">
        <v>172.18797302246</v>
      </c>
      <c r="D257" s="9">
        <f t="shared" si="6"/>
        <v>4.6735786687799763E-2</v>
      </c>
      <c r="F257" s="90">
        <v>45516</v>
      </c>
      <c r="G257" s="91">
        <v>23054.599609375</v>
      </c>
      <c r="H257" s="9">
        <f t="shared" si="7"/>
        <v>3.331490330450193E-2</v>
      </c>
    </row>
    <row r="258" spans="2:8">
      <c r="B258" s="90">
        <v>45523</v>
      </c>
      <c r="C258" s="91">
        <v>172.41732788085901</v>
      </c>
      <c r="D258" s="9">
        <f t="shared" si="6"/>
        <v>1.3320027779704091E-3</v>
      </c>
      <c r="F258" s="90">
        <v>45523</v>
      </c>
      <c r="G258" s="91">
        <v>23286.099609375</v>
      </c>
      <c r="H258" s="9">
        <f t="shared" si="7"/>
        <v>1.0041380198416494E-2</v>
      </c>
    </row>
    <row r="259" spans="2:8">
      <c r="B259" s="90">
        <v>45530</v>
      </c>
      <c r="C259" s="91">
        <v>175.37886047363199</v>
      </c>
      <c r="D259" s="9">
        <f t="shared" si="6"/>
        <v>1.717653688972276E-2</v>
      </c>
      <c r="F259" s="90">
        <v>45530</v>
      </c>
      <c r="G259" s="91">
        <v>23346.19921875</v>
      </c>
      <c r="H259" s="9">
        <f t="shared" si="7"/>
        <v>2.5809221116104286E-3</v>
      </c>
    </row>
    <row r="260" spans="2:8">
      <c r="B260" s="90">
        <v>45537</v>
      </c>
      <c r="C260" s="91">
        <v>173.75350952148401</v>
      </c>
      <c r="D260" s="9">
        <f t="shared" si="6"/>
        <v>-9.2676560205632308E-3</v>
      </c>
      <c r="F260" s="90">
        <v>45537</v>
      </c>
      <c r="G260" s="91">
        <v>22781.400390625</v>
      </c>
      <c r="H260" s="9">
        <f t="shared" si="7"/>
        <v>-2.41923245335538E-2</v>
      </c>
    </row>
    <row r="261" spans="2:8">
      <c r="B261" s="90">
        <v>45544</v>
      </c>
      <c r="C261" s="91">
        <v>179.95578002929599</v>
      </c>
      <c r="D261" s="9">
        <f t="shared" si="6"/>
        <v>3.5695799900059555E-2</v>
      </c>
      <c r="F261" s="90">
        <v>45544</v>
      </c>
      <c r="G261" s="91">
        <v>23568.69921875</v>
      </c>
      <c r="H261" s="9">
        <f t="shared" si="7"/>
        <v>3.4558842504211817E-2</v>
      </c>
    </row>
    <row r="262" spans="2:8">
      <c r="B262" s="90">
        <v>45551</v>
      </c>
      <c r="C262" s="91">
        <v>174.46000671386699</v>
      </c>
      <c r="D262" s="9">
        <f t="shared" si="6"/>
        <v>-3.0539576525601575E-2</v>
      </c>
      <c r="F262" s="90">
        <v>45551</v>
      </c>
      <c r="G262" s="91">
        <v>23867.400390625</v>
      </c>
      <c r="H262" s="9">
        <f t="shared" si="7"/>
        <v>1.2673638417743938E-2</v>
      </c>
    </row>
    <row r="263" spans="2:8">
      <c r="B263" s="90">
        <v>45558</v>
      </c>
      <c r="C263" s="91">
        <v>177.74000549316401</v>
      </c>
      <c r="D263" s="9">
        <f t="shared" si="6"/>
        <v>1.8800863539324419E-2</v>
      </c>
      <c r="F263" s="90">
        <v>45558</v>
      </c>
      <c r="G263" s="91">
        <v>23956.80078125</v>
      </c>
      <c r="H263" s="9">
        <f t="shared" si="7"/>
        <v>3.7457112698422446E-3</v>
      </c>
    </row>
    <row r="264" spans="2:8">
      <c r="B264" s="90">
        <v>45565</v>
      </c>
      <c r="C264" s="91">
        <v>172.91000366210901</v>
      </c>
      <c r="D264" s="9">
        <f t="shared" si="6"/>
        <v>-2.7174534048502452E-2</v>
      </c>
      <c r="F264" s="90">
        <v>45565</v>
      </c>
      <c r="G264" s="91">
        <v>24162.80078125</v>
      </c>
      <c r="H264" s="9">
        <f t="shared" si="7"/>
        <v>8.5988109130676893E-3</v>
      </c>
    </row>
    <row r="265" spans="2:8">
      <c r="B265" s="90">
        <v>45572</v>
      </c>
      <c r="C265" s="91">
        <v>177.41000366210901</v>
      </c>
      <c r="D265" s="9">
        <f t="shared" si="6"/>
        <v>2.6025099211689495E-2</v>
      </c>
      <c r="F265" s="90">
        <v>45572</v>
      </c>
      <c r="G265" s="91">
        <v>24471.19921875</v>
      </c>
      <c r="H265" s="9">
        <f t="shared" si="7"/>
        <v>1.2763356379584589E-2</v>
      </c>
    </row>
    <row r="266" spans="2:8">
      <c r="B266" s="90">
        <v>45579</v>
      </c>
      <c r="C266" s="91">
        <v>177.22999572753901</v>
      </c>
      <c r="D266" s="9">
        <f t="shared" si="6"/>
        <v>-1.0146436551167204E-3</v>
      </c>
      <c r="F266" s="90">
        <v>45579</v>
      </c>
      <c r="G266" s="91">
        <v>24822.5</v>
      </c>
      <c r="H266" s="9">
        <f t="shared" si="7"/>
        <v>1.4355683107709405E-2</v>
      </c>
    </row>
    <row r="267" spans="2:8">
      <c r="B267" s="90">
        <v>45586</v>
      </c>
      <c r="C267" s="91">
        <v>173</v>
      </c>
      <c r="D267" s="9">
        <f t="shared" si="6"/>
        <v>-2.3867267559165906E-2</v>
      </c>
      <c r="F267" s="90">
        <v>45586</v>
      </c>
      <c r="G267" s="91">
        <v>24463.69921875</v>
      </c>
      <c r="H267" s="9">
        <f t="shared" si="7"/>
        <v>-1.4454659331251896E-2</v>
      </c>
    </row>
    <row r="268" spans="2:8">
      <c r="B268" s="90">
        <v>45593</v>
      </c>
      <c r="C268" s="91">
        <v>177.41000366210901</v>
      </c>
      <c r="D268" s="9">
        <f>C268/C267-1</f>
        <v>2.5491350648028988E-2</v>
      </c>
      <c r="F268" s="90">
        <v>45593</v>
      </c>
      <c r="G268" s="91">
        <v>24255.19921875</v>
      </c>
      <c r="H268" s="9">
        <f>G268/G267-1</f>
        <v>-8.52283205968285E-3</v>
      </c>
    </row>
    <row r="269" spans="2:8">
      <c r="B269" s="90">
        <v>45600</v>
      </c>
      <c r="C269" s="91">
        <v>185.509994506835</v>
      </c>
      <c r="D269" s="9">
        <f>C269/C268-1</f>
        <v>4.5656900273521428E-2</v>
      </c>
      <c r="F269" s="90">
        <v>45600</v>
      </c>
      <c r="G269" s="91">
        <v>24759.400390625</v>
      </c>
      <c r="H269" s="9">
        <f>G269/G268-1</f>
        <v>2.0787344079418624E-2</v>
      </c>
    </row>
    <row r="270" spans="2:8">
      <c r="B270" s="90">
        <v>45607</v>
      </c>
      <c r="C270" s="91">
        <v>181.49000549316401</v>
      </c>
      <c r="D270" s="9">
        <f>C270/C269-1</f>
        <v>-2.1669932255444446E-2</v>
      </c>
      <c r="F270" s="90">
        <v>45607</v>
      </c>
      <c r="G270" s="91">
        <v>24890.69921875</v>
      </c>
      <c r="H270" s="9">
        <f>G270/G269-1</f>
        <v>5.3029890083571285E-3</v>
      </c>
    </row>
  </sheetData>
  <autoFilter ref="F9:H9" xr:uid="{AABCEDFE-5933-4170-B20F-0519DC1D1AFC}">
    <sortState xmlns:xlrd2="http://schemas.microsoft.com/office/spreadsheetml/2017/richdata2" ref="F10:H114">
      <sortCondition ref="F9"/>
    </sortState>
  </autoFilter>
  <mergeCells count="3">
    <mergeCell ref="B7:D7"/>
    <mergeCell ref="F7:H7"/>
    <mergeCell ref="K7:M7"/>
  </mergeCells>
  <phoneticPr fontId="18" type="noConversion"/>
  <pageMargins left="0.7" right="0.7" top="0.75" bottom="0.75" header="0.3" footer="0.3"/>
  <pageSetup paperSize="9" scale="62" fitToHeight="0" orientation="landscape" r:id="rId1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A45B-0D39-4316-98FC-7811B624EE8C}">
  <sheetPr>
    <tabColor rgb="FF002060"/>
  </sheetPr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98BE-EBC7-4AD9-BA75-720CF51BC97B}">
  <sheetPr>
    <tabColor rgb="FFC00000"/>
  </sheetPr>
  <dimension ref="B2:I42"/>
  <sheetViews>
    <sheetView topLeftCell="A17" workbookViewId="0">
      <selection activeCell="C39" sqref="C39"/>
    </sheetView>
  </sheetViews>
  <sheetFormatPr defaultRowHeight="14.4"/>
  <cols>
    <col min="2" max="2" width="51.6640625" bestFit="1" customWidth="1"/>
    <col min="3" max="5" width="12" bestFit="1" customWidth="1"/>
    <col min="6" max="6" width="18.21875" bestFit="1" customWidth="1"/>
  </cols>
  <sheetData>
    <row r="2" spans="2:9">
      <c r="B2" t="s">
        <v>41</v>
      </c>
      <c r="C2" s="1">
        <v>44196</v>
      </c>
      <c r="D2" s="1">
        <v>44561</v>
      </c>
      <c r="E2" s="1">
        <v>44926</v>
      </c>
      <c r="F2" s="1">
        <v>45291</v>
      </c>
    </row>
    <row r="3" spans="2:9">
      <c r="B3" t="s">
        <v>1</v>
      </c>
      <c r="C3">
        <v>0</v>
      </c>
      <c r="D3">
        <v>0</v>
      </c>
      <c r="E3">
        <v>0</v>
      </c>
      <c r="F3">
        <v>0</v>
      </c>
    </row>
    <row r="4" spans="2:9">
      <c r="B4" t="s">
        <v>2</v>
      </c>
      <c r="C4">
        <v>0.26600000000000001</v>
      </c>
      <c r="D4">
        <v>0.191</v>
      </c>
      <c r="E4">
        <v>0.25</v>
      </c>
      <c r="F4">
        <v>0.246</v>
      </c>
    </row>
    <row r="5" spans="2:9">
      <c r="B5" t="s">
        <v>3</v>
      </c>
      <c r="C5">
        <v>4971000000</v>
      </c>
      <c r="D5">
        <v>5797000000</v>
      </c>
      <c r="E5">
        <v>6170000000</v>
      </c>
      <c r="F5">
        <v>6644000000</v>
      </c>
    </row>
    <row r="6" spans="2:9">
      <c r="B6" t="s">
        <v>4</v>
      </c>
      <c r="C6">
        <v>1108000000</v>
      </c>
      <c r="D6">
        <v>1875000000</v>
      </c>
      <c r="E6">
        <v>1921000000</v>
      </c>
      <c r="F6">
        <v>2100000000</v>
      </c>
    </row>
    <row r="7" spans="2:9">
      <c r="B7" t="s">
        <v>5</v>
      </c>
      <c r="C7">
        <v>2596000000</v>
      </c>
      <c r="D7">
        <v>2664000000</v>
      </c>
      <c r="E7">
        <v>2795000000</v>
      </c>
      <c r="F7">
        <v>2906000000</v>
      </c>
    </row>
    <row r="8" spans="2:9">
      <c r="B8" t="s">
        <v>6</v>
      </c>
      <c r="C8">
        <v>36725000000</v>
      </c>
      <c r="D8">
        <v>36436000000</v>
      </c>
      <c r="E8">
        <v>38528000000</v>
      </c>
      <c r="F8">
        <v>40492000000</v>
      </c>
    </row>
    <row r="9" spans="2:9">
      <c r="B9" t="s">
        <v>7</v>
      </c>
      <c r="C9">
        <v>4971000000</v>
      </c>
      <c r="D9">
        <v>5797000000</v>
      </c>
      <c r="E9">
        <v>6170000000</v>
      </c>
      <c r="F9">
        <v>6644000000</v>
      </c>
    </row>
    <row r="10" spans="2:9">
      <c r="B10" t="s">
        <v>8</v>
      </c>
      <c r="C10">
        <v>2375000000</v>
      </c>
      <c r="D10">
        <v>3133000000</v>
      </c>
      <c r="E10">
        <v>3375000000</v>
      </c>
      <c r="F10">
        <v>3738000000</v>
      </c>
    </row>
    <row r="11" spans="2:9">
      <c r="B11" t="s">
        <v>9</v>
      </c>
      <c r="C11">
        <v>-742000000</v>
      </c>
      <c r="D11">
        <v>-495000000</v>
      </c>
      <c r="E11">
        <v>-683000000</v>
      </c>
      <c r="F11">
        <v>-803000000</v>
      </c>
    </row>
    <row r="12" spans="2:9">
      <c r="B12" t="s">
        <v>10</v>
      </c>
      <c r="C12">
        <v>752000000</v>
      </c>
      <c r="D12">
        <v>691000000</v>
      </c>
      <c r="E12">
        <v>716000000</v>
      </c>
      <c r="F12">
        <v>837000000</v>
      </c>
    </row>
    <row r="13" spans="2:9">
      <c r="B13" t="s">
        <v>11</v>
      </c>
      <c r="C13">
        <v>10000000</v>
      </c>
      <c r="D13">
        <v>196000000</v>
      </c>
      <c r="E13">
        <v>33000000</v>
      </c>
      <c r="F13">
        <v>34000000</v>
      </c>
      <c r="I13" s="6"/>
    </row>
    <row r="14" spans="2:9">
      <c r="B14" t="s">
        <v>12</v>
      </c>
      <c r="C14">
        <v>1108000000</v>
      </c>
      <c r="D14">
        <v>1875000000</v>
      </c>
      <c r="E14">
        <v>1921000000</v>
      </c>
      <c r="F14">
        <v>2100000000</v>
      </c>
    </row>
    <row r="15" spans="2:9">
      <c r="B15" t="s">
        <v>13</v>
      </c>
      <c r="C15">
        <v>1108000000</v>
      </c>
      <c r="D15">
        <v>1875000000</v>
      </c>
      <c r="E15">
        <v>1921000000</v>
      </c>
      <c r="F15">
        <v>2100000000</v>
      </c>
    </row>
    <row r="16" spans="2:9">
      <c r="B16" t="s">
        <v>14</v>
      </c>
      <c r="C16">
        <v>50349000000</v>
      </c>
      <c r="D16">
        <v>50233000000</v>
      </c>
      <c r="E16">
        <v>53162000000</v>
      </c>
      <c r="F16">
        <v>55825000000</v>
      </c>
    </row>
    <row r="17" spans="2:6">
      <c r="B17" t="s">
        <v>15</v>
      </c>
      <c r="C17">
        <v>2365000000</v>
      </c>
      <c r="D17">
        <v>2937000000</v>
      </c>
      <c r="E17">
        <v>3342000000</v>
      </c>
      <c r="F17">
        <v>3704000000</v>
      </c>
    </row>
    <row r="18" spans="2:6">
      <c r="B18" t="s">
        <v>16</v>
      </c>
      <c r="C18">
        <v>358200000</v>
      </c>
      <c r="D18">
        <v>341800000</v>
      </c>
      <c r="E18">
        <v>331700000</v>
      </c>
      <c r="F18">
        <v>320000000</v>
      </c>
    </row>
    <row r="19" spans="2:6">
      <c r="B19" t="s">
        <v>17</v>
      </c>
      <c r="C19">
        <v>355500000</v>
      </c>
      <c r="D19">
        <v>339100000</v>
      </c>
      <c r="E19">
        <v>328100000</v>
      </c>
      <c r="F19">
        <v>316700000</v>
      </c>
    </row>
    <row r="20" spans="2:6">
      <c r="B20" t="s">
        <v>18</v>
      </c>
      <c r="C20">
        <v>3.06</v>
      </c>
      <c r="D20">
        <v>5.45</v>
      </c>
      <c r="E20">
        <v>5.75</v>
      </c>
      <c r="F20">
        <v>6.52</v>
      </c>
    </row>
    <row r="21" spans="2:6">
      <c r="B21" t="s">
        <v>19</v>
      </c>
      <c r="C21">
        <v>3.08</v>
      </c>
      <c r="D21">
        <v>5.49</v>
      </c>
      <c r="E21">
        <v>5.82</v>
      </c>
      <c r="F21">
        <v>6.59</v>
      </c>
    </row>
    <row r="22" spans="2:6">
      <c r="B22" t="s">
        <v>20</v>
      </c>
      <c r="C22">
        <v>1096000000</v>
      </c>
      <c r="D22">
        <v>1863000000</v>
      </c>
      <c r="E22">
        <v>1909000000</v>
      </c>
      <c r="F22">
        <v>2088000000</v>
      </c>
    </row>
    <row r="23" spans="2:6">
      <c r="B23" t="s">
        <v>21</v>
      </c>
      <c r="C23">
        <v>1096000000</v>
      </c>
      <c r="D23">
        <v>1863000000</v>
      </c>
      <c r="E23">
        <v>1909000000</v>
      </c>
      <c r="F23">
        <v>2088000000</v>
      </c>
    </row>
    <row r="24" spans="2:6">
      <c r="B24" t="s">
        <v>22</v>
      </c>
      <c r="C24">
        <v>12000000</v>
      </c>
      <c r="D24">
        <v>12000000</v>
      </c>
      <c r="E24">
        <v>12000000</v>
      </c>
      <c r="F24">
        <v>12000000</v>
      </c>
    </row>
    <row r="25" spans="2:6">
      <c r="B25" t="s">
        <v>23</v>
      </c>
      <c r="C25">
        <v>1108000000</v>
      </c>
      <c r="D25">
        <v>1875000000</v>
      </c>
      <c r="E25">
        <v>1921000000</v>
      </c>
      <c r="F25">
        <v>2100000000</v>
      </c>
    </row>
    <row r="26" spans="2:6">
      <c r="B26" t="s">
        <v>24</v>
      </c>
      <c r="C26">
        <v>-84000000</v>
      </c>
      <c r="D26">
        <v>-101000000</v>
      </c>
      <c r="E26">
        <v>-73000000</v>
      </c>
      <c r="F26">
        <v>-87000000</v>
      </c>
    </row>
    <row r="27" spans="2:6">
      <c r="B27" t="s">
        <v>25</v>
      </c>
      <c r="C27">
        <v>1192000000</v>
      </c>
      <c r="D27">
        <v>1976000000</v>
      </c>
      <c r="E27">
        <v>1994000000</v>
      </c>
      <c r="F27">
        <v>2187000000</v>
      </c>
    </row>
    <row r="28" spans="2:6">
      <c r="B28" t="s">
        <v>26</v>
      </c>
    </row>
    <row r="29" spans="2:6">
      <c r="B29" t="s">
        <v>27</v>
      </c>
      <c r="C29">
        <v>1192000000</v>
      </c>
      <c r="D29">
        <v>1976000000</v>
      </c>
      <c r="E29">
        <v>1994000000</v>
      </c>
      <c r="F29">
        <v>2187000000</v>
      </c>
    </row>
    <row r="30" spans="2:6">
      <c r="B30" t="s">
        <v>28</v>
      </c>
      <c r="C30">
        <v>431000000</v>
      </c>
      <c r="D30">
        <v>466000000</v>
      </c>
      <c r="E30">
        <v>665000000</v>
      </c>
      <c r="F30">
        <v>714000000</v>
      </c>
    </row>
    <row r="31" spans="2:6">
      <c r="B31" t="s">
        <v>29</v>
      </c>
      <c r="C31">
        <v>1623000000</v>
      </c>
      <c r="D31">
        <v>2442000000</v>
      </c>
      <c r="E31">
        <v>2659000000</v>
      </c>
      <c r="F31">
        <v>2901000000</v>
      </c>
    </row>
    <row r="32" spans="2:6">
      <c r="B32" t="s">
        <v>30</v>
      </c>
      <c r="C32">
        <v>-742000000</v>
      </c>
      <c r="D32">
        <v>-495000000</v>
      </c>
      <c r="E32">
        <v>-683000000</v>
      </c>
      <c r="F32">
        <v>-803000000</v>
      </c>
    </row>
    <row r="33" spans="2:6">
      <c r="B33" t="s">
        <v>31</v>
      </c>
      <c r="C33">
        <v>8000000</v>
      </c>
      <c r="D33">
        <v>3000000</v>
      </c>
      <c r="E33">
        <v>5000000</v>
      </c>
      <c r="F33">
        <v>12000000</v>
      </c>
    </row>
    <row r="34" spans="2:6">
      <c r="B34" t="s">
        <v>32</v>
      </c>
      <c r="C34">
        <v>752000000</v>
      </c>
      <c r="D34">
        <v>691000000</v>
      </c>
      <c r="E34">
        <v>716000000</v>
      </c>
      <c r="F34">
        <v>837000000</v>
      </c>
    </row>
    <row r="35" spans="2:6">
      <c r="B35" t="s">
        <v>33</v>
      </c>
      <c r="C35">
        <v>10000000</v>
      </c>
      <c r="D35">
        <v>196000000</v>
      </c>
      <c r="E35">
        <v>33000000</v>
      </c>
      <c r="F35">
        <v>34000000</v>
      </c>
    </row>
    <row r="36" spans="2:6">
      <c r="B36" t="s">
        <v>34</v>
      </c>
      <c r="C36">
        <v>2365000000</v>
      </c>
      <c r="D36">
        <v>2937000000</v>
      </c>
      <c r="E36">
        <v>3342000000</v>
      </c>
      <c r="F36">
        <v>3704000000</v>
      </c>
    </row>
    <row r="37" spans="2:6">
      <c r="B37" t="s">
        <v>35</v>
      </c>
      <c r="C37">
        <v>13624000000</v>
      </c>
      <c r="D37">
        <v>13797000000</v>
      </c>
      <c r="E37">
        <v>14634000000</v>
      </c>
      <c r="F37">
        <v>15333000000</v>
      </c>
    </row>
    <row r="38" spans="2:6">
      <c r="B38" t="s">
        <v>36</v>
      </c>
      <c r="C38">
        <v>13624000000</v>
      </c>
      <c r="D38">
        <v>13797000000</v>
      </c>
      <c r="E38">
        <v>14634000000</v>
      </c>
      <c r="F38">
        <v>15333000000</v>
      </c>
    </row>
    <row r="39" spans="2:6">
      <c r="B39" t="s">
        <v>37</v>
      </c>
      <c r="C39">
        <v>15989000000</v>
      </c>
      <c r="D39">
        <v>16734000000</v>
      </c>
      <c r="E39">
        <v>17976000000</v>
      </c>
      <c r="F39">
        <v>19037000000</v>
      </c>
    </row>
    <row r="40" spans="2:6">
      <c r="B40" t="s">
        <v>38</v>
      </c>
      <c r="C40">
        <v>36725000000</v>
      </c>
      <c r="D40">
        <v>36436000000</v>
      </c>
      <c r="E40">
        <v>38528000000</v>
      </c>
      <c r="F40">
        <v>40492000000</v>
      </c>
    </row>
    <row r="41" spans="2:6">
      <c r="B41" t="s">
        <v>39</v>
      </c>
      <c r="C41">
        <v>52714000000</v>
      </c>
      <c r="D41">
        <v>53170000000</v>
      </c>
      <c r="E41">
        <v>56504000000</v>
      </c>
      <c r="F41">
        <v>59529000000</v>
      </c>
    </row>
    <row r="42" spans="2:6">
      <c r="B42" t="s">
        <v>40</v>
      </c>
      <c r="C42">
        <v>52714000000</v>
      </c>
      <c r="D42">
        <v>53170000000</v>
      </c>
      <c r="E42">
        <v>56504000000</v>
      </c>
      <c r="F42" s="8">
        <v>59529000000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4CEC-E050-4D59-9B96-6182EE80BBB2}">
  <sheetPr>
    <tabColor rgb="FFC00000"/>
  </sheetPr>
  <dimension ref="B2:H41"/>
  <sheetViews>
    <sheetView topLeftCell="A40" workbookViewId="0">
      <selection activeCell="J54" sqref="J54"/>
    </sheetView>
  </sheetViews>
  <sheetFormatPr defaultRowHeight="14.4"/>
  <cols>
    <col min="2" max="2" width="51.6640625" bestFit="1" customWidth="1"/>
    <col min="3" max="7" width="12" bestFit="1" customWidth="1"/>
    <col min="8" max="8" width="10" bestFit="1" customWidth="1"/>
    <col min="9" max="9" width="11" bestFit="1" customWidth="1"/>
  </cols>
  <sheetData>
    <row r="2" spans="2:8">
      <c r="B2" t="s">
        <v>41</v>
      </c>
      <c r="C2" s="1">
        <v>45473</v>
      </c>
      <c r="D2" s="1">
        <v>45382</v>
      </c>
      <c r="E2" s="1">
        <v>45291</v>
      </c>
      <c r="F2" s="1">
        <v>45199</v>
      </c>
      <c r="G2" s="1"/>
      <c r="H2" s="1"/>
    </row>
    <row r="3" spans="2:8">
      <c r="B3" t="s">
        <v>1</v>
      </c>
      <c r="C3">
        <v>0</v>
      </c>
      <c r="D3">
        <v>0</v>
      </c>
      <c r="E3">
        <v>0</v>
      </c>
      <c r="F3">
        <v>0</v>
      </c>
    </row>
    <row r="4" spans="2:8">
      <c r="B4" t="s">
        <v>2</v>
      </c>
      <c r="C4">
        <v>0.26548699999999997</v>
      </c>
      <c r="D4">
        <v>0.26700000000000002</v>
      </c>
      <c r="E4">
        <v>0.25133699999999998</v>
      </c>
      <c r="F4">
        <v>0.219</v>
      </c>
    </row>
    <row r="5" spans="2:8">
      <c r="B5" t="s">
        <v>3</v>
      </c>
      <c r="C5">
        <v>1556000000</v>
      </c>
      <c r="D5">
        <v>1559000000</v>
      </c>
      <c r="E5">
        <v>1640000000</v>
      </c>
      <c r="F5">
        <v>1952000000</v>
      </c>
    </row>
    <row r="6" spans="2:8">
      <c r="B6" t="s">
        <v>4</v>
      </c>
      <c r="C6">
        <v>460000000</v>
      </c>
      <c r="D6">
        <v>462000000</v>
      </c>
      <c r="E6">
        <v>544000000</v>
      </c>
      <c r="F6">
        <v>624000000</v>
      </c>
    </row>
    <row r="7" spans="2:8">
      <c r="B7" t="s">
        <v>5</v>
      </c>
      <c r="C7">
        <v>679000000</v>
      </c>
      <c r="D7">
        <v>690000000</v>
      </c>
      <c r="E7">
        <v>680000000</v>
      </c>
      <c r="F7">
        <v>880000000</v>
      </c>
    </row>
    <row r="8" spans="2:8">
      <c r="B8" t="s">
        <v>6</v>
      </c>
      <c r="C8">
        <v>9326000000</v>
      </c>
      <c r="D8">
        <v>9126000000</v>
      </c>
      <c r="E8">
        <v>9858000000</v>
      </c>
      <c r="F8">
        <v>12534000000</v>
      </c>
    </row>
    <row r="9" spans="2:8">
      <c r="B9" t="s">
        <v>7</v>
      </c>
      <c r="C9">
        <v>1556000000</v>
      </c>
      <c r="D9">
        <v>1559000000</v>
      </c>
      <c r="E9">
        <v>1640000000</v>
      </c>
      <c r="F9">
        <v>1952000000</v>
      </c>
    </row>
    <row r="10" spans="2:8">
      <c r="B10" t="s">
        <v>8</v>
      </c>
      <c r="C10">
        <v>877000000</v>
      </c>
      <c r="D10">
        <v>869000000</v>
      </c>
      <c r="E10">
        <v>960000000</v>
      </c>
      <c r="F10">
        <v>1072000000</v>
      </c>
    </row>
    <row r="11" spans="2:8">
      <c r="B11" t="s">
        <v>9</v>
      </c>
      <c r="C11">
        <v>-190000000</v>
      </c>
      <c r="D11">
        <v>-194000000</v>
      </c>
      <c r="E11">
        <v>-195000000</v>
      </c>
      <c r="F11">
        <v>-234000000</v>
      </c>
    </row>
    <row r="12" spans="2:8">
      <c r="B12" t="s">
        <v>10</v>
      </c>
      <c r="C12">
        <v>199000000</v>
      </c>
      <c r="D12">
        <v>202000000</v>
      </c>
      <c r="E12">
        <v>212000000</v>
      </c>
      <c r="F12">
        <v>241000000</v>
      </c>
    </row>
    <row r="13" spans="2:8">
      <c r="B13" t="s">
        <v>11</v>
      </c>
      <c r="C13">
        <v>9000000</v>
      </c>
      <c r="D13">
        <v>8000000</v>
      </c>
      <c r="E13">
        <v>8000000</v>
      </c>
      <c r="F13">
        <v>11000000</v>
      </c>
    </row>
    <row r="14" spans="2:8">
      <c r="B14" t="s">
        <v>12</v>
      </c>
      <c r="C14">
        <v>460000000</v>
      </c>
      <c r="D14">
        <v>462000000</v>
      </c>
      <c r="E14">
        <v>544000000</v>
      </c>
      <c r="F14">
        <v>624000000</v>
      </c>
    </row>
    <row r="15" spans="2:8">
      <c r="B15" t="s">
        <v>13</v>
      </c>
      <c r="C15">
        <v>460000000</v>
      </c>
      <c r="D15">
        <v>462000000</v>
      </c>
      <c r="E15">
        <v>544000000</v>
      </c>
      <c r="F15">
        <v>624000000</v>
      </c>
    </row>
    <row r="16" spans="2:8">
      <c r="B16" t="s">
        <v>14</v>
      </c>
      <c r="C16">
        <v>13079000000</v>
      </c>
      <c r="D16">
        <v>12720000000</v>
      </c>
      <c r="E16">
        <v>13588000000</v>
      </c>
      <c r="F16">
        <v>17200000000</v>
      </c>
    </row>
    <row r="17" spans="2:6">
      <c r="B17" t="s">
        <v>15</v>
      </c>
      <c r="C17">
        <v>868000000</v>
      </c>
      <c r="D17">
        <v>861000000</v>
      </c>
      <c r="E17">
        <v>943000000</v>
      </c>
      <c r="F17">
        <v>1065000000</v>
      </c>
    </row>
    <row r="18" spans="2:6">
      <c r="B18" t="s">
        <v>16</v>
      </c>
      <c r="C18">
        <v>308800000</v>
      </c>
      <c r="D18">
        <v>311900000</v>
      </c>
      <c r="F18">
        <v>318400000</v>
      </c>
    </row>
    <row r="19" spans="2:6">
      <c r="B19" t="s">
        <v>17</v>
      </c>
      <c r="C19">
        <v>305900000</v>
      </c>
      <c r="D19">
        <v>308900000</v>
      </c>
      <c r="F19">
        <v>315200000</v>
      </c>
    </row>
    <row r="20" spans="2:6">
      <c r="B20" t="s">
        <v>18</v>
      </c>
      <c r="C20">
        <v>1.48</v>
      </c>
      <c r="D20">
        <v>1.47</v>
      </c>
      <c r="F20">
        <v>1.95</v>
      </c>
    </row>
    <row r="21" spans="2:6">
      <c r="B21" t="s">
        <v>19</v>
      </c>
      <c r="C21">
        <v>1.49</v>
      </c>
      <c r="D21">
        <v>1.48</v>
      </c>
      <c r="F21">
        <v>1.97</v>
      </c>
    </row>
    <row r="22" spans="2:6">
      <c r="B22" t="s">
        <v>20</v>
      </c>
      <c r="C22">
        <v>457000000</v>
      </c>
      <c r="D22">
        <v>459000000</v>
      </c>
      <c r="E22">
        <v>541000000</v>
      </c>
      <c r="F22">
        <v>621000000</v>
      </c>
    </row>
    <row r="23" spans="2:6">
      <c r="B23" t="s">
        <v>21</v>
      </c>
      <c r="C23">
        <v>457000000</v>
      </c>
      <c r="D23">
        <v>459000000</v>
      </c>
      <c r="E23">
        <v>541000000</v>
      </c>
      <c r="F23">
        <v>621000000</v>
      </c>
    </row>
    <row r="24" spans="2:6">
      <c r="B24" t="s">
        <v>22</v>
      </c>
      <c r="C24">
        <v>3000000</v>
      </c>
      <c r="D24">
        <v>3000000</v>
      </c>
      <c r="E24">
        <v>3000000</v>
      </c>
      <c r="F24">
        <v>3000000</v>
      </c>
    </row>
    <row r="25" spans="2:6">
      <c r="B25" t="s">
        <v>23</v>
      </c>
      <c r="C25">
        <v>460000000</v>
      </c>
      <c r="D25">
        <v>462000000</v>
      </c>
      <c r="E25">
        <v>544000000</v>
      </c>
      <c r="F25">
        <v>624000000</v>
      </c>
    </row>
    <row r="26" spans="2:6">
      <c r="B26" t="s">
        <v>24</v>
      </c>
      <c r="C26">
        <v>-38000000</v>
      </c>
      <c r="D26">
        <v>-27000000</v>
      </c>
      <c r="E26">
        <v>-16000000</v>
      </c>
      <c r="F26">
        <v>-25000000</v>
      </c>
    </row>
    <row r="27" spans="2:6">
      <c r="B27" t="s">
        <v>25</v>
      </c>
      <c r="C27">
        <v>498000000</v>
      </c>
      <c r="D27">
        <v>489000000</v>
      </c>
      <c r="E27">
        <v>560000000</v>
      </c>
      <c r="F27">
        <v>649000000</v>
      </c>
    </row>
    <row r="28" spans="2:6">
      <c r="B28" t="s">
        <v>27</v>
      </c>
      <c r="C28">
        <v>498000000</v>
      </c>
      <c r="D28">
        <v>489000000</v>
      </c>
      <c r="E28">
        <v>560000000</v>
      </c>
      <c r="F28">
        <v>649000000</v>
      </c>
    </row>
    <row r="29" spans="2:6">
      <c r="B29" t="s">
        <v>28</v>
      </c>
      <c r="C29">
        <v>180000000</v>
      </c>
      <c r="D29">
        <v>178000000</v>
      </c>
      <c r="E29">
        <v>188000000</v>
      </c>
      <c r="F29">
        <v>182000000</v>
      </c>
    </row>
    <row r="30" spans="2:6">
      <c r="B30" t="s">
        <v>29</v>
      </c>
      <c r="C30">
        <v>678000000</v>
      </c>
      <c r="D30">
        <v>667000000</v>
      </c>
      <c r="E30">
        <v>748000000</v>
      </c>
      <c r="F30">
        <v>831000000</v>
      </c>
    </row>
    <row r="31" spans="2:6">
      <c r="B31" t="s">
        <v>30</v>
      </c>
      <c r="C31">
        <v>-190000000</v>
      </c>
      <c r="D31">
        <v>-194000000</v>
      </c>
      <c r="E31">
        <v>-195000000</v>
      </c>
      <c r="F31">
        <v>-234000000</v>
      </c>
    </row>
    <row r="32" spans="2:6">
      <c r="B32" t="s">
        <v>31</v>
      </c>
      <c r="D32">
        <v>3000000</v>
      </c>
      <c r="E32">
        <v>3000000</v>
      </c>
      <c r="F32">
        <v>4000000</v>
      </c>
    </row>
    <row r="33" spans="2:6">
      <c r="B33" t="s">
        <v>32</v>
      </c>
      <c r="C33">
        <v>199000000</v>
      </c>
      <c r="D33">
        <v>202000000</v>
      </c>
      <c r="E33">
        <v>212000000</v>
      </c>
      <c r="F33">
        <v>241000000</v>
      </c>
    </row>
    <row r="34" spans="2:6">
      <c r="B34" t="s">
        <v>33</v>
      </c>
      <c r="C34">
        <v>9000000</v>
      </c>
      <c r="D34">
        <v>8000000</v>
      </c>
      <c r="E34">
        <v>8000000</v>
      </c>
      <c r="F34">
        <v>11000000</v>
      </c>
    </row>
    <row r="35" spans="2:6">
      <c r="B35" t="s">
        <v>34</v>
      </c>
      <c r="C35">
        <v>868000000</v>
      </c>
      <c r="D35">
        <v>861000000</v>
      </c>
      <c r="E35">
        <v>943000000</v>
      </c>
      <c r="F35">
        <v>1065000000</v>
      </c>
    </row>
    <row r="36" spans="2:6">
      <c r="B36" t="s">
        <v>35</v>
      </c>
      <c r="C36">
        <v>3753000000</v>
      </c>
      <c r="D36">
        <v>3594000000</v>
      </c>
      <c r="E36">
        <v>3730000000</v>
      </c>
      <c r="F36">
        <v>4666000000</v>
      </c>
    </row>
    <row r="37" spans="2:6">
      <c r="B37" t="s">
        <v>36</v>
      </c>
      <c r="C37">
        <v>3753000000</v>
      </c>
      <c r="D37">
        <v>3594000000</v>
      </c>
      <c r="E37">
        <v>3730000000</v>
      </c>
      <c r="F37">
        <v>4666000000</v>
      </c>
    </row>
    <row r="38" spans="2:6">
      <c r="B38" t="s">
        <v>37</v>
      </c>
      <c r="C38">
        <v>4621000000</v>
      </c>
      <c r="D38">
        <v>4455000000</v>
      </c>
      <c r="E38">
        <v>4673000000</v>
      </c>
      <c r="F38">
        <v>5731000000</v>
      </c>
    </row>
    <row r="39" spans="2:6">
      <c r="B39" t="s">
        <v>38</v>
      </c>
      <c r="C39">
        <v>9326000000</v>
      </c>
      <c r="D39">
        <v>9126000000</v>
      </c>
      <c r="E39">
        <v>9858000000</v>
      </c>
      <c r="F39">
        <v>12534000000</v>
      </c>
    </row>
    <row r="40" spans="2:6">
      <c r="B40" t="s">
        <v>39</v>
      </c>
      <c r="C40">
        <v>13947000000</v>
      </c>
      <c r="D40">
        <v>13581000000</v>
      </c>
      <c r="E40">
        <v>14531000000</v>
      </c>
      <c r="F40">
        <v>18265000000</v>
      </c>
    </row>
    <row r="41" spans="2:6">
      <c r="B41" t="s">
        <v>40</v>
      </c>
      <c r="C41">
        <v>13947000000</v>
      </c>
      <c r="D41">
        <v>13581000000</v>
      </c>
      <c r="E41">
        <v>14531000000</v>
      </c>
      <c r="F41">
        <v>18265000000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6BCE-29F6-4AD5-8486-36B67CDCF8C0}">
  <sheetPr>
    <tabColor rgb="FFC00000"/>
  </sheetPr>
  <dimension ref="B2:F99"/>
  <sheetViews>
    <sheetView workbookViewId="0">
      <selection activeCell="F29" sqref="F29"/>
    </sheetView>
  </sheetViews>
  <sheetFormatPr defaultRowHeight="14.4"/>
  <cols>
    <col min="2" max="2" width="51.21875" bestFit="1" customWidth="1"/>
    <col min="3" max="6" width="12.6640625" bestFit="1" customWidth="1"/>
    <col min="9" max="9" width="12" bestFit="1" customWidth="1"/>
  </cols>
  <sheetData>
    <row r="2" spans="2:6">
      <c r="B2" s="21" t="s">
        <v>41</v>
      </c>
      <c r="C2" s="22">
        <v>44196</v>
      </c>
      <c r="D2" s="22">
        <v>44561</v>
      </c>
      <c r="E2" s="22">
        <v>44926</v>
      </c>
      <c r="F2" s="22">
        <v>45291</v>
      </c>
    </row>
    <row r="3" spans="2:6">
      <c r="B3" s="21" t="s">
        <v>45</v>
      </c>
      <c r="C3" s="21"/>
      <c r="D3" s="21"/>
      <c r="E3" s="21"/>
      <c r="F3" s="21">
        <v>1269239</v>
      </c>
    </row>
    <row r="4" spans="2:6">
      <c r="B4" s="21" t="s">
        <v>46</v>
      </c>
      <c r="C4" s="21">
        <v>9000000</v>
      </c>
      <c r="D4" s="21">
        <v>9000000</v>
      </c>
      <c r="E4" s="21">
        <v>9000000</v>
      </c>
      <c r="F4" s="21">
        <v>9000000</v>
      </c>
    </row>
    <row r="5" spans="2:6">
      <c r="B5" s="21" t="s">
        <v>47</v>
      </c>
      <c r="C5" s="21">
        <v>347361480</v>
      </c>
      <c r="D5" s="21">
        <v>333527369</v>
      </c>
      <c r="E5" s="21">
        <v>322840330</v>
      </c>
      <c r="F5" s="21">
        <v>309257140</v>
      </c>
    </row>
    <row r="6" spans="2:6">
      <c r="B6" s="21" t="s">
        <v>48</v>
      </c>
      <c r="C6" s="21">
        <v>347361480</v>
      </c>
      <c r="D6" s="21">
        <v>333527369</v>
      </c>
      <c r="E6" s="21">
        <v>322840330</v>
      </c>
      <c r="F6" s="21">
        <v>310526379</v>
      </c>
    </row>
    <row r="7" spans="2:6">
      <c r="B7" s="21" t="s">
        <v>49</v>
      </c>
      <c r="C7" s="21">
        <v>6039000000</v>
      </c>
      <c r="D7" s="21">
        <v>5739000000</v>
      </c>
      <c r="E7" s="21">
        <v>6883000000</v>
      </c>
      <c r="F7" s="21">
        <v>7227000000</v>
      </c>
    </row>
    <row r="8" spans="2:6">
      <c r="B8" s="21" t="s">
        <v>50</v>
      </c>
      <c r="C8" s="21">
        <v>16608000000</v>
      </c>
      <c r="D8" s="21">
        <v>16554000000</v>
      </c>
      <c r="E8" s="21">
        <v>17606000000</v>
      </c>
      <c r="F8" s="21">
        <v>18173000000</v>
      </c>
    </row>
    <row r="9" spans="2:6">
      <c r="B9" s="21" t="s">
        <v>51</v>
      </c>
      <c r="C9" s="21">
        <v>-51000000</v>
      </c>
      <c r="D9" s="21">
        <v>1001000000</v>
      </c>
      <c r="E9" s="21">
        <v>250000000</v>
      </c>
      <c r="F9" s="21">
        <v>900000000</v>
      </c>
    </row>
    <row r="10" spans="2:6">
      <c r="B10" s="21" t="s">
        <v>52</v>
      </c>
      <c r="C10" s="21">
        <v>18474000000</v>
      </c>
      <c r="D10" s="21">
        <v>19067000000</v>
      </c>
      <c r="E10" s="21">
        <v>19569000000</v>
      </c>
      <c r="F10" s="21">
        <v>19958000000</v>
      </c>
    </row>
    <row r="11" spans="2:6">
      <c r="B11" s="21" t="s">
        <v>53</v>
      </c>
      <c r="C11" s="21">
        <v>2779000000</v>
      </c>
      <c r="D11" s="21">
        <v>3441000000</v>
      </c>
      <c r="E11" s="21">
        <v>3278000000</v>
      </c>
      <c r="F11" s="21">
        <v>2731000000</v>
      </c>
    </row>
    <row r="12" spans="2:6">
      <c r="B12" s="21" t="s">
        <v>54</v>
      </c>
      <c r="C12" s="21">
        <v>170000000</v>
      </c>
      <c r="D12" s="21">
        <v>1222000000</v>
      </c>
      <c r="E12" s="21">
        <v>471000000</v>
      </c>
      <c r="F12" s="21">
        <v>1121000000</v>
      </c>
    </row>
    <row r="13" spans="2:6">
      <c r="B13" s="21" t="s">
        <v>55</v>
      </c>
      <c r="C13" s="21">
        <v>8901000000</v>
      </c>
      <c r="D13" s="21">
        <v>8839000000</v>
      </c>
      <c r="E13" s="21">
        <v>9115000000</v>
      </c>
      <c r="F13" s="21">
        <v>9458000000</v>
      </c>
    </row>
    <row r="14" spans="2:6">
      <c r="B14" s="21" t="s">
        <v>56</v>
      </c>
      <c r="C14" s="21">
        <v>10767000000</v>
      </c>
      <c r="D14" s="21">
        <v>11352000000</v>
      </c>
      <c r="E14" s="21">
        <v>11078000000</v>
      </c>
      <c r="F14" s="21">
        <v>11243000000</v>
      </c>
    </row>
    <row r="15" spans="2:6">
      <c r="B15" s="21" t="s">
        <v>57</v>
      </c>
      <c r="C15" s="21">
        <v>221000000</v>
      </c>
      <c r="D15" s="21">
        <v>221000000</v>
      </c>
      <c r="E15" s="21">
        <v>221000000</v>
      </c>
      <c r="F15" s="21">
        <v>221000000</v>
      </c>
    </row>
    <row r="16" spans="2:6">
      <c r="B16" s="21" t="s">
        <v>58</v>
      </c>
      <c r="C16" s="21">
        <v>17437000000</v>
      </c>
      <c r="D16" s="21">
        <v>17784000000</v>
      </c>
      <c r="E16" s="21">
        <v>18355000000</v>
      </c>
      <c r="F16" s="21">
        <v>18125000000</v>
      </c>
    </row>
    <row r="17" spans="2:6">
      <c r="B17" s="21" t="s">
        <v>59</v>
      </c>
      <c r="C17" s="21">
        <v>11119000000</v>
      </c>
      <c r="D17" s="21">
        <v>11737000000</v>
      </c>
      <c r="E17" s="21">
        <v>11456000000</v>
      </c>
      <c r="F17" s="21">
        <v>11619000000</v>
      </c>
    </row>
    <row r="18" spans="2:6">
      <c r="B18" s="21" t="s">
        <v>60</v>
      </c>
      <c r="C18" s="21">
        <v>131000000</v>
      </c>
      <c r="D18" s="21">
        <v>164000000</v>
      </c>
      <c r="E18" s="21">
        <v>157000000</v>
      </c>
      <c r="F18" s="21">
        <v>155000000</v>
      </c>
    </row>
    <row r="19" spans="2:6">
      <c r="B19" s="21" t="s">
        <v>61</v>
      </c>
      <c r="C19" s="21">
        <v>10988000000</v>
      </c>
      <c r="D19" s="21">
        <v>11573000000</v>
      </c>
      <c r="E19" s="21">
        <v>11299000000</v>
      </c>
      <c r="F19" s="21">
        <v>11464000000</v>
      </c>
    </row>
    <row r="20" spans="2:6">
      <c r="B20" s="21" t="s">
        <v>62</v>
      </c>
      <c r="C20" s="21">
        <v>21000000</v>
      </c>
      <c r="D20" s="21">
        <v>14000000</v>
      </c>
      <c r="E20" s="21">
        <v>30000000</v>
      </c>
      <c r="F20" s="21">
        <v>35000000</v>
      </c>
    </row>
    <row r="21" spans="2:6">
      <c r="B21" s="21" t="s">
        <v>63</v>
      </c>
      <c r="C21" s="21">
        <v>21000000</v>
      </c>
      <c r="D21" s="21">
        <v>14000000</v>
      </c>
      <c r="E21" s="21">
        <v>30000000</v>
      </c>
      <c r="F21" s="21">
        <v>35000000</v>
      </c>
    </row>
    <row r="22" spans="2:6">
      <c r="B22" s="21" t="s">
        <v>64</v>
      </c>
      <c r="C22" s="21">
        <v>3813000000</v>
      </c>
      <c r="D22" s="21">
        <v>4591000000</v>
      </c>
      <c r="E22" s="21">
        <v>4461000000</v>
      </c>
      <c r="F22" s="21">
        <v>4816000000</v>
      </c>
    </row>
    <row r="23" spans="2:6">
      <c r="B23" s="21" t="s">
        <v>65</v>
      </c>
      <c r="C23" s="21">
        <v>109000000</v>
      </c>
      <c r="D23" s="21">
        <v>116000000</v>
      </c>
      <c r="E23" s="21">
        <v>122000000</v>
      </c>
      <c r="F23" s="21">
        <v>136000000</v>
      </c>
    </row>
    <row r="24" spans="2:6">
      <c r="B24" s="21" t="s">
        <v>66</v>
      </c>
      <c r="C24" s="21">
        <v>7045000000</v>
      </c>
      <c r="D24" s="21">
        <v>6852000000</v>
      </c>
      <c r="E24" s="21">
        <v>6686000000</v>
      </c>
      <c r="F24" s="21">
        <v>6477000000</v>
      </c>
    </row>
    <row r="25" spans="2:6">
      <c r="B25" s="21" t="s">
        <v>67</v>
      </c>
      <c r="C25" s="21">
        <v>6824000000</v>
      </c>
      <c r="D25" s="21">
        <v>6631000000</v>
      </c>
      <c r="E25" s="21">
        <v>6465000000</v>
      </c>
      <c r="F25" s="21">
        <v>6256000000</v>
      </c>
    </row>
    <row r="26" spans="2:6">
      <c r="B26" s="21" t="s">
        <v>68</v>
      </c>
      <c r="C26" s="21">
        <v>221000000</v>
      </c>
      <c r="D26" s="21">
        <v>221000000</v>
      </c>
      <c r="E26" s="21">
        <v>221000000</v>
      </c>
      <c r="F26" s="21">
        <v>221000000</v>
      </c>
    </row>
    <row r="27" spans="2:6">
      <c r="B27" s="21" t="s">
        <v>69</v>
      </c>
      <c r="C27" s="21">
        <v>24754000000</v>
      </c>
      <c r="D27" s="21">
        <v>24877000000</v>
      </c>
      <c r="E27" s="21">
        <v>26691000000</v>
      </c>
      <c r="F27" s="21">
        <v>27360000000</v>
      </c>
    </row>
    <row r="28" spans="2:6">
      <c r="B28" s="21" t="s">
        <v>70</v>
      </c>
      <c r="C28" s="21">
        <v>15991000000</v>
      </c>
      <c r="D28" s="21">
        <v>15681000000</v>
      </c>
      <c r="E28" s="21">
        <v>16593000000</v>
      </c>
      <c r="F28" s="21">
        <v>16513000000</v>
      </c>
    </row>
    <row r="29" spans="2:6">
      <c r="B29" s="21" t="s">
        <v>71</v>
      </c>
      <c r="C29" s="21">
        <v>57000000</v>
      </c>
      <c r="D29" s="21">
        <v>61000000</v>
      </c>
      <c r="E29" s="21">
        <v>89000000</v>
      </c>
      <c r="F29" s="21">
        <v>221000000</v>
      </c>
    </row>
    <row r="30" spans="2:6">
      <c r="B30" s="21" t="s">
        <v>72</v>
      </c>
      <c r="C30" s="21">
        <v>451000000</v>
      </c>
      <c r="D30" s="21">
        <v>407000000</v>
      </c>
      <c r="E30" s="21">
        <v>346000000</v>
      </c>
      <c r="F30" s="21">
        <v>373000000</v>
      </c>
    </row>
    <row r="31" spans="2:6">
      <c r="B31" s="21" t="s">
        <v>73</v>
      </c>
      <c r="C31" s="21">
        <v>329000000</v>
      </c>
      <c r="D31" s="21">
        <v>289000000</v>
      </c>
      <c r="E31" s="21">
        <v>237000000</v>
      </c>
      <c r="F31" s="21">
        <v>242000000</v>
      </c>
    </row>
    <row r="32" spans="2:6">
      <c r="B32" s="21" t="s">
        <v>74</v>
      </c>
      <c r="C32" s="21">
        <v>1380000000</v>
      </c>
      <c r="D32" s="21">
        <v>1346000000</v>
      </c>
      <c r="E32" s="21">
        <v>1279000000</v>
      </c>
      <c r="F32" s="21">
        <v>1132000000</v>
      </c>
    </row>
    <row r="33" spans="2:6">
      <c r="B33" s="21" t="s">
        <v>75</v>
      </c>
      <c r="C33" s="21">
        <v>1380000000</v>
      </c>
      <c r="D33" s="21">
        <v>1346000000</v>
      </c>
      <c r="E33" s="21">
        <v>1279000000</v>
      </c>
      <c r="F33" s="21">
        <v>1132000000</v>
      </c>
    </row>
    <row r="34" spans="2:6">
      <c r="B34" s="21" t="s">
        <v>76</v>
      </c>
      <c r="C34" s="21">
        <v>13971000000</v>
      </c>
      <c r="D34" s="21">
        <v>13753000000</v>
      </c>
      <c r="E34" s="21">
        <v>14770000000</v>
      </c>
      <c r="F34" s="21">
        <v>14664000000</v>
      </c>
    </row>
    <row r="35" spans="2:6">
      <c r="B35" s="21" t="s">
        <v>77</v>
      </c>
      <c r="C35" s="21">
        <v>7522000000</v>
      </c>
      <c r="D35" s="21">
        <v>7542000000</v>
      </c>
      <c r="E35" s="21">
        <v>7714000000</v>
      </c>
      <c r="F35" s="21">
        <v>8003000000</v>
      </c>
    </row>
    <row r="36" spans="2:6">
      <c r="B36" s="21" t="s">
        <v>78</v>
      </c>
      <c r="C36" s="21">
        <v>6449000000</v>
      </c>
      <c r="D36" s="21">
        <v>6211000000</v>
      </c>
      <c r="E36" s="21">
        <v>7056000000</v>
      </c>
      <c r="F36" s="21">
        <v>6661000000</v>
      </c>
    </row>
    <row r="37" spans="2:6">
      <c r="B37" s="21" t="s">
        <v>79</v>
      </c>
      <c r="C37" s="21">
        <v>132000000</v>
      </c>
      <c r="D37" s="21">
        <v>114000000</v>
      </c>
      <c r="E37" s="21">
        <v>109000000</v>
      </c>
      <c r="F37" s="21">
        <v>123000000</v>
      </c>
    </row>
    <row r="38" spans="2:6">
      <c r="B38" s="21" t="s">
        <v>80</v>
      </c>
      <c r="C38" s="21">
        <v>8763000000</v>
      </c>
      <c r="D38" s="21">
        <v>9196000000</v>
      </c>
      <c r="E38" s="21">
        <v>10098000000</v>
      </c>
      <c r="F38" s="21">
        <v>10847000000</v>
      </c>
    </row>
    <row r="39" spans="2:6">
      <c r="B39" s="21" t="s">
        <v>81</v>
      </c>
      <c r="C39" s="21">
        <v>194000000</v>
      </c>
      <c r="D39" s="21">
        <v>190000000</v>
      </c>
      <c r="E39" s="21">
        <v>180000000</v>
      </c>
      <c r="F39" s="21"/>
    </row>
    <row r="40" spans="2:6">
      <c r="B40" s="21" t="s">
        <v>82</v>
      </c>
      <c r="C40" s="21">
        <v>218000000</v>
      </c>
      <c r="D40" s="21">
        <v>265000000</v>
      </c>
      <c r="E40" s="21">
        <v>305000000</v>
      </c>
      <c r="F40" s="21">
        <v>289000000</v>
      </c>
    </row>
    <row r="41" spans="2:6">
      <c r="B41" s="21" t="s">
        <v>83</v>
      </c>
      <c r="C41" s="21">
        <v>218000000</v>
      </c>
      <c r="D41" s="21">
        <v>265000000</v>
      </c>
      <c r="E41" s="21">
        <v>305000000</v>
      </c>
      <c r="F41" s="21">
        <v>289000000</v>
      </c>
    </row>
    <row r="42" spans="2:6">
      <c r="B42" s="21" t="s">
        <v>84</v>
      </c>
      <c r="C42" s="21">
        <v>2637000000</v>
      </c>
      <c r="D42" s="21">
        <v>2801000000</v>
      </c>
      <c r="E42" s="21">
        <v>2836000000</v>
      </c>
      <c r="F42" s="21">
        <v>3509000000</v>
      </c>
    </row>
    <row r="43" spans="2:6">
      <c r="B43" s="21" t="s">
        <v>85</v>
      </c>
      <c r="C43" s="21">
        <v>1379000000</v>
      </c>
      <c r="D43" s="21">
        <v>1297000000</v>
      </c>
      <c r="E43" s="21">
        <v>1401000000</v>
      </c>
      <c r="F43" s="21">
        <v>1455000000</v>
      </c>
    </row>
    <row r="44" spans="2:6">
      <c r="B44" s="21" t="s">
        <v>86</v>
      </c>
      <c r="C44" s="21">
        <v>1258000000</v>
      </c>
      <c r="D44" s="21">
        <v>1504000000</v>
      </c>
      <c r="E44" s="21">
        <v>1435000000</v>
      </c>
      <c r="F44" s="21">
        <v>2054000000</v>
      </c>
    </row>
    <row r="45" spans="2:6">
      <c r="B45" s="162" t="s">
        <v>87</v>
      </c>
      <c r="C45" s="162">
        <v>1172000000</v>
      </c>
      <c r="D45" s="162">
        <v>1452000000</v>
      </c>
      <c r="E45" s="162">
        <v>1427000000</v>
      </c>
      <c r="F45" s="162">
        <v>2041000000</v>
      </c>
    </row>
    <row r="46" spans="2:6">
      <c r="B46" s="162" t="s">
        <v>88</v>
      </c>
      <c r="C46" s="162">
        <v>86000000</v>
      </c>
      <c r="D46" s="162">
        <v>52000000</v>
      </c>
      <c r="E46" s="162">
        <v>8000000</v>
      </c>
      <c r="F46" s="162">
        <v>13000000</v>
      </c>
    </row>
    <row r="47" spans="2:6">
      <c r="B47" s="21" t="s">
        <v>89</v>
      </c>
      <c r="C47" s="21">
        <v>81000000</v>
      </c>
      <c r="D47" s="21">
        <v>111000000</v>
      </c>
      <c r="E47" s="21">
        <v>110000000</v>
      </c>
      <c r="F47" s="21">
        <v>115000000</v>
      </c>
    </row>
    <row r="48" spans="2:6">
      <c r="B48" s="21" t="s">
        <v>90</v>
      </c>
      <c r="C48" s="21">
        <v>5827000000</v>
      </c>
      <c r="D48" s="21">
        <v>6019000000</v>
      </c>
      <c r="E48" s="21">
        <v>6847000000</v>
      </c>
      <c r="F48" s="21">
        <v>6934000000</v>
      </c>
    </row>
    <row r="49" spans="2:6">
      <c r="B49" s="21" t="s">
        <v>91</v>
      </c>
      <c r="C49" s="21">
        <v>5827000000</v>
      </c>
      <c r="D49" s="21">
        <v>6019000000</v>
      </c>
      <c r="E49" s="21">
        <v>6847000000</v>
      </c>
      <c r="F49" s="21">
        <v>6934000000</v>
      </c>
    </row>
    <row r="50" spans="2:6">
      <c r="B50" s="21" t="s">
        <v>92</v>
      </c>
      <c r="C50" s="21">
        <v>349000000</v>
      </c>
      <c r="D50" s="21">
        <v>433000000</v>
      </c>
      <c r="E50" s="21">
        <v>434000000</v>
      </c>
      <c r="F50" s="21">
        <v>370000000</v>
      </c>
    </row>
    <row r="51" spans="2:6">
      <c r="B51" s="21" t="s">
        <v>93</v>
      </c>
      <c r="C51" s="21">
        <v>83000000</v>
      </c>
      <c r="D51" s="21">
        <v>153000000</v>
      </c>
      <c r="E51" s="21">
        <v>195000000</v>
      </c>
      <c r="F51" s="21">
        <v>240000000</v>
      </c>
    </row>
    <row r="52" spans="2:6">
      <c r="B52" s="21" t="s">
        <v>94</v>
      </c>
      <c r="C52" s="21">
        <v>83000000</v>
      </c>
      <c r="D52" s="21">
        <v>153000000</v>
      </c>
      <c r="E52" s="21">
        <v>195000000</v>
      </c>
      <c r="F52" s="21">
        <v>240000000</v>
      </c>
    </row>
    <row r="53" spans="2:6">
      <c r="B53" s="21" t="s">
        <v>95</v>
      </c>
      <c r="C53" s="21">
        <v>5395000000</v>
      </c>
      <c r="D53" s="21">
        <v>5433000000</v>
      </c>
      <c r="E53" s="21">
        <v>6218000000</v>
      </c>
      <c r="F53" s="21">
        <v>6324000000</v>
      </c>
    </row>
    <row r="54" spans="2:6">
      <c r="B54" s="21" t="s">
        <v>96</v>
      </c>
      <c r="C54" s="21">
        <v>35873000000</v>
      </c>
      <c r="D54" s="21">
        <v>36614000000</v>
      </c>
      <c r="E54" s="21">
        <v>38147000000</v>
      </c>
      <c r="F54" s="21">
        <v>38979000000</v>
      </c>
    </row>
    <row r="55" spans="2:6">
      <c r="B55" s="21" t="s">
        <v>97</v>
      </c>
      <c r="C55" s="21">
        <v>24331000000</v>
      </c>
      <c r="D55" s="21">
        <v>23977000000</v>
      </c>
      <c r="E55" s="21">
        <v>24771000000</v>
      </c>
      <c r="F55" s="21">
        <v>25401000000</v>
      </c>
    </row>
    <row r="56" spans="2:6">
      <c r="B56" s="21" t="s">
        <v>98</v>
      </c>
      <c r="C56" s="21">
        <v>131000000</v>
      </c>
      <c r="D56" s="21">
        <v>35000000</v>
      </c>
      <c r="E56" s="21">
        <v>94000000</v>
      </c>
      <c r="F56" s="21">
        <v>78000000</v>
      </c>
    </row>
    <row r="57" spans="2:6">
      <c r="B57" s="21" t="s">
        <v>99</v>
      </c>
      <c r="C57" s="21">
        <v>165000000</v>
      </c>
      <c r="D57" s="21">
        <v>463000000</v>
      </c>
      <c r="E57" s="21">
        <v>52000000</v>
      </c>
      <c r="F57" s="21">
        <v>297000000</v>
      </c>
    </row>
    <row r="58" spans="2:6">
      <c r="B58" s="21" t="s">
        <v>100</v>
      </c>
      <c r="C58" s="21">
        <v>113000000</v>
      </c>
      <c r="D58" s="21">
        <v>91000000</v>
      </c>
      <c r="E58" s="21">
        <v>86000000</v>
      </c>
      <c r="F58" s="21">
        <v>125000000</v>
      </c>
    </row>
    <row r="59" spans="2:6">
      <c r="B59" s="21" t="s">
        <v>101</v>
      </c>
      <c r="C59" s="21">
        <v>113000000</v>
      </c>
      <c r="D59" s="21">
        <v>91000000</v>
      </c>
      <c r="E59" s="21">
        <v>86000000</v>
      </c>
      <c r="F59" s="21">
        <v>125000000</v>
      </c>
    </row>
    <row r="60" spans="2:6">
      <c r="B60" s="21" t="s">
        <v>102</v>
      </c>
      <c r="C60" s="21">
        <v>0</v>
      </c>
      <c r="D60" s="21"/>
      <c r="E60" s="21"/>
      <c r="F60" s="21"/>
    </row>
    <row r="61" spans="2:6">
      <c r="B61" s="21" t="s">
        <v>103</v>
      </c>
      <c r="C61" s="21">
        <v>93000000</v>
      </c>
      <c r="D61" s="21">
        <v>78000000</v>
      </c>
      <c r="E61" s="21">
        <v>77000000</v>
      </c>
      <c r="F61" s="21">
        <v>68000000</v>
      </c>
    </row>
    <row r="62" spans="2:6">
      <c r="B62" s="21" t="s">
        <v>104</v>
      </c>
      <c r="C62" s="21">
        <v>136000000</v>
      </c>
      <c r="D62" s="21">
        <v>222000000</v>
      </c>
      <c r="E62" s="21">
        <v>399000000</v>
      </c>
      <c r="F62" s="21">
        <v>396000000</v>
      </c>
    </row>
    <row r="63" spans="2:6">
      <c r="B63" s="21" t="s">
        <v>105</v>
      </c>
      <c r="C63" s="21">
        <v>69000000</v>
      </c>
      <c r="D63" s="21">
        <v>54000000</v>
      </c>
      <c r="E63" s="21">
        <v>66000000</v>
      </c>
      <c r="F63" s="21">
        <v>115000000</v>
      </c>
    </row>
    <row r="64" spans="2:6">
      <c r="B64" s="21" t="s">
        <v>106</v>
      </c>
      <c r="C64" s="21"/>
      <c r="D64" s="21">
        <v>66000000</v>
      </c>
      <c r="E64" s="21">
        <v>246000000</v>
      </c>
      <c r="F64" s="21">
        <v>201000000</v>
      </c>
    </row>
    <row r="65" spans="2:6">
      <c r="B65" s="21" t="s">
        <v>107</v>
      </c>
      <c r="C65" s="21">
        <v>67000000</v>
      </c>
      <c r="D65" s="21">
        <v>102000000</v>
      </c>
      <c r="E65" s="21">
        <v>87000000</v>
      </c>
      <c r="F65" s="21">
        <v>80000000</v>
      </c>
    </row>
    <row r="66" spans="2:6">
      <c r="B66" s="21" t="s">
        <v>108</v>
      </c>
      <c r="C66" s="21">
        <v>61000000</v>
      </c>
      <c r="D66" s="21">
        <v>73000000</v>
      </c>
      <c r="E66" s="21">
        <v>87000000</v>
      </c>
      <c r="F66" s="21">
        <v>80000000</v>
      </c>
    </row>
    <row r="67" spans="2:6">
      <c r="B67" s="21" t="s">
        <v>109</v>
      </c>
      <c r="C67" s="21">
        <v>6000000</v>
      </c>
      <c r="D67" s="21">
        <v>29000000</v>
      </c>
      <c r="E67" s="21">
        <v>47000000</v>
      </c>
      <c r="F67" s="21"/>
    </row>
    <row r="68" spans="2:6">
      <c r="B68" s="21" t="s">
        <v>110</v>
      </c>
      <c r="C68" s="21">
        <v>128000000</v>
      </c>
      <c r="D68" s="21">
        <v>111000000</v>
      </c>
      <c r="E68" s="21">
        <v>60000000</v>
      </c>
      <c r="F68" s="21">
        <v>53000000</v>
      </c>
    </row>
    <row r="69" spans="2:6">
      <c r="B69" s="21" t="s">
        <v>111</v>
      </c>
      <c r="C69" s="21">
        <v>10818000000</v>
      </c>
      <c r="D69" s="21">
        <v>10351000000</v>
      </c>
      <c r="E69" s="21">
        <v>10828000000</v>
      </c>
      <c r="F69" s="21">
        <v>10343000000</v>
      </c>
    </row>
    <row r="70" spans="2:6">
      <c r="B70" s="21" t="s">
        <v>112</v>
      </c>
      <c r="C70" s="21">
        <v>6870000000</v>
      </c>
      <c r="D70" s="21">
        <v>6402000000</v>
      </c>
      <c r="E70" s="21">
        <v>6505000000</v>
      </c>
      <c r="F70" s="21">
        <v>5994000000</v>
      </c>
    </row>
    <row r="71" spans="2:6">
      <c r="B71" s="21" t="s">
        <v>113</v>
      </c>
      <c r="C71" s="21">
        <v>3948000000</v>
      </c>
      <c r="D71" s="21">
        <v>3949000000</v>
      </c>
      <c r="E71" s="21">
        <v>4323000000</v>
      </c>
      <c r="F71" s="21">
        <v>4349000000</v>
      </c>
    </row>
    <row r="72" spans="2:6">
      <c r="B72" s="21" t="s">
        <v>114</v>
      </c>
      <c r="C72" s="21">
        <v>12747000000</v>
      </c>
      <c r="D72" s="21">
        <v>12626000000</v>
      </c>
      <c r="E72" s="21">
        <v>13175000000</v>
      </c>
      <c r="F72" s="21">
        <v>14041000000</v>
      </c>
    </row>
    <row r="73" spans="2:6">
      <c r="B73" s="21" t="s">
        <v>115</v>
      </c>
      <c r="C73" s="21">
        <v>-11689000000</v>
      </c>
      <c r="D73" s="21">
        <v>-13478000000</v>
      </c>
      <c r="E73" s="21">
        <v>-15253000000</v>
      </c>
      <c r="F73" s="21">
        <v>-16954000000</v>
      </c>
    </row>
    <row r="74" spans="2:6">
      <c r="B74" s="21" t="s">
        <v>116</v>
      </c>
      <c r="C74" s="21">
        <v>24436000000</v>
      </c>
      <c r="D74" s="21">
        <v>26104000000</v>
      </c>
      <c r="E74" s="21">
        <v>28428000000</v>
      </c>
      <c r="F74" s="21">
        <v>30995000000</v>
      </c>
    </row>
    <row r="75" spans="2:6">
      <c r="B75" s="21" t="s">
        <v>117</v>
      </c>
      <c r="C75" s="21">
        <v>13127000000</v>
      </c>
      <c r="D75" s="21">
        <v>14245000000</v>
      </c>
      <c r="E75" s="21">
        <v>15713000000</v>
      </c>
      <c r="F75" s="21">
        <v>17166000000</v>
      </c>
    </row>
    <row r="76" spans="2:6">
      <c r="B76" s="21" t="s">
        <v>118</v>
      </c>
      <c r="C76" s="21">
        <v>415000000</v>
      </c>
      <c r="D76" s="21">
        <v>365000000</v>
      </c>
      <c r="E76" s="21">
        <v>549000000</v>
      </c>
      <c r="F76" s="21">
        <v>1019000000</v>
      </c>
    </row>
    <row r="77" spans="2:6">
      <c r="B77" s="21" t="s">
        <v>119</v>
      </c>
      <c r="C77" s="21">
        <v>85000000</v>
      </c>
      <c r="D77" s="21">
        <v>98000000</v>
      </c>
      <c r="E77" s="21">
        <v>127000000</v>
      </c>
      <c r="F77" s="21">
        <v>181000000</v>
      </c>
    </row>
    <row r="78" spans="2:6">
      <c r="B78" s="21" t="s">
        <v>120</v>
      </c>
      <c r="C78" s="21">
        <v>8805000000</v>
      </c>
      <c r="D78" s="21">
        <v>9343000000</v>
      </c>
      <c r="E78" s="21">
        <v>9955000000</v>
      </c>
      <c r="F78" s="21">
        <v>10740000000</v>
      </c>
    </row>
    <row r="79" spans="2:6">
      <c r="B79" s="21" t="s">
        <v>121</v>
      </c>
      <c r="C79" s="21">
        <v>1779000000</v>
      </c>
      <c r="D79" s="21">
        <v>1834000000</v>
      </c>
      <c r="E79" s="21">
        <v>1872000000</v>
      </c>
      <c r="F79" s="21">
        <v>1700000000</v>
      </c>
    </row>
    <row r="80" spans="2:6">
      <c r="B80" s="21" t="s">
        <v>122</v>
      </c>
      <c r="C80" s="21">
        <v>225000000</v>
      </c>
      <c r="D80" s="21">
        <v>219000000</v>
      </c>
      <c r="E80" s="21">
        <v>212000000</v>
      </c>
      <c r="F80" s="21">
        <v>189000000</v>
      </c>
    </row>
    <row r="81" spans="2:6">
      <c r="B81" s="21" t="s">
        <v>123</v>
      </c>
      <c r="C81" s="21">
        <v>0</v>
      </c>
      <c r="D81" s="21">
        <v>0</v>
      </c>
      <c r="E81" s="21">
        <v>0</v>
      </c>
      <c r="F81" s="21">
        <v>0</v>
      </c>
    </row>
    <row r="82" spans="2:6">
      <c r="B82" s="21" t="s">
        <v>124</v>
      </c>
      <c r="C82" s="21">
        <v>11542000000</v>
      </c>
      <c r="D82" s="21">
        <v>12637000000</v>
      </c>
      <c r="E82" s="21">
        <v>13376000000</v>
      </c>
      <c r="F82" s="21">
        <v>13578000000</v>
      </c>
    </row>
    <row r="83" spans="2:6">
      <c r="B83" s="21" t="s">
        <v>125</v>
      </c>
      <c r="C83" s="21">
        <v>216000000</v>
      </c>
      <c r="D83" s="21">
        <v>249000000</v>
      </c>
      <c r="E83" s="21">
        <v>353000000</v>
      </c>
      <c r="F83" s="21">
        <v>324000000</v>
      </c>
    </row>
    <row r="84" spans="2:6">
      <c r="B84" s="21" t="s">
        <v>126</v>
      </c>
      <c r="C84" s="21">
        <v>108000000</v>
      </c>
      <c r="D84" s="21">
        <v>91000000</v>
      </c>
      <c r="E84" s="21">
        <v>81000000</v>
      </c>
      <c r="F84" s="21">
        <v>52000000</v>
      </c>
    </row>
    <row r="85" spans="2:6">
      <c r="B85" s="21" t="s">
        <v>127</v>
      </c>
      <c r="C85" s="21">
        <v>216000000</v>
      </c>
      <c r="D85" s="21">
        <v>249000000</v>
      </c>
      <c r="E85" s="21">
        <v>353000000</v>
      </c>
      <c r="F85" s="21"/>
    </row>
    <row r="86" spans="2:6">
      <c r="B86" s="21" t="s">
        <v>128</v>
      </c>
      <c r="C86" s="21">
        <v>5195000000</v>
      </c>
      <c r="D86" s="21">
        <v>5166000000</v>
      </c>
      <c r="E86" s="21">
        <v>5855000000</v>
      </c>
      <c r="F86" s="21">
        <v>5820000000</v>
      </c>
    </row>
    <row r="87" spans="2:6">
      <c r="B87" s="21" t="s">
        <v>129</v>
      </c>
      <c r="C87" s="21">
        <v>-34000000</v>
      </c>
      <c r="D87" s="21">
        <v>-67000000</v>
      </c>
      <c r="E87" s="21">
        <v>-43000000</v>
      </c>
      <c r="F87" s="21">
        <v>-46000000</v>
      </c>
    </row>
    <row r="88" spans="2:6">
      <c r="B88" s="21" t="s">
        <v>130</v>
      </c>
      <c r="C88" s="21">
        <v>5229000000</v>
      </c>
      <c r="D88" s="21">
        <v>5233000000</v>
      </c>
      <c r="E88" s="21">
        <v>5898000000</v>
      </c>
      <c r="F88" s="21">
        <v>5866000000</v>
      </c>
    </row>
    <row r="89" spans="2:6">
      <c r="B89" s="21" t="s">
        <v>131</v>
      </c>
      <c r="C89" s="21">
        <v>5229000000</v>
      </c>
      <c r="D89" s="21"/>
      <c r="E89" s="21"/>
      <c r="F89" s="21"/>
    </row>
    <row r="90" spans="2:6">
      <c r="B90" s="21" t="s">
        <v>132</v>
      </c>
      <c r="C90" s="21">
        <v>4086000000</v>
      </c>
      <c r="D90" s="21">
        <v>4691000000</v>
      </c>
      <c r="E90" s="21">
        <v>5153000000</v>
      </c>
      <c r="F90" s="21">
        <v>5430000000</v>
      </c>
    </row>
    <row r="91" spans="2:6">
      <c r="B91" s="21" t="s">
        <v>133</v>
      </c>
      <c r="C91" s="21">
        <v>0</v>
      </c>
      <c r="D91" s="21">
        <v>301000000</v>
      </c>
      <c r="E91" s="21">
        <v>0</v>
      </c>
      <c r="F91" s="21"/>
    </row>
    <row r="92" spans="2:6">
      <c r="B92" s="21" t="s">
        <v>134</v>
      </c>
      <c r="C92" s="21">
        <v>4086000000</v>
      </c>
      <c r="D92" s="21">
        <v>4390000000</v>
      </c>
      <c r="E92" s="21">
        <v>5153000000</v>
      </c>
      <c r="F92" s="21">
        <v>5430000000</v>
      </c>
    </row>
    <row r="93" spans="2:6">
      <c r="B93" s="21" t="s">
        <v>135</v>
      </c>
      <c r="C93" s="21">
        <v>-257000000</v>
      </c>
      <c r="D93" s="21">
        <v>-228000000</v>
      </c>
      <c r="E93" s="21">
        <v>-237000000</v>
      </c>
      <c r="F93" s="21">
        <v>-292000000</v>
      </c>
    </row>
    <row r="94" spans="2:6">
      <c r="B94" s="21" t="s">
        <v>136</v>
      </c>
      <c r="C94" s="21">
        <v>4343000000</v>
      </c>
      <c r="D94" s="21">
        <v>4618000000</v>
      </c>
      <c r="E94" s="21">
        <v>5390000000</v>
      </c>
      <c r="F94" s="21">
        <v>5722000000</v>
      </c>
    </row>
    <row r="95" spans="2:6">
      <c r="B95" s="21" t="s">
        <v>137</v>
      </c>
      <c r="C95" s="21">
        <v>1937000000</v>
      </c>
      <c r="D95" s="21">
        <v>2440000000</v>
      </c>
      <c r="E95" s="21">
        <v>1934000000</v>
      </c>
      <c r="F95" s="21">
        <v>1952000000</v>
      </c>
    </row>
    <row r="96" spans="2:6">
      <c r="B96" s="21" t="s">
        <v>138</v>
      </c>
      <c r="C96" s="21">
        <v>269000000</v>
      </c>
      <c r="D96" s="21">
        <v>464000000</v>
      </c>
      <c r="E96" s="21">
        <v>326000000</v>
      </c>
      <c r="F96" s="21">
        <v>464000000</v>
      </c>
    </row>
    <row r="97" spans="2:6">
      <c r="B97" s="21" t="s">
        <v>139</v>
      </c>
      <c r="C97" s="21">
        <v>1668000000</v>
      </c>
      <c r="D97" s="21">
        <v>1976000000</v>
      </c>
      <c r="E97" s="21">
        <v>1608000000</v>
      </c>
      <c r="F97" s="21">
        <v>1488000000</v>
      </c>
    </row>
    <row r="98" spans="2:6">
      <c r="B98" s="21" t="s">
        <v>140</v>
      </c>
      <c r="C98" s="21">
        <v>796000000</v>
      </c>
      <c r="D98" s="21">
        <v>1127000000</v>
      </c>
      <c r="E98" s="21">
        <v>831000000</v>
      </c>
      <c r="F98" s="21">
        <v>541000000</v>
      </c>
    </row>
    <row r="99" spans="2:6">
      <c r="B99" s="21" t="s">
        <v>141</v>
      </c>
      <c r="C99" s="21">
        <v>872000000</v>
      </c>
      <c r="D99" s="21">
        <v>849000000</v>
      </c>
      <c r="E99" s="21">
        <v>777000000</v>
      </c>
      <c r="F99" s="21">
        <v>947000000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6703-C29F-4886-BEDC-3D3B6FA15C5D}">
  <sheetPr>
    <tabColor rgb="FFC00000"/>
  </sheetPr>
  <dimension ref="B2:H96"/>
  <sheetViews>
    <sheetView topLeftCell="A71" workbookViewId="0">
      <selection activeCell="B83" sqref="B2:F96"/>
    </sheetView>
  </sheetViews>
  <sheetFormatPr defaultRowHeight="14.4"/>
  <cols>
    <col min="2" max="2" width="51.21875" bestFit="1" customWidth="1"/>
    <col min="3" max="4" width="12" bestFit="1" customWidth="1"/>
    <col min="5" max="5" width="12.6640625" bestFit="1" customWidth="1"/>
    <col min="6" max="7" width="12" bestFit="1" customWidth="1"/>
    <col min="8" max="8" width="10" bestFit="1" customWidth="1"/>
  </cols>
  <sheetData>
    <row r="2" spans="2:8">
      <c r="B2" s="21" t="s">
        <v>41</v>
      </c>
      <c r="C2" s="22">
        <v>45473</v>
      </c>
      <c r="D2" s="22">
        <v>45382</v>
      </c>
      <c r="E2" s="22">
        <v>45291</v>
      </c>
      <c r="F2" s="22">
        <v>45199</v>
      </c>
      <c r="G2" s="1"/>
      <c r="H2" s="1"/>
    </row>
    <row r="3" spans="2:8">
      <c r="B3" s="21" t="s">
        <v>45</v>
      </c>
      <c r="C3" s="21">
        <v>656147</v>
      </c>
      <c r="D3" s="21">
        <v>753100</v>
      </c>
      <c r="E3" s="21">
        <v>1269239</v>
      </c>
      <c r="F3" s="21"/>
    </row>
    <row r="4" spans="2:8">
      <c r="B4" s="21" t="s">
        <v>46</v>
      </c>
      <c r="C4" s="21">
        <v>9000000</v>
      </c>
      <c r="D4" s="21">
        <v>9000000</v>
      </c>
      <c r="E4" s="21">
        <v>9000000</v>
      </c>
      <c r="F4" s="21">
        <v>9000000</v>
      </c>
    </row>
    <row r="5" spans="2:8">
      <c r="B5" s="21" t="s">
        <v>47</v>
      </c>
      <c r="C5" s="21">
        <v>305391638</v>
      </c>
      <c r="D5" s="21">
        <v>307405575</v>
      </c>
      <c r="E5" s="21">
        <v>309257140</v>
      </c>
      <c r="F5" s="21">
        <v>309257140</v>
      </c>
    </row>
    <row r="6" spans="2:8">
      <c r="B6" s="21" t="s">
        <v>48</v>
      </c>
      <c r="C6" s="21">
        <v>306047785</v>
      </c>
      <c r="D6" s="21">
        <v>308158675</v>
      </c>
      <c r="E6" s="21">
        <v>310526379</v>
      </c>
      <c r="F6" s="21">
        <v>309257140</v>
      </c>
    </row>
    <row r="7" spans="2:8">
      <c r="B7" s="21" t="s">
        <v>49</v>
      </c>
      <c r="C7" s="21">
        <v>7888000000</v>
      </c>
      <c r="D7" s="21">
        <v>7410000000</v>
      </c>
      <c r="E7" s="21">
        <v>7227000000</v>
      </c>
      <c r="F7" s="21">
        <v>7304000000</v>
      </c>
    </row>
    <row r="8" spans="2:8">
      <c r="B8" s="21" t="s">
        <v>50</v>
      </c>
      <c r="C8" s="21">
        <v>18615000000</v>
      </c>
      <c r="D8" s="21">
        <v>18127000000</v>
      </c>
      <c r="E8" s="21">
        <v>18173000000</v>
      </c>
      <c r="F8" s="21">
        <v>17692000000</v>
      </c>
    </row>
    <row r="9" spans="2:8">
      <c r="B9" s="21" t="s">
        <v>51</v>
      </c>
      <c r="C9" s="21">
        <v>937000000</v>
      </c>
      <c r="D9" s="21">
        <v>732000000</v>
      </c>
      <c r="E9" s="21">
        <v>900000000</v>
      </c>
      <c r="F9" s="21">
        <v>736000000</v>
      </c>
    </row>
    <row r="10" spans="2:8">
      <c r="B10" s="21" t="s">
        <v>52</v>
      </c>
      <c r="C10" s="21">
        <v>20187000000</v>
      </c>
      <c r="D10" s="21">
        <v>19634000000</v>
      </c>
      <c r="E10" s="21">
        <v>19958000000</v>
      </c>
      <c r="F10" s="21">
        <v>19742000000</v>
      </c>
    </row>
    <row r="11" spans="2:8">
      <c r="B11" s="21" t="s">
        <v>53</v>
      </c>
      <c r="C11" s="21">
        <v>3479000000</v>
      </c>
      <c r="D11" s="21">
        <v>2870000000</v>
      </c>
      <c r="E11" s="21">
        <v>2731000000</v>
      </c>
      <c r="F11" s="21">
        <v>2730000000</v>
      </c>
    </row>
    <row r="12" spans="2:8">
      <c r="B12" s="21" t="s">
        <v>54</v>
      </c>
      <c r="C12" s="21">
        <v>1158000000</v>
      </c>
      <c r="D12" s="21">
        <v>953000000</v>
      </c>
      <c r="E12" s="21">
        <v>1121000000</v>
      </c>
      <c r="F12" s="21">
        <v>957000000</v>
      </c>
    </row>
    <row r="13" spans="2:8">
      <c r="B13" s="21" t="s">
        <v>55</v>
      </c>
      <c r="C13" s="21">
        <v>9445000000</v>
      </c>
      <c r="D13" s="21">
        <v>9429000000</v>
      </c>
      <c r="E13" s="21">
        <v>9458000000</v>
      </c>
      <c r="F13" s="21">
        <v>9160000000</v>
      </c>
    </row>
    <row r="14" spans="2:8">
      <c r="B14" s="21" t="s">
        <v>56</v>
      </c>
      <c r="C14" s="21">
        <v>11017000000</v>
      </c>
      <c r="D14" s="21">
        <v>10936000000</v>
      </c>
      <c r="E14" s="21">
        <v>11243000000</v>
      </c>
      <c r="F14" s="21">
        <v>11210000000</v>
      </c>
    </row>
    <row r="15" spans="2:8">
      <c r="B15" s="21" t="s">
        <v>57</v>
      </c>
      <c r="C15" s="21">
        <v>221000000</v>
      </c>
      <c r="D15" s="21">
        <v>221000000</v>
      </c>
      <c r="E15" s="21">
        <v>221000000</v>
      </c>
      <c r="F15" s="21">
        <v>221000000</v>
      </c>
    </row>
    <row r="16" spans="2:8">
      <c r="B16" s="21" t="s">
        <v>58</v>
      </c>
      <c r="C16" s="21">
        <v>18979000000</v>
      </c>
      <c r="D16" s="21">
        <v>18216000000</v>
      </c>
      <c r="E16" s="21">
        <v>18125000000</v>
      </c>
      <c r="F16" s="21">
        <v>18017000000</v>
      </c>
    </row>
    <row r="17" spans="2:6">
      <c r="B17" s="21" t="s">
        <v>59</v>
      </c>
      <c r="C17" s="21">
        <v>11398000000</v>
      </c>
      <c r="D17" s="21">
        <v>11297000000</v>
      </c>
      <c r="E17" s="21">
        <v>11619000000</v>
      </c>
      <c r="F17" s="21">
        <v>11583000000</v>
      </c>
    </row>
    <row r="18" spans="2:6">
      <c r="B18" s="21" t="s">
        <v>60</v>
      </c>
      <c r="C18" s="21">
        <v>160000000</v>
      </c>
      <c r="D18" s="21">
        <v>140000000</v>
      </c>
      <c r="E18" s="21">
        <v>155000000</v>
      </c>
      <c r="F18" s="21">
        <v>152000000</v>
      </c>
    </row>
    <row r="19" spans="2:6">
      <c r="B19" s="21" t="s">
        <v>61</v>
      </c>
      <c r="C19" s="21">
        <v>11238000000</v>
      </c>
      <c r="D19" s="21">
        <v>11157000000</v>
      </c>
      <c r="E19" s="21">
        <v>11464000000</v>
      </c>
      <c r="F19" s="21">
        <v>11431000000</v>
      </c>
    </row>
    <row r="20" spans="2:6">
      <c r="B20" s="21" t="s">
        <v>62</v>
      </c>
      <c r="C20" s="21">
        <v>29000000</v>
      </c>
      <c r="D20" s="21">
        <v>34000000</v>
      </c>
      <c r="E20" s="21">
        <v>35000000</v>
      </c>
      <c r="F20" s="21">
        <v>37000000</v>
      </c>
    </row>
    <row r="21" spans="2:6">
      <c r="B21" s="21" t="s">
        <v>63</v>
      </c>
      <c r="C21" s="21">
        <v>29000000</v>
      </c>
      <c r="D21" s="21">
        <v>34000000</v>
      </c>
      <c r="E21" s="21">
        <v>35000000</v>
      </c>
      <c r="F21" s="21">
        <v>37000000</v>
      </c>
    </row>
    <row r="22" spans="2:6">
      <c r="B22" s="21" t="s">
        <v>64</v>
      </c>
      <c r="C22" s="21">
        <v>4607000000</v>
      </c>
      <c r="D22" s="21">
        <v>4547000000</v>
      </c>
      <c r="E22" s="21">
        <v>4816000000</v>
      </c>
      <c r="F22" s="21">
        <v>4725000000</v>
      </c>
    </row>
    <row r="23" spans="2:6">
      <c r="B23" s="21" t="s">
        <v>65</v>
      </c>
      <c r="C23" s="21">
        <v>105000000</v>
      </c>
      <c r="D23" s="21">
        <v>109000000</v>
      </c>
      <c r="E23" s="21">
        <v>136000000</v>
      </c>
      <c r="F23" s="21">
        <v>127000000</v>
      </c>
    </row>
    <row r="24" spans="2:6">
      <c r="B24" s="21" t="s">
        <v>66</v>
      </c>
      <c r="C24" s="21">
        <v>6497000000</v>
      </c>
      <c r="D24" s="21">
        <v>6467000000</v>
      </c>
      <c r="E24" s="21">
        <v>6477000000</v>
      </c>
      <c r="F24" s="21">
        <v>6542000000</v>
      </c>
    </row>
    <row r="25" spans="2:6">
      <c r="B25" s="21" t="s">
        <v>67</v>
      </c>
      <c r="C25" s="21">
        <v>6276000000</v>
      </c>
      <c r="D25" s="21">
        <v>6246000000</v>
      </c>
      <c r="E25" s="21">
        <v>6256000000</v>
      </c>
      <c r="F25" s="21">
        <v>6321000000</v>
      </c>
    </row>
    <row r="26" spans="2:6">
      <c r="B26" s="21" t="s">
        <v>68</v>
      </c>
      <c r="C26" s="21">
        <v>221000000</v>
      </c>
      <c r="D26" s="21">
        <v>221000000</v>
      </c>
      <c r="E26" s="21">
        <v>221000000</v>
      </c>
      <c r="F26" s="21">
        <v>221000000</v>
      </c>
    </row>
    <row r="27" spans="2:6">
      <c r="B27" s="21" t="s">
        <v>69</v>
      </c>
      <c r="C27" s="21">
        <v>27214000000</v>
      </c>
      <c r="D27" s="21">
        <v>26937000000</v>
      </c>
      <c r="E27" s="21">
        <v>27360000000</v>
      </c>
      <c r="F27" s="21">
        <v>26669000000</v>
      </c>
    </row>
    <row r="28" spans="2:6">
      <c r="B28" s="21" t="s">
        <v>70</v>
      </c>
      <c r="C28" s="21">
        <v>17429000000</v>
      </c>
      <c r="D28" s="21">
        <v>16830000000</v>
      </c>
      <c r="E28" s="21">
        <v>16513000000</v>
      </c>
      <c r="F28" s="21">
        <v>16042000000</v>
      </c>
    </row>
    <row r="29" spans="2:6">
      <c r="B29" s="21" t="s">
        <v>71</v>
      </c>
      <c r="C29" s="21">
        <v>595000000</v>
      </c>
      <c r="D29" s="21">
        <v>615000000</v>
      </c>
      <c r="E29" s="21">
        <v>221000000</v>
      </c>
      <c r="F29" s="21">
        <v>537000000</v>
      </c>
    </row>
    <row r="30" spans="2:6">
      <c r="B30" s="21" t="s">
        <v>72</v>
      </c>
      <c r="C30" s="21"/>
      <c r="D30" s="21"/>
      <c r="E30" s="21">
        <v>373000000</v>
      </c>
      <c r="F30" s="21"/>
    </row>
    <row r="31" spans="2:6">
      <c r="B31" s="21" t="s">
        <v>73</v>
      </c>
      <c r="C31" s="21"/>
      <c r="D31" s="21"/>
      <c r="E31" s="21">
        <v>242000000</v>
      </c>
      <c r="F31" s="21"/>
    </row>
    <row r="32" spans="2:6">
      <c r="B32" s="21" t="s">
        <v>74</v>
      </c>
      <c r="C32" s="21">
        <v>1003000000</v>
      </c>
      <c r="D32" s="21">
        <v>1065000000</v>
      </c>
      <c r="E32" s="21">
        <v>1132000000</v>
      </c>
      <c r="F32" s="21">
        <v>1091000000</v>
      </c>
    </row>
    <row r="33" spans="2:6">
      <c r="B33" s="21" t="s">
        <v>75</v>
      </c>
      <c r="C33" s="21">
        <v>1003000000</v>
      </c>
      <c r="D33" s="21">
        <v>1065000000</v>
      </c>
      <c r="E33" s="21">
        <v>1132000000</v>
      </c>
      <c r="F33" s="21">
        <v>1091000000</v>
      </c>
    </row>
    <row r="34" spans="2:6">
      <c r="B34" s="21" t="s">
        <v>76</v>
      </c>
      <c r="C34" s="21">
        <v>15709000000</v>
      </c>
      <c r="D34" s="21">
        <v>15029000000</v>
      </c>
      <c r="E34" s="21">
        <v>14664000000</v>
      </c>
      <c r="F34" s="21">
        <v>14304000000</v>
      </c>
    </row>
    <row r="35" spans="2:6">
      <c r="B35" s="21" t="s">
        <v>77</v>
      </c>
      <c r="C35" s="21">
        <v>7968000000</v>
      </c>
      <c r="D35" s="21">
        <v>7970000000</v>
      </c>
      <c r="E35" s="21">
        <v>8003000000</v>
      </c>
      <c r="F35" s="21">
        <v>7718000000</v>
      </c>
    </row>
    <row r="36" spans="2:6">
      <c r="B36" s="21" t="s">
        <v>78</v>
      </c>
      <c r="C36" s="21">
        <v>7741000000</v>
      </c>
      <c r="D36" s="21">
        <v>7059000000</v>
      </c>
      <c r="E36" s="21">
        <v>6661000000</v>
      </c>
      <c r="F36" s="21">
        <v>6586000000</v>
      </c>
    </row>
    <row r="37" spans="2:6">
      <c r="B37" s="21" t="s">
        <v>79</v>
      </c>
      <c r="C37" s="21">
        <v>122000000</v>
      </c>
      <c r="D37" s="21">
        <v>121000000</v>
      </c>
      <c r="E37" s="21">
        <v>123000000</v>
      </c>
      <c r="F37" s="21">
        <v>110000000</v>
      </c>
    </row>
    <row r="38" spans="2:6">
      <c r="B38" s="21" t="s">
        <v>80</v>
      </c>
      <c r="C38" s="21">
        <v>9785000000</v>
      </c>
      <c r="D38" s="21">
        <v>10107000000</v>
      </c>
      <c r="E38" s="21">
        <v>10847000000</v>
      </c>
      <c r="F38" s="21">
        <v>10627000000</v>
      </c>
    </row>
    <row r="39" spans="2:6">
      <c r="B39" s="21" t="s">
        <v>81</v>
      </c>
      <c r="C39" s="21"/>
      <c r="D39" s="21"/>
      <c r="E39" s="21"/>
      <c r="F39" s="21"/>
    </row>
    <row r="40" spans="2:6">
      <c r="B40" s="21" t="s">
        <v>82</v>
      </c>
      <c r="C40" s="21">
        <v>304000000</v>
      </c>
      <c r="D40" s="21">
        <v>296000000</v>
      </c>
      <c r="E40" s="21">
        <v>289000000</v>
      </c>
      <c r="F40" s="21">
        <v>342000000</v>
      </c>
    </row>
    <row r="41" spans="2:6">
      <c r="B41" s="21" t="s">
        <v>83</v>
      </c>
      <c r="C41" s="21">
        <v>304000000</v>
      </c>
      <c r="D41" s="21">
        <v>296000000</v>
      </c>
      <c r="E41" s="21">
        <v>289000000</v>
      </c>
      <c r="F41" s="21">
        <v>342000000</v>
      </c>
    </row>
    <row r="42" spans="2:6">
      <c r="B42" s="21" t="s">
        <v>84</v>
      </c>
      <c r="C42" s="21">
        <v>2906000000</v>
      </c>
      <c r="D42" s="21">
        <v>3098000000</v>
      </c>
      <c r="E42" s="21">
        <v>3509000000</v>
      </c>
      <c r="F42" s="21">
        <v>3388000000</v>
      </c>
    </row>
    <row r="43" spans="2:6">
      <c r="B43" s="21" t="s">
        <v>85</v>
      </c>
      <c r="C43" s="21">
        <v>1477000000</v>
      </c>
      <c r="D43" s="21">
        <v>1459000000</v>
      </c>
      <c r="E43" s="21">
        <v>1455000000</v>
      </c>
      <c r="F43" s="21">
        <v>1442000000</v>
      </c>
    </row>
    <row r="44" spans="2:6">
      <c r="B44" s="21" t="s">
        <v>86</v>
      </c>
      <c r="C44" s="21">
        <v>1429000000</v>
      </c>
      <c r="D44" s="21">
        <v>1639000000</v>
      </c>
      <c r="E44" s="21">
        <v>2054000000</v>
      </c>
      <c r="F44" s="21">
        <v>1946000000</v>
      </c>
    </row>
    <row r="45" spans="2:6">
      <c r="B45" s="21" t="s">
        <v>87</v>
      </c>
      <c r="C45" s="21">
        <v>1391000000</v>
      </c>
      <c r="D45" s="21">
        <v>1638000000</v>
      </c>
      <c r="E45" s="21">
        <v>2041000000</v>
      </c>
      <c r="F45" s="21">
        <v>1924000000</v>
      </c>
    </row>
    <row r="46" spans="2:6">
      <c r="B46" s="21" t="s">
        <v>88</v>
      </c>
      <c r="C46" s="21">
        <v>38000000</v>
      </c>
      <c r="D46" s="21">
        <v>1000000</v>
      </c>
      <c r="E46" s="21">
        <v>13000000</v>
      </c>
      <c r="F46" s="21">
        <v>22000000</v>
      </c>
    </row>
    <row r="47" spans="2:6">
      <c r="B47" s="21" t="s">
        <v>89</v>
      </c>
      <c r="C47" s="21">
        <v>284000000</v>
      </c>
      <c r="D47" s="21">
        <v>120000000</v>
      </c>
      <c r="E47" s="21">
        <v>115000000</v>
      </c>
      <c r="F47" s="21">
        <v>121000000</v>
      </c>
    </row>
    <row r="48" spans="2:6">
      <c r="B48" s="21" t="s">
        <v>90</v>
      </c>
      <c r="C48" s="21">
        <v>6291000000</v>
      </c>
      <c r="D48" s="21">
        <v>6593000000</v>
      </c>
      <c r="E48" s="21">
        <v>6934000000</v>
      </c>
      <c r="F48" s="21">
        <v>6776000000</v>
      </c>
    </row>
    <row r="49" spans="2:6">
      <c r="B49" s="21" t="s">
        <v>91</v>
      </c>
      <c r="C49" s="21">
        <v>6291000000</v>
      </c>
      <c r="D49" s="21">
        <v>6593000000</v>
      </c>
      <c r="E49" s="21">
        <v>6934000000</v>
      </c>
      <c r="F49" s="21">
        <v>6776000000</v>
      </c>
    </row>
    <row r="50" spans="2:6">
      <c r="B50" s="21" t="s">
        <v>92</v>
      </c>
      <c r="C50" s="21">
        <v>378000000</v>
      </c>
      <c r="D50" s="21">
        <v>393000000</v>
      </c>
      <c r="E50" s="21">
        <v>370000000</v>
      </c>
      <c r="F50" s="21">
        <v>408000000</v>
      </c>
    </row>
    <row r="51" spans="2:6">
      <c r="B51" s="21" t="s">
        <v>93</v>
      </c>
      <c r="C51" s="21">
        <v>119000000</v>
      </c>
      <c r="D51" s="21">
        <v>143000000</v>
      </c>
      <c r="E51" s="21">
        <v>240000000</v>
      </c>
      <c r="F51" s="21">
        <v>181000000</v>
      </c>
    </row>
    <row r="52" spans="2:6">
      <c r="B52" s="21" t="s">
        <v>94</v>
      </c>
      <c r="C52" s="21">
        <v>119000000</v>
      </c>
      <c r="D52" s="21">
        <v>143000000</v>
      </c>
      <c r="E52" s="21">
        <v>240000000</v>
      </c>
      <c r="F52" s="21">
        <v>181000000</v>
      </c>
    </row>
    <row r="53" spans="2:6">
      <c r="B53" s="21" t="s">
        <v>95</v>
      </c>
      <c r="C53" s="21">
        <v>5794000000</v>
      </c>
      <c r="D53" s="21">
        <v>6057000000</v>
      </c>
      <c r="E53" s="21">
        <v>6324000000</v>
      </c>
      <c r="F53" s="21">
        <v>6187000000</v>
      </c>
    </row>
    <row r="54" spans="2:6">
      <c r="B54" s="21" t="s">
        <v>96</v>
      </c>
      <c r="C54" s="21">
        <v>38612000000</v>
      </c>
      <c r="D54" s="21">
        <v>38234000000</v>
      </c>
      <c r="E54" s="21">
        <v>38979000000</v>
      </c>
      <c r="F54" s="21">
        <v>38252000000</v>
      </c>
    </row>
    <row r="55" spans="2:6">
      <c r="B55" s="21" t="s">
        <v>97</v>
      </c>
      <c r="C55" s="21">
        <v>25348000000</v>
      </c>
      <c r="D55" s="21">
        <v>25257000000</v>
      </c>
      <c r="E55" s="21">
        <v>25401000000</v>
      </c>
      <c r="F55" s="21">
        <v>24895000000</v>
      </c>
    </row>
    <row r="56" spans="2:6">
      <c r="B56" s="21" t="s">
        <v>98</v>
      </c>
      <c r="C56" s="21">
        <v>762000000</v>
      </c>
      <c r="D56" s="21">
        <v>764000000</v>
      </c>
      <c r="E56" s="21">
        <v>78000000</v>
      </c>
      <c r="F56" s="21">
        <v>630000000</v>
      </c>
    </row>
    <row r="57" spans="2:6">
      <c r="B57" s="21" t="s">
        <v>99</v>
      </c>
      <c r="C57" s="21"/>
      <c r="D57" s="21"/>
      <c r="E57" s="21">
        <v>297000000</v>
      </c>
      <c r="F57" s="21"/>
    </row>
    <row r="58" spans="2:6">
      <c r="B58" s="21" t="s">
        <v>100</v>
      </c>
      <c r="C58" s="21">
        <v>124000000</v>
      </c>
      <c r="D58" s="21">
        <v>126000000</v>
      </c>
      <c r="E58" s="21">
        <v>125000000</v>
      </c>
      <c r="F58" s="21">
        <v>120000000</v>
      </c>
    </row>
    <row r="59" spans="2:6">
      <c r="B59" s="21" t="s">
        <v>101</v>
      </c>
      <c r="C59" s="21">
        <v>124000000</v>
      </c>
      <c r="D59" s="21">
        <v>126000000</v>
      </c>
      <c r="E59" s="21">
        <v>125000000</v>
      </c>
      <c r="F59" s="21">
        <v>120000000</v>
      </c>
    </row>
    <row r="60" spans="2:6">
      <c r="B60" s="21" t="s">
        <v>103</v>
      </c>
      <c r="C60" s="21"/>
      <c r="D60" s="21"/>
      <c r="E60" s="21">
        <v>68000000</v>
      </c>
      <c r="F60" s="21"/>
    </row>
    <row r="61" spans="2:6">
      <c r="B61" s="21" t="s">
        <v>104</v>
      </c>
      <c r="C61" s="21"/>
      <c r="D61" s="21"/>
      <c r="E61" s="21">
        <v>396000000</v>
      </c>
      <c r="F61" s="21"/>
    </row>
    <row r="62" spans="2:6">
      <c r="B62" s="21" t="s">
        <v>105</v>
      </c>
      <c r="C62" s="21"/>
      <c r="D62" s="21"/>
      <c r="E62" s="21">
        <v>115000000</v>
      </c>
      <c r="F62" s="21"/>
    </row>
    <row r="63" spans="2:6">
      <c r="B63" s="21" t="s">
        <v>106</v>
      </c>
      <c r="C63" s="21"/>
      <c r="D63" s="21"/>
      <c r="E63" s="21">
        <v>201000000</v>
      </c>
      <c r="F63" s="21"/>
    </row>
    <row r="64" spans="2:6">
      <c r="B64" s="21" t="s">
        <v>107</v>
      </c>
      <c r="C64" s="21"/>
      <c r="D64" s="21"/>
      <c r="E64" s="21">
        <v>80000000</v>
      </c>
      <c r="F64" s="21"/>
    </row>
    <row r="65" spans="2:6">
      <c r="B65" s="21" t="s">
        <v>108</v>
      </c>
      <c r="C65" s="21"/>
      <c r="D65" s="21"/>
      <c r="E65" s="21">
        <v>80000000</v>
      </c>
      <c r="F65" s="21"/>
    </row>
    <row r="66" spans="2:6">
      <c r="B66" s="21" t="s">
        <v>110</v>
      </c>
      <c r="C66" s="21">
        <v>85000000</v>
      </c>
      <c r="D66" s="21">
        <v>85000000</v>
      </c>
      <c r="E66" s="21">
        <v>53000000</v>
      </c>
      <c r="F66" s="21">
        <v>48000000</v>
      </c>
    </row>
    <row r="67" spans="2:6">
      <c r="B67" s="21" t="s">
        <v>111</v>
      </c>
      <c r="C67" s="21">
        <v>10080000000</v>
      </c>
      <c r="D67" s="21">
        <v>10204000000</v>
      </c>
      <c r="E67" s="21">
        <v>10343000000</v>
      </c>
      <c r="F67" s="21">
        <v>10474000000</v>
      </c>
    </row>
    <row r="68" spans="2:6">
      <c r="B68" s="21" t="s">
        <v>112</v>
      </c>
      <c r="C68" s="21">
        <v>5726000000</v>
      </c>
      <c r="D68" s="21">
        <v>5855000000</v>
      </c>
      <c r="E68" s="21">
        <v>5994000000</v>
      </c>
      <c r="F68" s="21">
        <v>6121000000</v>
      </c>
    </row>
    <row r="69" spans="2:6">
      <c r="B69" s="21" t="s">
        <v>113</v>
      </c>
      <c r="C69" s="21">
        <v>4354000000</v>
      </c>
      <c r="D69" s="21">
        <v>4349000000</v>
      </c>
      <c r="E69" s="21">
        <v>4349000000</v>
      </c>
      <c r="F69" s="21">
        <v>4353000000</v>
      </c>
    </row>
    <row r="70" spans="2:6">
      <c r="B70" s="21" t="s">
        <v>114</v>
      </c>
      <c r="C70" s="21">
        <v>14297000000</v>
      </c>
      <c r="D70" s="21">
        <v>14078000000</v>
      </c>
      <c r="E70" s="21">
        <v>14041000000</v>
      </c>
      <c r="F70" s="21">
        <v>13623000000</v>
      </c>
    </row>
    <row r="71" spans="2:6">
      <c r="B71" s="21" t="s">
        <v>115</v>
      </c>
      <c r="C71" s="21"/>
      <c r="D71" s="21"/>
      <c r="E71" s="21">
        <v>-16954000000</v>
      </c>
      <c r="F71" s="21"/>
    </row>
    <row r="72" spans="2:6">
      <c r="B72" s="21" t="s">
        <v>116</v>
      </c>
      <c r="C72" s="21">
        <v>14297000000</v>
      </c>
      <c r="D72" s="21">
        <v>14078000000</v>
      </c>
      <c r="E72" s="21">
        <v>30995000000</v>
      </c>
      <c r="F72" s="21">
        <v>13623000000</v>
      </c>
    </row>
    <row r="73" spans="2:6">
      <c r="B73" s="21" t="s">
        <v>117</v>
      </c>
      <c r="C73" s="21"/>
      <c r="D73" s="21"/>
      <c r="E73" s="21">
        <v>17166000000</v>
      </c>
      <c r="F73" s="21"/>
    </row>
    <row r="74" spans="2:6">
      <c r="B74" s="21" t="s">
        <v>118</v>
      </c>
      <c r="C74" s="21"/>
      <c r="D74" s="21"/>
      <c r="E74" s="21">
        <v>1019000000</v>
      </c>
      <c r="F74" s="21"/>
    </row>
    <row r="75" spans="2:6">
      <c r="B75" s="21" t="s">
        <v>119</v>
      </c>
      <c r="C75" s="21">
        <v>14297000000</v>
      </c>
      <c r="D75" s="21">
        <v>14078000000</v>
      </c>
      <c r="E75" s="21">
        <v>181000000</v>
      </c>
      <c r="F75" s="21">
        <v>13623000000</v>
      </c>
    </row>
    <row r="76" spans="2:6">
      <c r="B76" s="21" t="s">
        <v>120</v>
      </c>
      <c r="C76" s="21"/>
      <c r="D76" s="21"/>
      <c r="E76" s="21">
        <v>10740000000</v>
      </c>
      <c r="F76" s="21"/>
    </row>
    <row r="77" spans="2:6">
      <c r="B77" s="21" t="s">
        <v>121</v>
      </c>
      <c r="C77" s="21"/>
      <c r="D77" s="21"/>
      <c r="E77" s="21">
        <v>1700000000</v>
      </c>
      <c r="F77" s="21"/>
    </row>
    <row r="78" spans="2:6">
      <c r="B78" s="21" t="s">
        <v>122</v>
      </c>
      <c r="C78" s="21"/>
      <c r="D78" s="21"/>
      <c r="E78" s="21">
        <v>189000000</v>
      </c>
      <c r="F78" s="21"/>
    </row>
    <row r="79" spans="2:6">
      <c r="B79" s="21" t="s">
        <v>123</v>
      </c>
      <c r="C79" s="21"/>
      <c r="D79" s="21"/>
      <c r="E79" s="21">
        <v>0</v>
      </c>
      <c r="F79" s="21"/>
    </row>
    <row r="80" spans="2:6">
      <c r="B80" s="21" t="s">
        <v>124</v>
      </c>
      <c r="C80" s="21">
        <v>13264000000</v>
      </c>
      <c r="D80" s="21">
        <v>12977000000</v>
      </c>
      <c r="E80" s="21">
        <v>13578000000</v>
      </c>
      <c r="F80" s="21">
        <v>13357000000</v>
      </c>
    </row>
    <row r="81" spans="2:6">
      <c r="B81" s="21" t="s">
        <v>125</v>
      </c>
      <c r="C81" s="21">
        <v>371000000</v>
      </c>
      <c r="D81" s="21">
        <v>373000000</v>
      </c>
      <c r="E81" s="21">
        <v>324000000</v>
      </c>
      <c r="F81" s="21">
        <v>372000000</v>
      </c>
    </row>
    <row r="82" spans="2:6">
      <c r="B82" s="21" t="s">
        <v>126</v>
      </c>
      <c r="C82" s="21">
        <v>33000000</v>
      </c>
      <c r="D82" s="21">
        <v>20000000</v>
      </c>
      <c r="E82" s="21">
        <v>52000000</v>
      </c>
      <c r="F82" s="21">
        <v>80000000</v>
      </c>
    </row>
    <row r="83" spans="2:6">
      <c r="B83" s="21" t="s">
        <v>127</v>
      </c>
      <c r="C83" s="21">
        <v>250000000</v>
      </c>
      <c r="D83" s="21"/>
      <c r="E83" s="21"/>
      <c r="F83" s="21">
        <v>0</v>
      </c>
    </row>
    <row r="84" spans="2:6">
      <c r="B84" s="21" t="s">
        <v>128</v>
      </c>
      <c r="C84" s="21">
        <v>5772000000</v>
      </c>
      <c r="D84" s="21">
        <v>5948000000</v>
      </c>
      <c r="E84" s="21">
        <v>5820000000</v>
      </c>
      <c r="F84" s="21">
        <v>5870000000</v>
      </c>
    </row>
    <row r="85" spans="2:6">
      <c r="B85" s="21" t="s">
        <v>129</v>
      </c>
      <c r="C85" s="21"/>
      <c r="D85" s="21"/>
      <c r="E85" s="21">
        <v>-46000000</v>
      </c>
      <c r="F85" s="21"/>
    </row>
    <row r="86" spans="2:6">
      <c r="B86" s="21" t="s">
        <v>130</v>
      </c>
      <c r="C86" s="21"/>
      <c r="D86" s="21"/>
      <c r="E86" s="21">
        <v>5866000000</v>
      </c>
      <c r="F86" s="21"/>
    </row>
    <row r="87" spans="2:6">
      <c r="B87" s="21" t="s">
        <v>132</v>
      </c>
      <c r="C87" s="21">
        <v>5144000000</v>
      </c>
      <c r="D87" s="21">
        <v>5027000000</v>
      </c>
      <c r="E87" s="21">
        <v>5430000000</v>
      </c>
      <c r="F87" s="21">
        <v>5212000000</v>
      </c>
    </row>
    <row r="88" spans="2:6">
      <c r="B88" s="21" t="s">
        <v>133</v>
      </c>
      <c r="C88" s="21"/>
      <c r="D88" s="21"/>
      <c r="E88" s="21"/>
      <c r="F88" s="21"/>
    </row>
    <row r="89" spans="2:6">
      <c r="B89" s="21" t="s">
        <v>134</v>
      </c>
      <c r="C89" s="21">
        <v>5144000000</v>
      </c>
      <c r="D89" s="21">
        <v>5027000000</v>
      </c>
      <c r="E89" s="21">
        <v>5430000000</v>
      </c>
      <c r="F89" s="21">
        <v>5212000000</v>
      </c>
    </row>
    <row r="90" spans="2:6">
      <c r="B90" s="21" t="s">
        <v>135</v>
      </c>
      <c r="C90" s="21">
        <v>-266000000</v>
      </c>
      <c r="D90" s="21">
        <v>-265000000</v>
      </c>
      <c r="E90" s="21">
        <v>-292000000</v>
      </c>
      <c r="F90" s="21">
        <v>-231000000</v>
      </c>
    </row>
    <row r="91" spans="2:6">
      <c r="B91" s="21" t="s">
        <v>136</v>
      </c>
      <c r="C91" s="21">
        <v>5410000000</v>
      </c>
      <c r="D91" s="21">
        <v>5292000000</v>
      </c>
      <c r="E91" s="21">
        <v>5722000000</v>
      </c>
      <c r="F91" s="21">
        <v>5443000000</v>
      </c>
    </row>
    <row r="92" spans="2:6">
      <c r="B92" s="21" t="s">
        <v>137</v>
      </c>
      <c r="C92" s="21">
        <v>1694000000</v>
      </c>
      <c r="D92" s="21">
        <v>1609000000</v>
      </c>
      <c r="E92" s="21">
        <v>1952000000</v>
      </c>
      <c r="F92" s="21">
        <v>1823000000</v>
      </c>
    </row>
    <row r="93" spans="2:6">
      <c r="B93" s="21" t="s">
        <v>138</v>
      </c>
      <c r="C93" s="21">
        <v>412000000</v>
      </c>
      <c r="D93" s="21">
        <v>321000000</v>
      </c>
      <c r="E93" s="21">
        <v>464000000</v>
      </c>
      <c r="F93" s="21">
        <v>595000000</v>
      </c>
    </row>
    <row r="94" spans="2:6">
      <c r="B94" s="21" t="s">
        <v>139</v>
      </c>
      <c r="C94" s="21">
        <v>1282000000</v>
      </c>
      <c r="D94" s="21">
        <v>1288000000</v>
      </c>
      <c r="E94" s="21">
        <v>1488000000</v>
      </c>
      <c r="F94" s="21">
        <v>1228000000</v>
      </c>
    </row>
    <row r="95" spans="2:6">
      <c r="B95" s="21" t="s">
        <v>140</v>
      </c>
      <c r="C95" s="21"/>
      <c r="D95" s="21"/>
      <c r="E95" s="21">
        <v>541000000</v>
      </c>
      <c r="F95" s="21"/>
    </row>
    <row r="96" spans="2:6">
      <c r="B96" s="21" t="s">
        <v>141</v>
      </c>
      <c r="C96" s="21"/>
      <c r="D96" s="21"/>
      <c r="E96" s="21">
        <v>947000000</v>
      </c>
      <c r="F96" s="21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30B3-9741-4D41-BCBC-CC75D4EB30E7}">
  <sheetPr>
    <tabColor rgb="FFC00000"/>
  </sheetPr>
  <dimension ref="B2:F74"/>
  <sheetViews>
    <sheetView workbookViewId="0">
      <selection activeCell="B1" sqref="B1:F1048576"/>
    </sheetView>
  </sheetViews>
  <sheetFormatPr defaultRowHeight="14.4"/>
  <cols>
    <col min="2" max="2" width="40" bestFit="1" customWidth="1"/>
    <col min="3" max="6" width="11.6640625" bestFit="1" customWidth="1"/>
    <col min="9" max="9" width="39.109375" bestFit="1" customWidth="1"/>
    <col min="10" max="10" width="12" bestFit="1" customWidth="1"/>
    <col min="12" max="12" width="10.6640625" bestFit="1" customWidth="1"/>
  </cols>
  <sheetData>
    <row r="2" spans="2:6">
      <c r="B2" s="24" t="s">
        <v>41</v>
      </c>
      <c r="C2" s="141">
        <v>44196</v>
      </c>
      <c r="D2" s="141">
        <v>44561</v>
      </c>
      <c r="E2" s="141">
        <v>44926</v>
      </c>
      <c r="F2" s="141">
        <v>45291</v>
      </c>
    </row>
    <row r="3" spans="2:6">
      <c r="B3" s="24" t="s">
        <v>142</v>
      </c>
      <c r="C3" s="24">
        <v>4033000000</v>
      </c>
      <c r="D3" s="24">
        <v>3645000000</v>
      </c>
      <c r="E3" s="24">
        <v>3184000000</v>
      </c>
      <c r="F3" s="24">
        <v>3582000000</v>
      </c>
    </row>
    <row r="4" spans="2:6">
      <c r="B4" s="24" t="s">
        <v>143</v>
      </c>
      <c r="C4" s="24">
        <v>-898000000</v>
      </c>
      <c r="D4" s="24">
        <v>-1250000000</v>
      </c>
      <c r="E4" s="24">
        <v>-1396000000</v>
      </c>
      <c r="F4" s="24">
        <v>-1801000000</v>
      </c>
    </row>
    <row r="5" spans="2:6">
      <c r="B5" s="24" t="s">
        <v>144</v>
      </c>
      <c r="C5" s="24">
        <v>-2660000000</v>
      </c>
      <c r="D5" s="24">
        <v>-1782000000</v>
      </c>
      <c r="E5" s="24">
        <v>-2281000000</v>
      </c>
      <c r="F5" s="24">
        <v>-1833000000</v>
      </c>
    </row>
    <row r="6" spans="2:6">
      <c r="B6" s="24" t="s">
        <v>145</v>
      </c>
      <c r="C6" s="24">
        <v>1485000000</v>
      </c>
      <c r="D6" s="24">
        <v>772000000</v>
      </c>
      <c r="E6" s="24">
        <v>2068000000</v>
      </c>
      <c r="F6" s="24">
        <v>988000000</v>
      </c>
    </row>
    <row r="7" spans="2:6">
      <c r="B7" s="24" t="s">
        <v>146</v>
      </c>
      <c r="C7" s="24">
        <v>30000000</v>
      </c>
      <c r="D7" s="24">
        <v>102000000</v>
      </c>
      <c r="E7" s="24">
        <v>88000000</v>
      </c>
      <c r="F7" s="24">
        <v>61000000</v>
      </c>
    </row>
    <row r="8" spans="2:6">
      <c r="B8" s="24" t="s">
        <v>147</v>
      </c>
      <c r="C8" s="24">
        <v>-1158000000</v>
      </c>
      <c r="D8" s="24">
        <v>-1182000000</v>
      </c>
      <c r="E8" s="24">
        <v>-1571000000</v>
      </c>
      <c r="F8" s="24">
        <v>-2072000000</v>
      </c>
    </row>
    <row r="9" spans="2:6">
      <c r="B9" s="24" t="s">
        <v>148</v>
      </c>
      <c r="C9" s="24">
        <v>1668000000</v>
      </c>
      <c r="D9" s="24">
        <v>1976000000</v>
      </c>
      <c r="E9" s="24">
        <v>1608000000</v>
      </c>
      <c r="F9" s="24">
        <v>1488000000</v>
      </c>
    </row>
    <row r="10" spans="2:6">
      <c r="B10" s="24" t="s">
        <v>149</v>
      </c>
      <c r="C10" s="24">
        <v>1133000000</v>
      </c>
      <c r="D10" s="24">
        <v>1668000000</v>
      </c>
      <c r="E10" s="24">
        <v>1976000000</v>
      </c>
      <c r="F10" s="24">
        <v>1608000000</v>
      </c>
    </row>
    <row r="11" spans="2:6">
      <c r="B11" s="24" t="s">
        <v>150</v>
      </c>
      <c r="C11" s="24">
        <v>2000000</v>
      </c>
      <c r="D11" s="24">
        <v>1000000</v>
      </c>
      <c r="E11" s="24">
        <v>-4000000</v>
      </c>
      <c r="F11" s="24">
        <v>3000000</v>
      </c>
    </row>
    <row r="12" spans="2:6">
      <c r="B12" s="24" t="s">
        <v>151</v>
      </c>
      <c r="C12" s="24">
        <v>533000000</v>
      </c>
      <c r="D12" s="24">
        <v>307000000</v>
      </c>
      <c r="E12" s="24">
        <v>-364000000</v>
      </c>
      <c r="F12" s="24">
        <v>-123000000</v>
      </c>
    </row>
    <row r="13" spans="2:6">
      <c r="B13" s="24" t="s">
        <v>152</v>
      </c>
      <c r="C13" s="24">
        <v>-3282000000</v>
      </c>
      <c r="D13" s="24">
        <v>-3249000000</v>
      </c>
      <c r="E13" s="24">
        <v>-2751000000</v>
      </c>
      <c r="F13" s="24">
        <v>-3932000000</v>
      </c>
    </row>
    <row r="14" spans="2:6">
      <c r="B14" s="24" t="s">
        <v>153</v>
      </c>
      <c r="C14" s="24">
        <v>-3282000000</v>
      </c>
      <c r="D14" s="24">
        <v>-3249000000</v>
      </c>
      <c r="E14" s="24">
        <v>-2751000000</v>
      </c>
      <c r="F14" s="24">
        <v>-3932000000</v>
      </c>
    </row>
    <row r="15" spans="2:6">
      <c r="B15" s="24" t="s">
        <v>154</v>
      </c>
      <c r="C15" s="24">
        <v>46000000</v>
      </c>
      <c r="D15" s="24">
        <v>72000000</v>
      </c>
      <c r="E15" s="24">
        <v>-24000000</v>
      </c>
      <c r="F15" s="24">
        <v>6000000</v>
      </c>
    </row>
    <row r="16" spans="2:6">
      <c r="B16" s="24" t="s">
        <v>155</v>
      </c>
      <c r="C16" s="24">
        <v>-705000000</v>
      </c>
      <c r="D16" s="24">
        <v>-679000000</v>
      </c>
      <c r="E16" s="24">
        <v>-677000000</v>
      </c>
      <c r="F16" s="24">
        <v>-791000000</v>
      </c>
    </row>
    <row r="17" spans="2:6">
      <c r="B17" s="24" t="s">
        <v>156</v>
      </c>
      <c r="C17" s="24">
        <v>-580000000</v>
      </c>
      <c r="D17" s="24">
        <v>-484000000</v>
      </c>
      <c r="E17" s="24">
        <v>-529000000</v>
      </c>
      <c r="F17" s="24">
        <v>-562000000</v>
      </c>
    </row>
    <row r="18" spans="2:6">
      <c r="B18" s="24" t="s">
        <v>157</v>
      </c>
      <c r="C18" s="24"/>
      <c r="D18" s="24">
        <v>-12000000</v>
      </c>
      <c r="E18" s="24">
        <v>-12000000</v>
      </c>
      <c r="F18" s="24">
        <v>-12000000</v>
      </c>
    </row>
    <row r="19" spans="2:6">
      <c r="B19" s="24" t="s">
        <v>158</v>
      </c>
      <c r="C19" s="24">
        <v>-580000000</v>
      </c>
      <c r="D19" s="24">
        <v>-472000000</v>
      </c>
      <c r="E19" s="24">
        <v>-517000000</v>
      </c>
      <c r="F19" s="24">
        <v>-550000000</v>
      </c>
    </row>
    <row r="20" spans="2:6">
      <c r="B20" s="24" t="s">
        <v>159</v>
      </c>
      <c r="C20" s="24">
        <v>-868000000</v>
      </c>
      <c r="D20" s="24">
        <v>-1148000000</v>
      </c>
      <c r="E20" s="24">
        <v>-1308000000</v>
      </c>
      <c r="F20" s="24">
        <v>-1740000000</v>
      </c>
    </row>
    <row r="21" spans="2:6">
      <c r="B21" s="24" t="s">
        <v>160</v>
      </c>
      <c r="C21" s="24">
        <v>-898000000</v>
      </c>
      <c r="D21" s="24">
        <v>-1250000000</v>
      </c>
      <c r="E21" s="24">
        <v>-1396000000</v>
      </c>
      <c r="F21" s="24">
        <v>-1801000000</v>
      </c>
    </row>
    <row r="22" spans="2:6">
      <c r="B22" s="24" t="s">
        <v>161</v>
      </c>
      <c r="C22" s="24">
        <v>30000000</v>
      </c>
      <c r="D22" s="24">
        <v>102000000</v>
      </c>
      <c r="E22" s="24">
        <v>88000000</v>
      </c>
      <c r="F22" s="24">
        <v>61000000</v>
      </c>
    </row>
    <row r="23" spans="2:6">
      <c r="B23" s="24" t="s">
        <v>162</v>
      </c>
      <c r="C23" s="24">
        <v>-1175000000</v>
      </c>
      <c r="D23" s="24">
        <v>-1010000000</v>
      </c>
      <c r="E23" s="24">
        <v>-213000000</v>
      </c>
      <c r="F23" s="24">
        <v>-845000000</v>
      </c>
    </row>
    <row r="24" spans="2:6">
      <c r="B24" s="24" t="s">
        <v>163</v>
      </c>
      <c r="C24" s="24">
        <v>-82000000</v>
      </c>
      <c r="D24" s="24">
        <v>-159000000</v>
      </c>
      <c r="E24" s="24">
        <v>206000000</v>
      </c>
      <c r="F24" s="24">
        <v>155000000</v>
      </c>
    </row>
    <row r="25" spans="2:6">
      <c r="B25" s="24" t="s">
        <v>164</v>
      </c>
      <c r="C25" s="24">
        <v>-150000000</v>
      </c>
      <c r="D25" s="24">
        <v>-159000000</v>
      </c>
      <c r="E25" s="24">
        <v>-44000000</v>
      </c>
      <c r="F25" s="24"/>
    </row>
    <row r="26" spans="2:6">
      <c r="B26" s="24" t="s">
        <v>165</v>
      </c>
      <c r="C26" s="24">
        <v>68000000</v>
      </c>
      <c r="D26" s="24"/>
      <c r="E26" s="24">
        <v>250000000</v>
      </c>
      <c r="F26" s="24">
        <v>155000000</v>
      </c>
    </row>
    <row r="27" spans="2:6">
      <c r="B27" s="24" t="s">
        <v>166</v>
      </c>
      <c r="C27" s="24">
        <v>-1093000000</v>
      </c>
      <c r="D27" s="24">
        <v>-851000000</v>
      </c>
      <c r="E27" s="24">
        <v>-419000000</v>
      </c>
      <c r="F27" s="24">
        <v>-1000000000</v>
      </c>
    </row>
    <row r="28" spans="2:6">
      <c r="B28" s="24" t="s">
        <v>167</v>
      </c>
      <c r="C28" s="24">
        <v>-2510000000</v>
      </c>
      <c r="D28" s="24">
        <v>-1623000000</v>
      </c>
      <c r="E28" s="24">
        <v>-2237000000</v>
      </c>
      <c r="F28" s="24">
        <v>-1833000000</v>
      </c>
    </row>
    <row r="29" spans="2:6">
      <c r="B29" s="24" t="s">
        <v>168</v>
      </c>
      <c r="C29" s="24">
        <v>1417000000</v>
      </c>
      <c r="D29" s="24">
        <v>772000000</v>
      </c>
      <c r="E29" s="24">
        <v>1818000000</v>
      </c>
      <c r="F29" s="24">
        <v>833000000</v>
      </c>
    </row>
    <row r="30" spans="2:6">
      <c r="B30" s="24" t="s">
        <v>169</v>
      </c>
      <c r="C30" s="24">
        <v>-1376000000</v>
      </c>
      <c r="D30" s="24">
        <v>-1271000000</v>
      </c>
      <c r="E30" s="24">
        <v>-2368000000</v>
      </c>
      <c r="F30" s="24">
        <v>-1845000000</v>
      </c>
    </row>
    <row r="31" spans="2:6">
      <c r="B31" s="24" t="s">
        <v>170</v>
      </c>
      <c r="C31" s="24"/>
      <c r="D31" s="24"/>
      <c r="E31" s="24"/>
      <c r="F31" s="24"/>
    </row>
    <row r="32" spans="2:6">
      <c r="B32" s="24" t="s">
        <v>171</v>
      </c>
      <c r="C32" s="24">
        <v>-1376000000</v>
      </c>
      <c r="D32" s="24">
        <v>-1271000000</v>
      </c>
      <c r="E32" s="24">
        <v>-2368000000</v>
      </c>
      <c r="F32" s="24">
        <v>-1845000000</v>
      </c>
    </row>
    <row r="33" spans="2:6">
      <c r="B33" s="24" t="s">
        <v>172</v>
      </c>
      <c r="C33" s="24">
        <v>-20000000</v>
      </c>
      <c r="D33" s="24">
        <v>75000000</v>
      </c>
      <c r="E33" s="24">
        <v>58000000</v>
      </c>
      <c r="F33" s="24">
        <v>320000000</v>
      </c>
    </row>
    <row r="34" spans="2:6">
      <c r="B34" s="24" t="s">
        <v>173</v>
      </c>
      <c r="C34" s="24">
        <v>-212000000</v>
      </c>
      <c r="D34" s="24">
        <v>-164000000</v>
      </c>
      <c r="E34" s="24">
        <v>-42000000</v>
      </c>
      <c r="F34" s="24">
        <v>-93000000</v>
      </c>
    </row>
    <row r="35" spans="2:6">
      <c r="B35" s="24" t="s">
        <v>174</v>
      </c>
      <c r="C35" s="24"/>
      <c r="D35" s="24"/>
      <c r="E35" s="24">
        <v>138000000</v>
      </c>
      <c r="F35" s="24"/>
    </row>
    <row r="36" spans="2:6">
      <c r="B36" s="24" t="s">
        <v>175</v>
      </c>
      <c r="C36" s="24"/>
      <c r="D36" s="24">
        <v>-164000000</v>
      </c>
      <c r="E36" s="24">
        <v>-180000000</v>
      </c>
      <c r="F36" s="24"/>
    </row>
    <row r="37" spans="2:6">
      <c r="B37" s="24" t="s">
        <v>176</v>
      </c>
      <c r="C37" s="24">
        <v>14000000</v>
      </c>
      <c r="D37" s="24">
        <v>0</v>
      </c>
      <c r="E37" s="24">
        <v>-813000000</v>
      </c>
      <c r="F37" s="24">
        <v>0</v>
      </c>
    </row>
    <row r="38" spans="2:6">
      <c r="B38" s="24" t="s">
        <v>177</v>
      </c>
      <c r="C38" s="24">
        <v>14000000</v>
      </c>
      <c r="D38" s="24">
        <v>0</v>
      </c>
      <c r="E38" s="24"/>
      <c r="F38" s="24"/>
    </row>
    <row r="39" spans="2:6">
      <c r="B39" s="24" t="s">
        <v>178</v>
      </c>
      <c r="C39" s="24"/>
      <c r="D39" s="24">
        <v>0</v>
      </c>
      <c r="E39" s="24">
        <v>-813000000</v>
      </c>
      <c r="F39" s="24">
        <v>0</v>
      </c>
    </row>
    <row r="40" spans="2:6">
      <c r="B40" s="24" t="s">
        <v>179</v>
      </c>
      <c r="C40" s="24">
        <v>-338000000</v>
      </c>
      <c r="D40" s="24">
        <v>-379000000</v>
      </c>
      <c r="E40" s="24">
        <v>-419000000</v>
      </c>
      <c r="F40" s="24">
        <v>-407000000</v>
      </c>
    </row>
    <row r="41" spans="2:6">
      <c r="B41" s="24" t="s">
        <v>180</v>
      </c>
      <c r="C41" s="24">
        <v>-338000000</v>
      </c>
      <c r="D41" s="24">
        <v>-379000000</v>
      </c>
      <c r="E41" s="24">
        <v>-419000000</v>
      </c>
      <c r="F41" s="24">
        <v>-407000000</v>
      </c>
    </row>
    <row r="42" spans="2:6">
      <c r="B42" s="24" t="s">
        <v>181</v>
      </c>
      <c r="C42" s="24">
        <v>-820000000</v>
      </c>
      <c r="D42" s="24">
        <v>-803000000</v>
      </c>
      <c r="E42" s="24">
        <v>-1152000000</v>
      </c>
      <c r="F42" s="24">
        <v>-1665000000</v>
      </c>
    </row>
    <row r="43" spans="2:6">
      <c r="B43" s="24" t="s">
        <v>182</v>
      </c>
      <c r="C43" s="24">
        <v>9000000</v>
      </c>
      <c r="D43" s="24">
        <v>14000000</v>
      </c>
      <c r="E43" s="24"/>
      <c r="F43" s="24"/>
    </row>
    <row r="44" spans="2:6">
      <c r="B44" s="24" t="s">
        <v>183</v>
      </c>
      <c r="C44" s="24">
        <v>-820000000</v>
      </c>
      <c r="D44" s="24">
        <v>-803000000</v>
      </c>
      <c r="E44" s="24">
        <v>-1152000000</v>
      </c>
      <c r="F44" s="24">
        <v>-1665000000</v>
      </c>
    </row>
    <row r="45" spans="2:6">
      <c r="B45" s="24" t="s">
        <v>184</v>
      </c>
      <c r="C45" s="24">
        <v>5191000000</v>
      </c>
      <c r="D45" s="24">
        <v>4827000000</v>
      </c>
      <c r="E45" s="24">
        <v>4755000000</v>
      </c>
      <c r="F45" s="24">
        <v>5654000000</v>
      </c>
    </row>
    <row r="46" spans="2:6">
      <c r="B46" s="24" t="s">
        <v>185</v>
      </c>
      <c r="C46" s="24">
        <v>5191000000</v>
      </c>
      <c r="D46" s="24">
        <v>4827000000</v>
      </c>
      <c r="E46" s="24">
        <v>4755000000</v>
      </c>
      <c r="F46" s="24">
        <v>5654000000</v>
      </c>
    </row>
    <row r="47" spans="2:6">
      <c r="B47" s="24" t="s">
        <v>186</v>
      </c>
      <c r="C47" s="24">
        <v>-452000000</v>
      </c>
      <c r="D47" s="24">
        <v>-643000000</v>
      </c>
      <c r="E47" s="24">
        <v>-439000000</v>
      </c>
      <c r="F47" s="24">
        <v>-917000000</v>
      </c>
    </row>
    <row r="48" spans="2:6">
      <c r="B48" s="24" t="s">
        <v>187</v>
      </c>
      <c r="C48" s="24">
        <v>11000000</v>
      </c>
      <c r="D48" s="24">
        <v>8000000</v>
      </c>
      <c r="E48" s="24">
        <v>38000000</v>
      </c>
      <c r="F48" s="24">
        <v>24000000</v>
      </c>
    </row>
    <row r="49" spans="2:6">
      <c r="B49" s="24" t="s">
        <v>188</v>
      </c>
      <c r="C49" s="24">
        <v>550000000</v>
      </c>
      <c r="D49" s="24">
        <v>-232000000</v>
      </c>
      <c r="E49" s="24">
        <v>-1007000000</v>
      </c>
      <c r="F49" s="24">
        <v>-168000000</v>
      </c>
    </row>
    <row r="50" spans="2:6">
      <c r="B50" s="24" t="s">
        <v>189</v>
      </c>
      <c r="C50" s="24">
        <v>76000000</v>
      </c>
      <c r="D50" s="24">
        <v>70000000</v>
      </c>
      <c r="E50" s="24">
        <v>-5000000</v>
      </c>
      <c r="F50" s="24">
        <v>53000000</v>
      </c>
    </row>
    <row r="51" spans="2:6">
      <c r="B51" s="24" t="s">
        <v>190</v>
      </c>
      <c r="C51" s="24"/>
      <c r="D51" s="24"/>
      <c r="E51" s="24">
        <v>507000000</v>
      </c>
      <c r="F51" s="24">
        <v>116000000</v>
      </c>
    </row>
    <row r="52" spans="2:6">
      <c r="B52" s="24" t="s">
        <v>191</v>
      </c>
      <c r="C52" s="24"/>
      <c r="D52" s="24"/>
      <c r="E52" s="24">
        <v>507000000</v>
      </c>
      <c r="F52" s="24">
        <v>116000000</v>
      </c>
    </row>
    <row r="53" spans="2:6">
      <c r="B53" s="24" t="s">
        <v>192</v>
      </c>
      <c r="C53" s="24"/>
      <c r="D53" s="24"/>
      <c r="E53" s="24">
        <v>507000000</v>
      </c>
      <c r="F53" s="24">
        <v>116000000</v>
      </c>
    </row>
    <row r="54" spans="2:6">
      <c r="B54" s="24" t="s">
        <v>193</v>
      </c>
      <c r="C54" s="24"/>
      <c r="D54" s="24"/>
      <c r="E54" s="24">
        <v>-94000000</v>
      </c>
      <c r="F54" s="24">
        <v>19000000</v>
      </c>
    </row>
    <row r="55" spans="2:6">
      <c r="B55" s="24" t="s">
        <v>194</v>
      </c>
      <c r="C55" s="24"/>
      <c r="D55" s="24"/>
      <c r="E55" s="24">
        <v>-689000000</v>
      </c>
      <c r="F55" s="24">
        <v>35000000</v>
      </c>
    </row>
    <row r="56" spans="2:6">
      <c r="B56" s="24" t="s">
        <v>195</v>
      </c>
      <c r="C56" s="24">
        <v>474000000</v>
      </c>
      <c r="D56" s="24">
        <v>-302000000</v>
      </c>
      <c r="E56" s="24">
        <v>-726000000</v>
      </c>
      <c r="F56" s="24">
        <v>-391000000</v>
      </c>
    </row>
    <row r="57" spans="2:6">
      <c r="B57" s="24" t="s">
        <v>196</v>
      </c>
      <c r="C57" s="24">
        <v>474000000</v>
      </c>
      <c r="D57" s="24">
        <v>-302000000</v>
      </c>
      <c r="E57" s="24">
        <v>-726000000</v>
      </c>
      <c r="F57" s="24">
        <v>-391000000</v>
      </c>
    </row>
    <row r="58" spans="2:6">
      <c r="B58" s="24" t="s">
        <v>197</v>
      </c>
      <c r="C58" s="24">
        <v>776000000</v>
      </c>
      <c r="D58" s="24">
        <v>536000000</v>
      </c>
      <c r="E58" s="24">
        <v>681000000</v>
      </c>
      <c r="F58" s="24">
        <v>882000000</v>
      </c>
    </row>
    <row r="59" spans="2:6">
      <c r="B59" s="24" t="s">
        <v>198</v>
      </c>
      <c r="C59" s="24"/>
      <c r="D59" s="24"/>
      <c r="E59" s="24">
        <v>-4000000</v>
      </c>
      <c r="F59" s="24">
        <v>-3000000</v>
      </c>
    </row>
    <row r="60" spans="2:6">
      <c r="B60" s="24" t="s">
        <v>199</v>
      </c>
      <c r="C60" s="24">
        <v>45000000</v>
      </c>
      <c r="D60" s="24">
        <v>-20000000</v>
      </c>
      <c r="E60" s="24"/>
      <c r="F60" s="24"/>
    </row>
    <row r="61" spans="2:6">
      <c r="B61" s="24" t="s">
        <v>200</v>
      </c>
      <c r="C61" s="24">
        <v>33000000</v>
      </c>
      <c r="D61" s="24">
        <v>54000000</v>
      </c>
      <c r="E61" s="24">
        <v>34000000</v>
      </c>
      <c r="F61" s="24">
        <v>17000000</v>
      </c>
    </row>
    <row r="62" spans="2:6">
      <c r="B62" s="24" t="s">
        <v>201</v>
      </c>
      <c r="C62" s="24">
        <v>431000000</v>
      </c>
      <c r="D62" s="24">
        <v>466000000</v>
      </c>
      <c r="E62" s="24">
        <v>665000000</v>
      </c>
      <c r="F62" s="24">
        <v>714000000</v>
      </c>
    </row>
    <row r="63" spans="2:6">
      <c r="B63" s="24" t="s">
        <v>202</v>
      </c>
      <c r="C63" s="24">
        <v>431000000</v>
      </c>
      <c r="D63" s="24">
        <v>466000000</v>
      </c>
      <c r="E63" s="24">
        <v>665000000</v>
      </c>
      <c r="F63" s="24">
        <v>714000000</v>
      </c>
    </row>
    <row r="64" spans="2:6">
      <c r="B64" s="24" t="s">
        <v>203</v>
      </c>
      <c r="C64" s="24">
        <v>2596000000</v>
      </c>
      <c r="D64" s="24">
        <v>2664000000</v>
      </c>
      <c r="E64" s="24">
        <v>2795000000</v>
      </c>
      <c r="F64" s="24">
        <v>2906000000</v>
      </c>
    </row>
    <row r="65" spans="2:6">
      <c r="B65" s="24" t="s">
        <v>204</v>
      </c>
      <c r="C65" s="24">
        <v>2596000000</v>
      </c>
      <c r="D65" s="24">
        <v>2664000000</v>
      </c>
      <c r="E65" s="24">
        <v>2795000000</v>
      </c>
      <c r="F65" s="24">
        <v>2906000000</v>
      </c>
    </row>
    <row r="66" spans="2:6">
      <c r="B66" s="24" t="s">
        <v>205</v>
      </c>
      <c r="C66" s="24">
        <v>792000000</v>
      </c>
      <c r="D66" s="24">
        <v>835000000</v>
      </c>
      <c r="E66" s="24">
        <v>887000000</v>
      </c>
      <c r="F66" s="24"/>
    </row>
    <row r="67" spans="2:6">
      <c r="B67" s="24" t="s">
        <v>206</v>
      </c>
      <c r="C67" s="24">
        <v>792000000</v>
      </c>
      <c r="D67" s="24">
        <v>835000000</v>
      </c>
      <c r="E67" s="24">
        <v>887000000</v>
      </c>
      <c r="F67" s="24"/>
    </row>
    <row r="68" spans="2:6">
      <c r="B68" s="24" t="s">
        <v>207</v>
      </c>
      <c r="C68" s="24">
        <v>1804000000</v>
      </c>
      <c r="D68" s="24">
        <v>1829000000</v>
      </c>
      <c r="E68" s="24">
        <v>1908000000</v>
      </c>
      <c r="F68" s="24"/>
    </row>
    <row r="69" spans="2:6">
      <c r="B69" s="24" t="s">
        <v>208</v>
      </c>
      <c r="C69" s="24">
        <v>9000000</v>
      </c>
      <c r="D69" s="24">
        <v>-2000000</v>
      </c>
      <c r="E69" s="24">
        <v>-6000000</v>
      </c>
      <c r="F69" s="24">
        <v>9000000</v>
      </c>
    </row>
    <row r="70" spans="2:6">
      <c r="B70" s="24" t="s">
        <v>209</v>
      </c>
      <c r="C70" s="24"/>
      <c r="D70" s="24"/>
      <c r="E70" s="24">
        <v>-4000000</v>
      </c>
      <c r="F70" s="24">
        <v>14000000</v>
      </c>
    </row>
    <row r="71" spans="2:6">
      <c r="B71" s="24" t="s">
        <v>210</v>
      </c>
      <c r="C71" s="24">
        <v>9000000</v>
      </c>
      <c r="D71" s="24">
        <v>-2000000</v>
      </c>
      <c r="E71" s="24">
        <v>-6000000</v>
      </c>
      <c r="F71" s="24">
        <v>9000000</v>
      </c>
    </row>
    <row r="72" spans="2:6">
      <c r="B72" s="24" t="s">
        <v>211</v>
      </c>
      <c r="C72" s="24">
        <v>1192000000</v>
      </c>
      <c r="D72" s="24">
        <v>1976000000</v>
      </c>
      <c r="E72" s="24">
        <v>1994000000</v>
      </c>
      <c r="F72" s="24">
        <v>2187000000</v>
      </c>
    </row>
    <row r="73" spans="2:6">
      <c r="B73" s="21"/>
      <c r="C73" s="21"/>
      <c r="D73" s="21"/>
      <c r="E73" s="21"/>
      <c r="F73" s="21"/>
    </row>
    <row r="74" spans="2:6">
      <c r="B74" s="21"/>
      <c r="C74" s="21"/>
      <c r="D74" s="21"/>
      <c r="E74" s="21"/>
      <c r="F74" s="21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929D-DB3F-46D2-91E2-DFB60931511C}">
  <sheetPr>
    <tabColor rgb="FFC00000"/>
  </sheetPr>
  <dimension ref="B2:H63"/>
  <sheetViews>
    <sheetView workbookViewId="0">
      <selection activeCell="C2" sqref="C2"/>
    </sheetView>
  </sheetViews>
  <sheetFormatPr defaultRowHeight="14.4"/>
  <cols>
    <col min="2" max="2" width="40" bestFit="1" customWidth="1"/>
    <col min="3" max="5" width="11" bestFit="1" customWidth="1"/>
    <col min="6" max="7" width="11.6640625" bestFit="1" customWidth="1"/>
    <col min="8" max="8" width="10.6640625" bestFit="1" customWidth="1"/>
    <col min="9" max="9" width="11.6640625" bestFit="1" customWidth="1"/>
  </cols>
  <sheetData>
    <row r="2" spans="2:8">
      <c r="B2" t="s">
        <v>41</v>
      </c>
      <c r="C2" s="1">
        <v>45473</v>
      </c>
      <c r="D2" s="1">
        <v>45382</v>
      </c>
      <c r="E2" s="1">
        <v>45291</v>
      </c>
      <c r="F2" s="1">
        <v>45199</v>
      </c>
      <c r="G2" s="1"/>
      <c r="H2" s="1"/>
    </row>
    <row r="3" spans="2:8">
      <c r="B3" t="s">
        <v>142</v>
      </c>
      <c r="C3">
        <v>906000000</v>
      </c>
      <c r="D3">
        <v>469000000</v>
      </c>
      <c r="E3">
        <v>766000000</v>
      </c>
      <c r="F3">
        <v>1350000000</v>
      </c>
    </row>
    <row r="4" spans="2:8">
      <c r="B4" t="s">
        <v>143</v>
      </c>
      <c r="C4">
        <v>-537000000</v>
      </c>
      <c r="D4">
        <v>-415000000</v>
      </c>
      <c r="E4">
        <v>-494000000</v>
      </c>
      <c r="F4">
        <v>-413000000</v>
      </c>
    </row>
    <row r="5" spans="2:8">
      <c r="B5" t="s">
        <v>144</v>
      </c>
      <c r="C5">
        <v>-909000000</v>
      </c>
      <c r="D5">
        <v>-703000000</v>
      </c>
      <c r="E5">
        <v>-331000000</v>
      </c>
      <c r="F5">
        <v>-749000000</v>
      </c>
    </row>
    <row r="6" spans="2:8">
      <c r="B6" t="s">
        <v>145</v>
      </c>
      <c r="C6">
        <v>861000000</v>
      </c>
      <c r="D6">
        <v>407000000</v>
      </c>
      <c r="E6">
        <v>310000000</v>
      </c>
      <c r="F6">
        <v>87000000</v>
      </c>
    </row>
    <row r="7" spans="2:8">
      <c r="B7" t="s">
        <v>146</v>
      </c>
      <c r="C7">
        <v>69000000</v>
      </c>
      <c r="D7">
        <v>57000000</v>
      </c>
      <c r="E7">
        <v>22000000</v>
      </c>
      <c r="F7">
        <v>9000000</v>
      </c>
    </row>
    <row r="8" spans="2:8">
      <c r="B8" t="s">
        <v>147</v>
      </c>
      <c r="C8">
        <v>-495000000</v>
      </c>
      <c r="D8">
        <v>-387000000</v>
      </c>
      <c r="E8">
        <v>-639000000</v>
      </c>
      <c r="F8">
        <v>-695000000</v>
      </c>
    </row>
    <row r="9" spans="2:8">
      <c r="B9" t="s">
        <v>148</v>
      </c>
      <c r="C9">
        <v>1282000000</v>
      </c>
      <c r="D9">
        <v>1288000000</v>
      </c>
      <c r="E9">
        <v>1488000000</v>
      </c>
      <c r="F9">
        <v>1228000000</v>
      </c>
    </row>
    <row r="10" spans="2:8">
      <c r="B10" t="s">
        <v>149</v>
      </c>
      <c r="C10">
        <v>1288000000</v>
      </c>
      <c r="D10">
        <v>1488000000</v>
      </c>
      <c r="E10">
        <v>1228000000</v>
      </c>
      <c r="F10">
        <v>1209000000</v>
      </c>
    </row>
    <row r="11" spans="2:8">
      <c r="B11" t="s">
        <v>150</v>
      </c>
      <c r="C11">
        <v>1000000</v>
      </c>
      <c r="D11">
        <v>3000000</v>
      </c>
      <c r="E11">
        <v>4000000</v>
      </c>
      <c r="F11">
        <v>-3000000</v>
      </c>
    </row>
    <row r="12" spans="2:8">
      <c r="B12" t="s">
        <v>151</v>
      </c>
      <c r="C12">
        <v>-7000000</v>
      </c>
      <c r="D12">
        <v>-203000000</v>
      </c>
      <c r="E12">
        <v>256000000</v>
      </c>
      <c r="F12">
        <v>22000000</v>
      </c>
    </row>
    <row r="13" spans="2:8">
      <c r="B13" t="s">
        <v>152</v>
      </c>
      <c r="C13">
        <v>-639000000</v>
      </c>
      <c r="D13">
        <v>-863000000</v>
      </c>
      <c r="E13">
        <v>-819000000</v>
      </c>
      <c r="F13">
        <v>-1592000000</v>
      </c>
    </row>
    <row r="14" spans="2:8">
      <c r="B14" t="s">
        <v>153</v>
      </c>
      <c r="C14">
        <v>-639000000</v>
      </c>
      <c r="D14">
        <v>-863000000</v>
      </c>
      <c r="E14">
        <v>-819000000</v>
      </c>
      <c r="F14">
        <v>-1592000000</v>
      </c>
    </row>
    <row r="15" spans="2:8">
      <c r="B15" t="s">
        <v>154</v>
      </c>
      <c r="C15">
        <v>-31000000</v>
      </c>
      <c r="D15">
        <v>-16000000</v>
      </c>
      <c r="E15">
        <v>-30000000</v>
      </c>
      <c r="F15">
        <v>-7000000</v>
      </c>
    </row>
    <row r="16" spans="2:8">
      <c r="B16" t="s">
        <v>155</v>
      </c>
      <c r="C16">
        <v>-189000000</v>
      </c>
      <c r="D16">
        <v>-193000000</v>
      </c>
      <c r="E16">
        <v>-190000000</v>
      </c>
      <c r="F16">
        <v>-236000000</v>
      </c>
    </row>
    <row r="17" spans="2:7">
      <c r="B17" t="s">
        <v>156</v>
      </c>
      <c r="C17">
        <v>-140000000</v>
      </c>
      <c r="D17">
        <v>0</v>
      </c>
      <c r="E17">
        <v>-142000000</v>
      </c>
      <c r="F17">
        <v>-287000000</v>
      </c>
    </row>
    <row r="18" spans="2:7">
      <c r="B18" t="s">
        <v>159</v>
      </c>
      <c r="C18">
        <v>-468000000</v>
      </c>
      <c r="D18">
        <v>-358000000</v>
      </c>
      <c r="E18">
        <v>-472000000</v>
      </c>
      <c r="F18">
        <v>-404000000</v>
      </c>
    </row>
    <row r="19" spans="2:7">
      <c r="B19" t="s">
        <v>160</v>
      </c>
      <c r="C19">
        <v>-537000000</v>
      </c>
      <c r="D19">
        <v>-415000000</v>
      </c>
      <c r="E19">
        <v>-494000000</v>
      </c>
      <c r="F19">
        <v>-413000000</v>
      </c>
    </row>
    <row r="20" spans="2:7">
      <c r="B20" t="s">
        <v>161</v>
      </c>
      <c r="C20">
        <v>69000000</v>
      </c>
      <c r="D20">
        <v>57000000</v>
      </c>
      <c r="E20">
        <v>22000000</v>
      </c>
      <c r="F20">
        <v>9000000</v>
      </c>
    </row>
    <row r="21" spans="2:7">
      <c r="B21" t="s">
        <v>162</v>
      </c>
      <c r="C21">
        <v>189000000</v>
      </c>
      <c r="D21">
        <v>-296000000</v>
      </c>
      <c r="E21">
        <v>15000000</v>
      </c>
      <c r="F21">
        <v>-658000000</v>
      </c>
    </row>
    <row r="22" spans="2:7">
      <c r="B22" t="s">
        <v>163</v>
      </c>
      <c r="C22">
        <v>237000000</v>
      </c>
      <c r="D22">
        <v>-412000000</v>
      </c>
      <c r="E22">
        <v>191000000</v>
      </c>
      <c r="F22">
        <v>4000000</v>
      </c>
    </row>
    <row r="23" spans="2:7">
      <c r="B23" t="s">
        <v>164</v>
      </c>
      <c r="D23">
        <v>-412000000</v>
      </c>
    </row>
    <row r="24" spans="2:7">
      <c r="B24" t="s">
        <v>165</v>
      </c>
    </row>
    <row r="25" spans="2:7">
      <c r="B25" t="s">
        <v>166</v>
      </c>
      <c r="C25">
        <v>-48000000</v>
      </c>
      <c r="D25">
        <v>116000000</v>
      </c>
      <c r="E25">
        <v>-176000000</v>
      </c>
      <c r="F25">
        <v>-662000000</v>
      </c>
    </row>
    <row r="26" spans="2:7">
      <c r="B26" t="s">
        <v>167</v>
      </c>
      <c r="C26">
        <v>-909000000</v>
      </c>
      <c r="D26">
        <v>-291000000</v>
      </c>
      <c r="E26">
        <v>-331000000</v>
      </c>
      <c r="F26">
        <v>-749000000</v>
      </c>
    </row>
    <row r="27" spans="2:7">
      <c r="B27" t="s">
        <v>168</v>
      </c>
      <c r="C27">
        <v>861000000</v>
      </c>
      <c r="D27">
        <v>407000000</v>
      </c>
      <c r="E27">
        <v>155000000</v>
      </c>
      <c r="F27">
        <v>87000000</v>
      </c>
    </row>
    <row r="28" spans="2:7">
      <c r="B28" t="s">
        <v>169</v>
      </c>
      <c r="C28">
        <v>-769000000</v>
      </c>
      <c r="D28">
        <v>-196000000</v>
      </c>
      <c r="E28">
        <v>-330000000</v>
      </c>
      <c r="F28">
        <v>-431000000</v>
      </c>
    </row>
    <row r="29" spans="2:7">
      <c r="B29" t="s">
        <v>171</v>
      </c>
      <c r="C29">
        <v>-769000000</v>
      </c>
      <c r="D29">
        <v>-196000000</v>
      </c>
      <c r="E29">
        <v>-330000000</v>
      </c>
      <c r="F29">
        <v>-431000000</v>
      </c>
      <c r="G29" s="5"/>
    </row>
    <row r="30" spans="2:7">
      <c r="B30" s="21" t="s">
        <v>172</v>
      </c>
      <c r="C30" s="21">
        <v>-17000000</v>
      </c>
      <c r="D30" s="21">
        <v>10000000</v>
      </c>
      <c r="E30" s="21">
        <v>348000000</v>
      </c>
      <c r="F30" s="21">
        <v>-17000000</v>
      </c>
    </row>
    <row r="31" spans="2:7">
      <c r="B31" s="21" t="s">
        <v>173</v>
      </c>
      <c r="C31" s="21">
        <v>-277000000</v>
      </c>
      <c r="D31" s="21">
        <v>142000000</v>
      </c>
      <c r="E31" s="21">
        <v>100000000</v>
      </c>
      <c r="F31" s="21">
        <v>262000000</v>
      </c>
    </row>
    <row r="32" spans="2:7">
      <c r="B32" s="21" t="s">
        <v>174</v>
      </c>
      <c r="C32" s="21">
        <v>64000000</v>
      </c>
      <c r="D32" s="21">
        <v>143000000</v>
      </c>
      <c r="E32" s="21"/>
      <c r="F32" s="21"/>
    </row>
    <row r="33" spans="2:7">
      <c r="B33" s="21" t="s">
        <v>175</v>
      </c>
      <c r="C33" s="21">
        <v>-341000000</v>
      </c>
      <c r="D33" s="21">
        <v>-1000000</v>
      </c>
      <c r="E33" s="21"/>
      <c r="F33" s="21"/>
    </row>
    <row r="34" spans="2:7">
      <c r="B34" s="21" t="s">
        <v>212</v>
      </c>
      <c r="C34" s="21">
        <v>20000000</v>
      </c>
      <c r="D34" s="21">
        <v>39000000</v>
      </c>
      <c r="E34" s="21"/>
      <c r="F34" s="21">
        <v>19000000</v>
      </c>
    </row>
    <row r="35" spans="2:7">
      <c r="B35" s="21" t="s">
        <v>213</v>
      </c>
      <c r="C35" s="21">
        <v>20000000</v>
      </c>
      <c r="D35" s="21">
        <v>39000000</v>
      </c>
      <c r="E35" s="21"/>
      <c r="F35" s="21">
        <v>19000000</v>
      </c>
    </row>
    <row r="36" spans="2:7">
      <c r="B36" s="21" t="s">
        <v>176</v>
      </c>
      <c r="C36" s="21"/>
      <c r="D36" s="21"/>
      <c r="E36" s="21">
        <v>0</v>
      </c>
      <c r="F36" s="21">
        <v>0</v>
      </c>
    </row>
    <row r="37" spans="2:7">
      <c r="B37" s="21" t="s">
        <v>178</v>
      </c>
      <c r="C37" s="21"/>
      <c r="D37" s="21"/>
      <c r="E37" s="21">
        <v>0</v>
      </c>
      <c r="F37" s="21">
        <v>0</v>
      </c>
    </row>
    <row r="38" spans="2:7">
      <c r="B38" s="21" t="s">
        <v>179</v>
      </c>
      <c r="C38" s="21">
        <v>-82000000</v>
      </c>
      <c r="D38" s="21">
        <v>-80000000</v>
      </c>
      <c r="E38" s="21">
        <v>-91000000</v>
      </c>
      <c r="F38" s="21">
        <v>-132000000</v>
      </c>
    </row>
    <row r="39" spans="2:7" s="21" customFormat="1">
      <c r="B39" s="21" t="s">
        <v>180</v>
      </c>
      <c r="C39" s="21">
        <v>-82000000</v>
      </c>
      <c r="D39" s="21">
        <v>-80000000</v>
      </c>
      <c r="E39" s="21">
        <v>-91000000</v>
      </c>
      <c r="F39" s="21">
        <v>-132000000</v>
      </c>
      <c r="G39"/>
    </row>
    <row r="40" spans="2:7">
      <c r="B40" s="21" t="s">
        <v>181</v>
      </c>
      <c r="C40" s="21">
        <v>-413000000</v>
      </c>
      <c r="D40" s="21">
        <v>-307000000</v>
      </c>
      <c r="E40" s="21">
        <v>-548000000</v>
      </c>
      <c r="F40" s="21">
        <v>-563000000</v>
      </c>
    </row>
    <row r="41" spans="2:7">
      <c r="B41" t="s">
        <v>183</v>
      </c>
      <c r="C41">
        <v>-413000000</v>
      </c>
      <c r="D41">
        <v>-307000000</v>
      </c>
      <c r="E41">
        <v>-548000000</v>
      </c>
      <c r="F41">
        <v>-563000000</v>
      </c>
    </row>
    <row r="42" spans="2:7">
      <c r="B42" t="s">
        <v>184</v>
      </c>
      <c r="C42">
        <v>1401000000</v>
      </c>
      <c r="D42">
        <v>856000000</v>
      </c>
      <c r="E42">
        <v>1405000000</v>
      </c>
      <c r="F42">
        <v>2045000000</v>
      </c>
    </row>
    <row r="43" spans="2:7">
      <c r="B43" t="s">
        <v>185</v>
      </c>
      <c r="C43">
        <v>1401000000</v>
      </c>
      <c r="D43">
        <v>856000000</v>
      </c>
      <c r="E43">
        <v>1405000000</v>
      </c>
      <c r="F43">
        <v>2045000000</v>
      </c>
    </row>
    <row r="44" spans="2:7">
      <c r="B44" t="s">
        <v>186</v>
      </c>
      <c r="C44">
        <v>-284000000</v>
      </c>
      <c r="D44">
        <v>-326000000</v>
      </c>
      <c r="E44">
        <v>-143000000</v>
      </c>
      <c r="F44">
        <v>-263000000</v>
      </c>
    </row>
    <row r="45" spans="2:7">
      <c r="B45" t="s">
        <v>187</v>
      </c>
      <c r="C45">
        <v>11000000</v>
      </c>
      <c r="D45">
        <v>4000000</v>
      </c>
      <c r="E45">
        <v>6000000</v>
      </c>
      <c r="F45">
        <v>7000000</v>
      </c>
    </row>
    <row r="46" spans="2:7">
      <c r="B46" t="s">
        <v>188</v>
      </c>
      <c r="C46">
        <v>100000000</v>
      </c>
      <c r="D46">
        <v>-352000000</v>
      </c>
      <c r="E46">
        <v>-151000000</v>
      </c>
      <c r="F46">
        <v>324000000</v>
      </c>
    </row>
    <row r="47" spans="2:7">
      <c r="B47" t="s">
        <v>189</v>
      </c>
      <c r="C47">
        <v>174000000</v>
      </c>
      <c r="D47">
        <v>1000000</v>
      </c>
      <c r="E47">
        <v>-18000000</v>
      </c>
      <c r="F47">
        <v>33000000</v>
      </c>
    </row>
    <row r="48" spans="2:7">
      <c r="B48" t="s">
        <v>190</v>
      </c>
      <c r="C48">
        <v>-147000000</v>
      </c>
      <c r="D48">
        <v>-561000000</v>
      </c>
      <c r="E48">
        <v>-1000000</v>
      </c>
      <c r="F48">
        <v>647000000</v>
      </c>
    </row>
    <row r="49" spans="2:6">
      <c r="B49" t="s">
        <v>191</v>
      </c>
      <c r="C49">
        <v>-147000000</v>
      </c>
      <c r="D49">
        <v>-561000000</v>
      </c>
      <c r="E49">
        <v>-1000000</v>
      </c>
      <c r="F49">
        <v>647000000</v>
      </c>
    </row>
    <row r="50" spans="2:6">
      <c r="B50" t="s">
        <v>192</v>
      </c>
      <c r="C50">
        <v>-147000000</v>
      </c>
      <c r="D50">
        <v>-561000000</v>
      </c>
      <c r="E50">
        <v>-1000000</v>
      </c>
      <c r="F50">
        <v>647000000</v>
      </c>
    </row>
    <row r="51" spans="2:6">
      <c r="B51" t="s">
        <v>193</v>
      </c>
      <c r="C51">
        <v>4000000</v>
      </c>
      <c r="D51">
        <v>-51000000</v>
      </c>
      <c r="E51">
        <v>87000000</v>
      </c>
      <c r="F51">
        <v>-15000000</v>
      </c>
    </row>
    <row r="52" spans="2:6">
      <c r="B52" t="s">
        <v>194</v>
      </c>
      <c r="C52">
        <v>176000000</v>
      </c>
      <c r="D52">
        <v>-128000000</v>
      </c>
      <c r="E52">
        <v>50000000</v>
      </c>
      <c r="F52">
        <v>-314000000</v>
      </c>
    </row>
    <row r="53" spans="2:6">
      <c r="B53" t="s">
        <v>195</v>
      </c>
      <c r="C53">
        <v>-107000000</v>
      </c>
      <c r="D53">
        <v>387000000</v>
      </c>
      <c r="E53">
        <v>-269000000</v>
      </c>
      <c r="F53">
        <v>-27000000</v>
      </c>
    </row>
    <row r="54" spans="2:6">
      <c r="B54" t="s">
        <v>196</v>
      </c>
      <c r="C54">
        <v>-107000000</v>
      </c>
      <c r="D54">
        <v>387000000</v>
      </c>
      <c r="E54">
        <v>-269000000</v>
      </c>
      <c r="F54">
        <v>-27000000</v>
      </c>
    </row>
    <row r="55" spans="2:6">
      <c r="B55" t="s">
        <v>197</v>
      </c>
      <c r="C55">
        <v>216000000</v>
      </c>
      <c r="D55">
        <v>173000000</v>
      </c>
      <c r="E55">
        <v>240000000</v>
      </c>
      <c r="F55">
        <v>265000000</v>
      </c>
    </row>
    <row r="56" spans="2:6">
      <c r="B56" t="s">
        <v>200</v>
      </c>
      <c r="E56">
        <v>16000000</v>
      </c>
      <c r="F56">
        <v>1000000</v>
      </c>
    </row>
    <row r="57" spans="2:6">
      <c r="B57" t="s">
        <v>201</v>
      </c>
      <c r="C57">
        <v>180000000</v>
      </c>
      <c r="D57">
        <v>178000000</v>
      </c>
      <c r="E57">
        <v>188000000</v>
      </c>
      <c r="F57">
        <v>182000000</v>
      </c>
    </row>
    <row r="58" spans="2:6">
      <c r="B58" t="s">
        <v>202</v>
      </c>
      <c r="C58">
        <v>180000000</v>
      </c>
      <c r="D58">
        <v>178000000</v>
      </c>
      <c r="E58">
        <v>188000000</v>
      </c>
      <c r="F58">
        <v>182000000</v>
      </c>
    </row>
    <row r="59" spans="2:6">
      <c r="B59" t="s">
        <v>203</v>
      </c>
      <c r="C59">
        <v>679000000</v>
      </c>
      <c r="D59">
        <v>690000000</v>
      </c>
      <c r="E59">
        <v>680000000</v>
      </c>
      <c r="F59">
        <v>880000000</v>
      </c>
    </row>
    <row r="60" spans="2:6">
      <c r="B60" t="s">
        <v>204</v>
      </c>
      <c r="C60">
        <v>679000000</v>
      </c>
      <c r="D60">
        <v>690000000</v>
      </c>
      <c r="E60">
        <v>680000000</v>
      </c>
      <c r="F60">
        <v>880000000</v>
      </c>
    </row>
    <row r="61" spans="2:6">
      <c r="B61" t="s">
        <v>208</v>
      </c>
      <c r="C61">
        <v>1000000</v>
      </c>
      <c r="E61">
        <v>-2000000</v>
      </c>
      <c r="F61">
        <v>4000000</v>
      </c>
    </row>
    <row r="62" spans="2:6">
      <c r="B62" t="s">
        <v>209</v>
      </c>
      <c r="C62">
        <v>1000000</v>
      </c>
      <c r="E62">
        <v>3000000</v>
      </c>
      <c r="F62">
        <v>4000000</v>
      </c>
    </row>
    <row r="63" spans="2:6">
      <c r="B63" t="s">
        <v>211</v>
      </c>
      <c r="C63">
        <v>498000000</v>
      </c>
      <c r="D63">
        <v>489000000</v>
      </c>
      <c r="E63">
        <v>560000000</v>
      </c>
      <c r="F63">
        <v>649000000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F74D-821D-4E16-8BE4-57DF590C75FE}">
  <sheetPr>
    <tabColor rgb="FFFF0000"/>
  </sheetPr>
  <dimension ref="B1:F166"/>
  <sheetViews>
    <sheetView workbookViewId="0">
      <selection activeCell="G28" sqref="G28"/>
    </sheetView>
  </sheetViews>
  <sheetFormatPr defaultRowHeight="14.4"/>
  <cols>
    <col min="1" max="1" width="1.88671875" customWidth="1"/>
    <col min="2" max="2" width="52.44140625" bestFit="1" customWidth="1"/>
    <col min="3" max="6" width="18.77734375" bestFit="1" customWidth="1"/>
    <col min="7" max="7" width="11" bestFit="1" customWidth="1"/>
  </cols>
  <sheetData>
    <row r="1" spans="2:6">
      <c r="B1" s="73"/>
      <c r="C1" s="73"/>
      <c r="D1" s="73"/>
      <c r="E1" s="73"/>
      <c r="F1" s="73"/>
    </row>
    <row r="2" spans="2:6">
      <c r="B2" s="73"/>
      <c r="C2" s="73"/>
      <c r="D2" s="73"/>
      <c r="E2" s="73"/>
      <c r="F2" s="73"/>
    </row>
    <row r="4" spans="2:6">
      <c r="B4" s="130" t="s">
        <v>421</v>
      </c>
      <c r="C4" s="3">
        <v>44185</v>
      </c>
      <c r="D4" s="3">
        <v>44561</v>
      </c>
      <c r="E4" s="3">
        <v>44926</v>
      </c>
      <c r="F4" s="3">
        <v>45291</v>
      </c>
    </row>
    <row r="6" spans="2:6">
      <c r="B6" s="5" t="s">
        <v>238</v>
      </c>
      <c r="C6" s="122">
        <f>SUM(C7:C9)</f>
        <v>7176000000</v>
      </c>
      <c r="D6" s="122">
        <f>SUM(D7:D9)</f>
        <v>7016000000</v>
      </c>
      <c r="E6" s="122">
        <f>SUM(E7:E9)</f>
        <v>6843000000</v>
      </c>
      <c r="F6" s="122">
        <f>SUM(F7:F9)</f>
        <v>6632000000</v>
      </c>
    </row>
    <row r="7" spans="2:6">
      <c r="B7" s="79" t="s">
        <v>56</v>
      </c>
      <c r="C7" s="123">
        <v>6824000000</v>
      </c>
      <c r="D7" s="123">
        <v>6631000000</v>
      </c>
      <c r="E7" s="123">
        <v>6465000000</v>
      </c>
      <c r="F7" s="123">
        <v>6256000000</v>
      </c>
    </row>
    <row r="8" spans="2:6">
      <c r="B8" s="107" t="s">
        <v>57</v>
      </c>
      <c r="C8" s="124">
        <v>221000000</v>
      </c>
      <c r="D8" s="124">
        <v>221000000</v>
      </c>
      <c r="E8" s="124">
        <v>221000000</v>
      </c>
      <c r="F8" s="124">
        <v>221000000</v>
      </c>
    </row>
    <row r="9" spans="2:6">
      <c r="B9" s="107" t="s">
        <v>60</v>
      </c>
      <c r="C9" s="124">
        <v>131000000</v>
      </c>
      <c r="D9" s="124">
        <v>164000000</v>
      </c>
      <c r="E9" s="124">
        <v>157000000</v>
      </c>
      <c r="F9" s="124">
        <v>155000000</v>
      </c>
    </row>
    <row r="10" spans="2:6">
      <c r="B10" s="119" t="s">
        <v>239</v>
      </c>
      <c r="C10" s="125">
        <f>SUM(C11:C13)</f>
        <v>3943000000</v>
      </c>
      <c r="D10" s="125">
        <f>SUM(D11:D13)</f>
        <v>4721000000</v>
      </c>
      <c r="E10" s="125">
        <f>SUM(E11:E13)</f>
        <v>4613000000</v>
      </c>
      <c r="F10" s="125">
        <f>SUM(F11:F13)</f>
        <v>4987000000</v>
      </c>
    </row>
    <row r="11" spans="2:6">
      <c r="B11" s="107" t="s">
        <v>64</v>
      </c>
      <c r="C11" s="124">
        <v>3813000000</v>
      </c>
      <c r="D11" s="124">
        <v>4591000000</v>
      </c>
      <c r="E11" s="124">
        <v>4461000000</v>
      </c>
      <c r="F11" s="124">
        <v>4816000000</v>
      </c>
    </row>
    <row r="12" spans="2:6">
      <c r="B12" s="107" t="s">
        <v>65</v>
      </c>
      <c r="C12" s="124">
        <v>109000000</v>
      </c>
      <c r="D12" s="124">
        <v>116000000</v>
      </c>
      <c r="E12" s="124">
        <v>122000000</v>
      </c>
      <c r="F12" s="124">
        <v>136000000</v>
      </c>
    </row>
    <row r="13" spans="2:6">
      <c r="B13" s="120" t="s">
        <v>62</v>
      </c>
      <c r="C13" s="124">
        <v>21000000</v>
      </c>
      <c r="D13" s="124">
        <v>14000000</v>
      </c>
      <c r="E13" s="124">
        <v>30000000</v>
      </c>
      <c r="F13" s="124">
        <v>35000000</v>
      </c>
    </row>
    <row r="14" spans="2:6">
      <c r="B14" s="119" t="s">
        <v>80</v>
      </c>
      <c r="C14" s="125">
        <v>8763000000</v>
      </c>
      <c r="D14" s="125">
        <v>9196000000</v>
      </c>
      <c r="E14" s="125">
        <v>10098000000</v>
      </c>
      <c r="F14" s="125">
        <v>10847000000</v>
      </c>
    </row>
    <row r="15" spans="2:6">
      <c r="B15" s="120" t="s">
        <v>91</v>
      </c>
      <c r="C15" s="123">
        <v>5827000000</v>
      </c>
      <c r="D15" s="123">
        <v>6019000000</v>
      </c>
      <c r="E15" s="123">
        <v>6847000000</v>
      </c>
      <c r="F15" s="123">
        <v>6934000000</v>
      </c>
    </row>
    <row r="16" spans="2:6">
      <c r="B16" s="107" t="s">
        <v>81</v>
      </c>
      <c r="C16" s="124">
        <v>2936000000</v>
      </c>
      <c r="D16" s="124">
        <v>3177000000</v>
      </c>
      <c r="E16" s="124">
        <v>3251000000</v>
      </c>
      <c r="F16" s="124">
        <v>3913000000</v>
      </c>
    </row>
    <row r="17" spans="2:6">
      <c r="B17" s="107" t="s">
        <v>242</v>
      </c>
      <c r="C17" s="124">
        <v>15991000000</v>
      </c>
      <c r="D17" s="124">
        <v>15681000000</v>
      </c>
      <c r="E17" s="124">
        <v>16593000000</v>
      </c>
      <c r="F17" s="124">
        <v>16513000000</v>
      </c>
    </row>
    <row r="18" spans="2:6">
      <c r="B18" s="128" t="s">
        <v>243</v>
      </c>
      <c r="C18" s="129">
        <f>SUM(C6,C10,C14,C17)</f>
        <v>35873000000</v>
      </c>
      <c r="D18" s="129">
        <f>SUM(D6,D10,D14,D17)</f>
        <v>36614000000</v>
      </c>
      <c r="E18" s="129">
        <f>SUM(E6,E10,E14,E17)</f>
        <v>38147000000</v>
      </c>
      <c r="F18" s="129">
        <f>SUM(F6,F10,F14,F17)</f>
        <v>38979000000</v>
      </c>
    </row>
    <row r="19" spans="2:6">
      <c r="B19" s="119"/>
      <c r="C19" s="121"/>
      <c r="D19" s="121"/>
      <c r="E19" s="121"/>
      <c r="F19" s="121"/>
    </row>
    <row r="20" spans="2:6">
      <c r="B20" s="120" t="s">
        <v>244</v>
      </c>
      <c r="C20" s="124">
        <v>12747000000</v>
      </c>
      <c r="D20" s="124">
        <v>12626000000</v>
      </c>
      <c r="E20" s="124">
        <v>13175000000</v>
      </c>
      <c r="F20" s="124">
        <v>14041000000</v>
      </c>
    </row>
    <row r="21" spans="2:6">
      <c r="B21" t="s">
        <v>250</v>
      </c>
      <c r="C21" s="123">
        <v>10818000000</v>
      </c>
      <c r="D21" s="123">
        <v>10351000000</v>
      </c>
      <c r="E21" s="123">
        <v>10828000000</v>
      </c>
      <c r="F21" s="123">
        <v>10343000000</v>
      </c>
    </row>
    <row r="22" spans="2:6">
      <c r="B22" t="s">
        <v>251</v>
      </c>
      <c r="C22" s="123">
        <v>93000000</v>
      </c>
      <c r="D22" s="123">
        <v>78000000</v>
      </c>
      <c r="E22" s="123">
        <v>77000000</v>
      </c>
      <c r="F22" s="123">
        <v>68000000</v>
      </c>
    </row>
    <row r="23" spans="2:6">
      <c r="B23" t="s">
        <v>245</v>
      </c>
      <c r="C23" s="123">
        <v>264000000</v>
      </c>
      <c r="D23" s="123">
        <v>333000000</v>
      </c>
      <c r="E23" s="123">
        <v>459000000</v>
      </c>
      <c r="F23" s="123">
        <v>449000000</v>
      </c>
    </row>
    <row r="24" spans="2:6">
      <c r="B24" t="s">
        <v>246</v>
      </c>
      <c r="C24" s="123">
        <v>409000000</v>
      </c>
      <c r="D24" s="123">
        <v>589000000</v>
      </c>
      <c r="E24" s="123">
        <v>232000000</v>
      </c>
      <c r="F24" s="123">
        <v>500000000</v>
      </c>
    </row>
    <row r="25" spans="2:6">
      <c r="B25" s="126" t="s">
        <v>247</v>
      </c>
      <c r="C25" s="127">
        <f>SUM(C20:C24)</f>
        <v>24331000000</v>
      </c>
      <c r="D25" s="127">
        <f>SUM(D20:D24)</f>
        <v>23977000000</v>
      </c>
      <c r="E25" s="127">
        <f>SUM(E20:E24)</f>
        <v>24771000000</v>
      </c>
      <c r="F25" s="127">
        <f>SUM(F20:F24)</f>
        <v>25401000000</v>
      </c>
    </row>
    <row r="26" spans="2:6">
      <c r="C26" s="7"/>
      <c r="D26" s="7"/>
      <c r="E26" s="7"/>
      <c r="F26" s="7"/>
    </row>
    <row r="27" spans="2:6">
      <c r="B27" t="s">
        <v>132</v>
      </c>
      <c r="C27" s="123">
        <v>4086000000</v>
      </c>
      <c r="D27" s="123">
        <v>4691000000</v>
      </c>
      <c r="E27" s="123">
        <v>5153000000</v>
      </c>
      <c r="F27" s="123">
        <v>5430000000</v>
      </c>
    </row>
    <row r="28" spans="2:6">
      <c r="B28" t="s">
        <v>128</v>
      </c>
      <c r="C28" s="123">
        <v>5195000000</v>
      </c>
      <c r="D28" s="123">
        <v>5166000000</v>
      </c>
      <c r="E28" s="123">
        <v>5855000000</v>
      </c>
      <c r="F28" s="123">
        <v>5820000000</v>
      </c>
    </row>
    <row r="29" spans="2:6">
      <c r="B29" t="s">
        <v>252</v>
      </c>
      <c r="C29" s="123">
        <v>108000000</v>
      </c>
      <c r="D29" s="123">
        <v>91000000</v>
      </c>
      <c r="E29" s="123">
        <v>81000000</v>
      </c>
      <c r="F29" s="123">
        <v>52000000</v>
      </c>
    </row>
    <row r="30" spans="2:6">
      <c r="B30" t="s">
        <v>253</v>
      </c>
      <c r="C30" s="123">
        <v>216000000</v>
      </c>
      <c r="D30" s="123">
        <v>249000000</v>
      </c>
      <c r="E30" s="123">
        <v>353000000</v>
      </c>
      <c r="F30" s="123">
        <v>324000000</v>
      </c>
    </row>
    <row r="31" spans="2:6">
      <c r="B31" t="s">
        <v>254</v>
      </c>
      <c r="C31" s="123">
        <v>0</v>
      </c>
      <c r="D31" s="123">
        <v>0</v>
      </c>
      <c r="E31" s="123">
        <v>0</v>
      </c>
      <c r="F31" s="123">
        <v>0</v>
      </c>
    </row>
    <row r="32" spans="2:6">
      <c r="B32" t="s">
        <v>249</v>
      </c>
      <c r="C32" s="123">
        <v>1937000000</v>
      </c>
      <c r="D32" s="123">
        <v>2440000000</v>
      </c>
      <c r="E32" s="123">
        <v>1934000000</v>
      </c>
      <c r="F32" s="123">
        <v>1952000000</v>
      </c>
    </row>
    <row r="33" spans="2:6">
      <c r="B33" s="126" t="s">
        <v>248</v>
      </c>
      <c r="C33" s="127">
        <f>SUM(C27:C32)</f>
        <v>11542000000</v>
      </c>
      <c r="D33" s="127">
        <f>SUM(D27:D32)</f>
        <v>12637000000</v>
      </c>
      <c r="E33" s="127">
        <f>SUM(E27:E32)</f>
        <v>13376000000</v>
      </c>
      <c r="F33" s="127">
        <f>SUM(F27:F32)</f>
        <v>13578000000</v>
      </c>
    </row>
    <row r="34" spans="2:6">
      <c r="B34" s="5"/>
      <c r="C34" s="15"/>
      <c r="D34" s="15"/>
      <c r="E34" s="15"/>
      <c r="F34" s="15"/>
    </row>
    <row r="35" spans="2:6">
      <c r="B35" s="126" t="s">
        <v>96</v>
      </c>
      <c r="C35" s="127">
        <f>SUM(C25,C33)</f>
        <v>35873000000</v>
      </c>
      <c r="D35" s="127">
        <f>SUM(D25,D33)</f>
        <v>36614000000</v>
      </c>
      <c r="E35" s="127">
        <f>SUM(E25,E33)</f>
        <v>38147000000</v>
      </c>
      <c r="F35" s="127">
        <f>SUM(F25,F33)</f>
        <v>38979000000</v>
      </c>
    </row>
    <row r="38" spans="2:6">
      <c r="B38" s="130" t="s">
        <v>256</v>
      </c>
      <c r="C38" s="3">
        <f>C4</f>
        <v>44185</v>
      </c>
      <c r="D38" s="3">
        <f>D4</f>
        <v>44561</v>
      </c>
      <c r="E38" s="3">
        <f>E4</f>
        <v>44926</v>
      </c>
      <c r="F38" s="3">
        <f>F4</f>
        <v>45291</v>
      </c>
    </row>
    <row r="39" spans="2:6">
      <c r="B39" s="5" t="str">
        <f>HistoricalFS!B94</f>
        <v>Operating Activities</v>
      </c>
      <c r="C39" s="15">
        <f>HistoricalFS!C94</f>
        <v>0</v>
      </c>
      <c r="D39" s="15">
        <f>HistoricalFS!D94</f>
        <v>0</v>
      </c>
      <c r="E39" s="15">
        <f>HistoricalFS!E94</f>
        <v>0</v>
      </c>
      <c r="F39" s="15">
        <f>HistoricalFS!F94</f>
        <v>0</v>
      </c>
    </row>
    <row r="40" spans="2:6">
      <c r="B40" s="79" t="str">
        <f>HistoricalFS!B95</f>
        <v>Revenue from Operations</v>
      </c>
      <c r="C40" s="138">
        <f>HistoricalFS!C95</f>
        <v>1192000000</v>
      </c>
      <c r="D40" s="138">
        <f>HistoricalFS!D95</f>
        <v>1976000000</v>
      </c>
      <c r="E40" s="138">
        <f>HistoricalFS!E95</f>
        <v>1994000000</v>
      </c>
      <c r="F40" s="138">
        <f>HistoricalFS!F95</f>
        <v>2187000000</v>
      </c>
    </row>
    <row r="41" spans="2:6">
      <c r="B41" s="79" t="str">
        <f>HistoricalFS!B96</f>
        <v>Depreciation,Amortization and Depletion</v>
      </c>
      <c r="C41" s="138">
        <f>HistoricalFS!C96</f>
        <v>2596000000</v>
      </c>
      <c r="D41" s="138">
        <f>HistoricalFS!D96</f>
        <v>2664000000</v>
      </c>
      <c r="E41" s="138">
        <f>HistoricalFS!E96</f>
        <v>2795000000</v>
      </c>
      <c r="F41" s="138">
        <f>HistoricalFS!F96</f>
        <v>2906000000</v>
      </c>
    </row>
    <row r="42" spans="2:6">
      <c r="B42" s="79" t="str">
        <f>HistoricalFS!B97</f>
        <v>Tax Refund Paid</v>
      </c>
      <c r="C42" s="138">
        <f>HistoricalFS!C97</f>
        <v>-452000000</v>
      </c>
      <c r="D42" s="138">
        <f>HistoricalFS!D97</f>
        <v>-643000000</v>
      </c>
      <c r="E42" s="138">
        <f>HistoricalFS!E97</f>
        <v>-439000000</v>
      </c>
      <c r="F42" s="138">
        <f>HistoricalFS!F97</f>
        <v>-917000000</v>
      </c>
    </row>
    <row r="43" spans="2:6">
      <c r="B43" s="79" t="str">
        <f>HistoricalFS!B98</f>
        <v>Interest Received</v>
      </c>
      <c r="C43" s="138">
        <f>HistoricalFS!C98</f>
        <v>11000000</v>
      </c>
      <c r="D43" s="138">
        <f>HistoricalFS!D98</f>
        <v>8000000</v>
      </c>
      <c r="E43" s="138">
        <f>HistoricalFS!E98</f>
        <v>38000000</v>
      </c>
      <c r="F43" s="138">
        <f>HistoricalFS!F98</f>
        <v>24000000</v>
      </c>
    </row>
    <row r="44" spans="2:6">
      <c r="B44" s="79" t="str">
        <f>HistoricalFS!B99</f>
        <v>Change in working capital</v>
      </c>
      <c r="C44" s="138">
        <f>HistoricalFS!C99</f>
        <v>550000000</v>
      </c>
      <c r="D44" s="138">
        <f>HistoricalFS!D99</f>
        <v>-232000000</v>
      </c>
      <c r="E44" s="138">
        <f>HistoricalFS!E99</f>
        <v>-1007000000</v>
      </c>
      <c r="F44" s="138">
        <f>HistoricalFS!F99</f>
        <v>-168000000</v>
      </c>
    </row>
    <row r="45" spans="2:6">
      <c r="B45" s="79" t="str">
        <f>HistoricalFS!B100</f>
        <v>Other Non Cash items</v>
      </c>
      <c r="C45" s="138">
        <f>HistoricalFS!C100</f>
        <v>776000000</v>
      </c>
      <c r="D45" s="138">
        <f>HistoricalFS!D100</f>
        <v>536000000</v>
      </c>
      <c r="E45" s="138">
        <f>HistoricalFS!E100</f>
        <v>681000000</v>
      </c>
      <c r="F45" s="138">
        <f>HistoricalFS!F100</f>
        <v>882000000</v>
      </c>
    </row>
    <row r="46" spans="2:6">
      <c r="B46" s="79" t="str">
        <f>HistoricalFS!B101</f>
        <v>Unrealized Gain Loss On Investment Securities</v>
      </c>
      <c r="C46" s="138">
        <f>HistoricalFS!C101</f>
        <v>0</v>
      </c>
      <c r="D46" s="138">
        <f>HistoricalFS!D101</f>
        <v>0</v>
      </c>
      <c r="E46" s="138">
        <f>HistoricalFS!E101</f>
        <v>-4000000</v>
      </c>
      <c r="F46" s="138">
        <f>HistoricalFS!F101</f>
        <v>-3000000</v>
      </c>
    </row>
    <row r="47" spans="2:6">
      <c r="B47" s="79" t="str">
        <f>HistoricalFS!B102</f>
        <v>Provisionand Write Offof Assets</v>
      </c>
      <c r="C47" s="138">
        <f>HistoricalFS!C102</f>
        <v>45000000</v>
      </c>
      <c r="D47" s="138">
        <f>HistoricalFS!D102</f>
        <v>-20000000</v>
      </c>
      <c r="E47" s="138">
        <f>HistoricalFS!E102</f>
        <v>0</v>
      </c>
      <c r="F47" s="138">
        <f>HistoricalFS!F102</f>
        <v>0</v>
      </c>
    </row>
    <row r="48" spans="2:6">
      <c r="B48" s="79" t="str">
        <f>HistoricalFS!B103</f>
        <v>Asset Impairment Charge</v>
      </c>
      <c r="C48" s="138">
        <f>HistoricalFS!C103</f>
        <v>33000000</v>
      </c>
      <c r="D48" s="138">
        <f>HistoricalFS!D103</f>
        <v>54000000</v>
      </c>
      <c r="E48" s="138">
        <f>HistoricalFS!E103</f>
        <v>34000000</v>
      </c>
      <c r="F48" s="138">
        <f>HistoricalFS!F103</f>
        <v>17000000</v>
      </c>
    </row>
    <row r="49" spans="2:6">
      <c r="B49" s="79" t="str">
        <f>HistoricalFS!B104</f>
        <v>Deferred Tax</v>
      </c>
      <c r="C49" s="138">
        <f>HistoricalFS!C104</f>
        <v>431000000</v>
      </c>
      <c r="D49" s="138">
        <f>HistoricalFS!D104</f>
        <v>466000000</v>
      </c>
      <c r="E49" s="138">
        <f>HistoricalFS!E104</f>
        <v>665000000</v>
      </c>
      <c r="F49" s="138">
        <f>HistoricalFS!F104</f>
        <v>714000000</v>
      </c>
    </row>
    <row r="50" spans="2:6">
      <c r="B50" s="79" t="str">
        <f>HistoricalFS!B105</f>
        <v>Operating Gains Losses</v>
      </c>
      <c r="C50" s="138">
        <f>HistoricalFS!C105</f>
        <v>9000000</v>
      </c>
      <c r="D50" s="138">
        <f>HistoricalFS!D105</f>
        <v>-2000000</v>
      </c>
      <c r="E50" s="138">
        <f>HistoricalFS!E105</f>
        <v>-6000000</v>
      </c>
      <c r="F50" s="138">
        <f>HistoricalFS!F105</f>
        <v>9000000</v>
      </c>
    </row>
    <row r="51" spans="2:6">
      <c r="B51" s="79" t="str">
        <f>HistoricalFS!B106</f>
        <v>Other Operating Activites</v>
      </c>
      <c r="C51" s="138">
        <f>HistoricalFS!C106</f>
        <v>0</v>
      </c>
      <c r="D51" s="138">
        <f>HistoricalFS!D106</f>
        <v>20000000</v>
      </c>
      <c r="E51" s="138">
        <f>HistoricalFS!E106</f>
        <v>4000000</v>
      </c>
      <c r="F51" s="138">
        <f>HistoricalFS!F106</f>
        <v>3000000</v>
      </c>
    </row>
    <row r="52" spans="2:6">
      <c r="B52" s="5" t="str">
        <f>HistoricalFS!B107</f>
        <v>Operating Cash Flow</v>
      </c>
      <c r="C52" s="15">
        <f>HistoricalFS!C107</f>
        <v>5191000000</v>
      </c>
      <c r="D52" s="15">
        <f>HistoricalFS!D107</f>
        <v>4827000000</v>
      </c>
      <c r="E52" s="15">
        <f>HistoricalFS!E107</f>
        <v>4755000000</v>
      </c>
      <c r="F52" s="15">
        <f>HistoricalFS!F107</f>
        <v>5654000000</v>
      </c>
    </row>
    <row r="53" spans="2:6">
      <c r="B53" s="5"/>
      <c r="C53" s="15"/>
      <c r="D53" s="15"/>
      <c r="E53" s="15"/>
      <c r="F53" s="15"/>
    </row>
    <row r="54" spans="2:6">
      <c r="B54" s="5" t="str">
        <f>HistoricalFS!B109</f>
        <v>Investing Activities</v>
      </c>
      <c r="C54" s="15"/>
      <c r="D54" s="15"/>
      <c r="E54" s="15"/>
      <c r="F54" s="15"/>
    </row>
    <row r="55" spans="2:6">
      <c r="B55" s="79" t="str">
        <f>HistoricalFS!B110</f>
        <v>Net PPE Sale and Purchase</v>
      </c>
      <c r="C55" s="138">
        <f>-HistoricalFS!C110</f>
        <v>820000000</v>
      </c>
      <c r="D55" s="138">
        <f>-HistoricalFS!D110</f>
        <v>803000000</v>
      </c>
      <c r="E55" s="138">
        <f>-HistoricalFS!E110</f>
        <v>1152000000</v>
      </c>
      <c r="F55" s="138">
        <f>-HistoricalFS!F110</f>
        <v>1665000000</v>
      </c>
    </row>
    <row r="56" spans="2:6">
      <c r="B56" s="79" t="str">
        <f>HistoricalFS!B111</f>
        <v>Net Intangibles Purchase And Sale</v>
      </c>
      <c r="C56" s="138">
        <f>-HistoricalFS!C111</f>
        <v>338000000</v>
      </c>
      <c r="D56" s="138">
        <f>-HistoricalFS!D111</f>
        <v>379000000</v>
      </c>
      <c r="E56" s="138">
        <f>-HistoricalFS!E111</f>
        <v>419000000</v>
      </c>
      <c r="F56" s="138">
        <f>-HistoricalFS!F111</f>
        <v>407000000</v>
      </c>
    </row>
    <row r="57" spans="2:6">
      <c r="B57" s="79" t="str">
        <f>HistoricalFS!B112</f>
        <v>Net Business Purchase And Sale</v>
      </c>
      <c r="C57" s="138">
        <f>-HistoricalFS!C112</f>
        <v>-14000000</v>
      </c>
      <c r="D57" s="138">
        <f>-HistoricalFS!D112</f>
        <v>0</v>
      </c>
      <c r="E57" s="138">
        <f>-HistoricalFS!E112</f>
        <v>813000000</v>
      </c>
      <c r="F57" s="138">
        <f>-HistoricalFS!F112</f>
        <v>0</v>
      </c>
    </row>
    <row r="58" spans="2:6">
      <c r="B58" s="79" t="str">
        <f>HistoricalFS!B113</f>
        <v>Net Investment Properties Purchase And Sale</v>
      </c>
      <c r="C58" s="138">
        <f>-HistoricalFS!C113</f>
        <v>0</v>
      </c>
      <c r="D58" s="138">
        <f>-HistoricalFS!D113</f>
        <v>0</v>
      </c>
      <c r="E58" s="138">
        <f>-HistoricalFS!E113</f>
        <v>0</v>
      </c>
      <c r="F58" s="138">
        <f>-HistoricalFS!F113</f>
        <v>0</v>
      </c>
    </row>
    <row r="59" spans="2:6">
      <c r="B59" s="79" t="str">
        <f>HistoricalFS!B114</f>
        <v>Net Investment Purchase And Sale</v>
      </c>
      <c r="C59" s="138">
        <f>-HistoricalFS!C114</f>
        <v>212000000</v>
      </c>
      <c r="D59" s="138">
        <f>-HistoricalFS!D114</f>
        <v>164000000</v>
      </c>
      <c r="E59" s="138">
        <f>-HistoricalFS!E114</f>
        <v>42000000</v>
      </c>
      <c r="F59" s="138">
        <f>-HistoricalFS!F114</f>
        <v>93000000</v>
      </c>
    </row>
    <row r="60" spans="2:6">
      <c r="B60" s="79" t="str">
        <f>HistoricalFS!B115</f>
        <v>Net Other Investing Changes</v>
      </c>
      <c r="C60" s="138">
        <f>-HistoricalFS!C115</f>
        <v>20000000</v>
      </c>
      <c r="D60" s="138">
        <f>-HistoricalFS!D115</f>
        <v>-75000000</v>
      </c>
      <c r="E60" s="138">
        <f>-HistoricalFS!E115</f>
        <v>-58000000</v>
      </c>
      <c r="F60" s="138">
        <f>-HistoricalFS!F115</f>
        <v>-320000000</v>
      </c>
    </row>
    <row r="61" spans="2:6">
      <c r="B61" s="79" t="str">
        <f>HistoricalFS!B116</f>
        <v>Unrecorded Investing Activities</v>
      </c>
      <c r="C61" s="138">
        <f>-HistoricalFS!C116</f>
        <v>0</v>
      </c>
      <c r="D61" s="138">
        <f>-HistoricalFS!D116</f>
        <v>0</v>
      </c>
      <c r="E61" s="138">
        <f>-HistoricalFS!E116</f>
        <v>0</v>
      </c>
      <c r="F61" s="138">
        <f>-HistoricalFS!F116</f>
        <v>0</v>
      </c>
    </row>
    <row r="62" spans="2:6">
      <c r="B62" s="5" t="str">
        <f>HistoricalFS!B117</f>
        <v>Investing Cash Flow</v>
      </c>
      <c r="C62" s="15">
        <f>-HistoricalFS!C117</f>
        <v>1376000000</v>
      </c>
      <c r="D62" s="15">
        <f>-HistoricalFS!D117</f>
        <v>1271000000</v>
      </c>
      <c r="E62" s="15">
        <f>-HistoricalFS!E117</f>
        <v>2368000000</v>
      </c>
      <c r="F62" s="15">
        <f>-HistoricalFS!F117</f>
        <v>1845000000</v>
      </c>
    </row>
    <row r="63" spans="2:6">
      <c r="B63" s="5"/>
      <c r="C63" s="15"/>
      <c r="D63" s="15"/>
      <c r="E63" s="15"/>
      <c r="F63" s="15"/>
    </row>
    <row r="64" spans="2:6">
      <c r="B64" s="5" t="str">
        <f>HistoricalFS!B119</f>
        <v>Financing Activities</v>
      </c>
      <c r="C64" s="15"/>
      <c r="D64" s="15"/>
      <c r="E64" s="15"/>
      <c r="F64" s="15"/>
    </row>
    <row r="65" spans="2:6">
      <c r="B65" s="79" t="str">
        <f>HistoricalFS!B120</f>
        <v>Net Other Financing Charges</v>
      </c>
      <c r="C65" s="138">
        <f>-HistoricalFS!C120</f>
        <v>-46000000</v>
      </c>
      <c r="D65" s="138">
        <f>-HistoricalFS!D120</f>
        <v>-72000000</v>
      </c>
      <c r="E65" s="138">
        <f>-HistoricalFS!E120</f>
        <v>24000000</v>
      </c>
      <c r="F65" s="138">
        <f>-HistoricalFS!F120</f>
        <v>-6000000</v>
      </c>
    </row>
    <row r="66" spans="2:6">
      <c r="B66" s="79" t="str">
        <f>HistoricalFS!B121</f>
        <v xml:space="preserve">Interest Paid </v>
      </c>
      <c r="C66" s="138">
        <f>-HistoricalFS!C121</f>
        <v>705000000</v>
      </c>
      <c r="D66" s="138">
        <f>-HistoricalFS!D121</f>
        <v>679000000</v>
      </c>
      <c r="E66" s="138">
        <f>-HistoricalFS!E121</f>
        <v>677000000</v>
      </c>
      <c r="F66" s="138">
        <f>-HistoricalFS!F121</f>
        <v>791000000</v>
      </c>
    </row>
    <row r="67" spans="2:6">
      <c r="B67" s="79" t="str">
        <f>HistoricalFS!B122</f>
        <v>Cash Dividends Paid</v>
      </c>
      <c r="C67" s="138">
        <f>-HistoricalFS!C122</f>
        <v>580000000</v>
      </c>
      <c r="D67" s="138">
        <f>-HistoricalFS!D122</f>
        <v>484000000</v>
      </c>
      <c r="E67" s="138">
        <f>-HistoricalFS!E122</f>
        <v>529000000</v>
      </c>
      <c r="F67" s="138">
        <f>-HistoricalFS!F122</f>
        <v>562000000</v>
      </c>
    </row>
    <row r="68" spans="2:6">
      <c r="B68" s="79" t="str">
        <f>HistoricalFS!B123</f>
        <v>Net Common Stock Issuance</v>
      </c>
      <c r="C68" s="138">
        <f>-HistoricalFS!C123</f>
        <v>868000000</v>
      </c>
      <c r="D68" s="138">
        <f>-HistoricalFS!D123</f>
        <v>1148000000</v>
      </c>
      <c r="E68" s="138">
        <f>-HistoricalFS!E123</f>
        <v>1308000000</v>
      </c>
      <c r="F68" s="138">
        <f>-HistoricalFS!F123</f>
        <v>1740000000</v>
      </c>
    </row>
    <row r="69" spans="2:6">
      <c r="B69" s="79" t="str">
        <f>HistoricalFS!B124</f>
        <v>Net Issuance Payments Of Debt</v>
      </c>
      <c r="C69" s="138">
        <f>-HistoricalFS!C124</f>
        <v>1175000000</v>
      </c>
      <c r="D69" s="138">
        <f>-HistoricalFS!D124</f>
        <v>1010000000</v>
      </c>
      <c r="E69" s="138">
        <f>-HistoricalFS!E124</f>
        <v>213000000</v>
      </c>
      <c r="F69" s="138">
        <f>-HistoricalFS!F124</f>
        <v>845000000</v>
      </c>
    </row>
    <row r="70" spans="2:6">
      <c r="B70" s="5" t="str">
        <f>HistoricalFS!B125</f>
        <v>Financing Cash Flow</v>
      </c>
      <c r="C70" s="15">
        <f>-HistoricalFS!C125</f>
        <v>3282000000</v>
      </c>
      <c r="D70" s="15">
        <f>-HistoricalFS!D125</f>
        <v>3249000000</v>
      </c>
      <c r="E70" s="15">
        <f>-HistoricalFS!E125</f>
        <v>2751000000</v>
      </c>
      <c r="F70" s="15">
        <f>-HistoricalFS!F125</f>
        <v>3932000000</v>
      </c>
    </row>
    <row r="71" spans="2:6">
      <c r="B71" s="5"/>
      <c r="C71" s="15"/>
      <c r="D71" s="15"/>
      <c r="E71" s="15"/>
      <c r="F71" s="15"/>
    </row>
    <row r="72" spans="2:6" ht="15" thickBot="1">
      <c r="B72" s="139" t="str">
        <f>HistoricalFS!B127</f>
        <v>Net Cash Flow</v>
      </c>
      <c r="C72" s="140">
        <f>C52-C62-C70</f>
        <v>533000000</v>
      </c>
      <c r="D72" s="140">
        <f>D52-D62-D70</f>
        <v>307000000</v>
      </c>
      <c r="E72" s="140">
        <f>E52-E62-E70</f>
        <v>-364000000</v>
      </c>
      <c r="F72" s="140">
        <f>F52-F62-F70</f>
        <v>-123000000</v>
      </c>
    </row>
    <row r="73" spans="2:6" ht="15" thickTop="1"/>
    <row r="82" spans="4:6">
      <c r="D82" s="12"/>
      <c r="E82" s="12"/>
      <c r="F82" s="12"/>
    </row>
    <row r="96" spans="4:6">
      <c r="D96" s="12"/>
      <c r="E96" s="12"/>
      <c r="F96" s="12"/>
    </row>
    <row r="138" spans="3:6">
      <c r="C138" s="12"/>
      <c r="D138" s="12"/>
      <c r="E138" s="12"/>
      <c r="F138" s="12"/>
    </row>
    <row r="148" spans="3:6">
      <c r="C148" s="12"/>
      <c r="D148" s="12"/>
      <c r="E148" s="12"/>
      <c r="F148" s="12"/>
    </row>
    <row r="166" spans="3:6">
      <c r="C166" s="12"/>
      <c r="D166" s="12"/>
      <c r="E166" s="12"/>
      <c r="F166" s="1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7979-4206-4DF4-90CD-FDC0091DA55D}">
  <sheetPr>
    <tabColor rgb="FFFF0000"/>
  </sheetPr>
  <dimension ref="B5:T13"/>
  <sheetViews>
    <sheetView topLeftCell="C1" workbookViewId="0">
      <selection activeCell="G28" sqref="G28"/>
    </sheetView>
  </sheetViews>
  <sheetFormatPr defaultRowHeight="14.4"/>
  <cols>
    <col min="1" max="1" width="1.88671875" customWidth="1"/>
    <col min="2" max="2" width="7.6640625" customWidth="1"/>
    <col min="3" max="3" width="16.44140625" bestFit="1" customWidth="1"/>
    <col min="4" max="4" width="6.88671875" bestFit="1" customWidth="1"/>
    <col min="5" max="5" width="14.44140625" bestFit="1" customWidth="1"/>
    <col min="6" max="7" width="13.44140625" bestFit="1" customWidth="1"/>
    <col min="8" max="8" width="19" bestFit="1" customWidth="1"/>
    <col min="9" max="9" width="13.44140625" bestFit="1" customWidth="1"/>
    <col min="10" max="10" width="4.5546875" bestFit="1" customWidth="1"/>
    <col min="11" max="11" width="13.44140625" bestFit="1" customWidth="1"/>
    <col min="12" max="12" width="14.44140625" bestFit="1" customWidth="1"/>
    <col min="13" max="14" width="13.44140625" bestFit="1" customWidth="1"/>
    <col min="15" max="15" width="14.44140625" bestFit="1" customWidth="1"/>
    <col min="16" max="16" width="16.5546875" bestFit="1" customWidth="1"/>
    <col min="17" max="17" width="15.88671875" bestFit="1" customWidth="1"/>
    <col min="18" max="18" width="8.5546875" bestFit="1" customWidth="1"/>
    <col min="19" max="19" width="9" bestFit="1" customWidth="1"/>
    <col min="20" max="20" width="14" bestFit="1" customWidth="1"/>
  </cols>
  <sheetData>
    <row r="5" spans="2:20">
      <c r="C5" t="s">
        <v>484</v>
      </c>
      <c r="D5" t="s">
        <v>495</v>
      </c>
      <c r="E5" t="s">
        <v>496</v>
      </c>
      <c r="F5" t="s">
        <v>7</v>
      </c>
      <c r="G5" t="s">
        <v>229</v>
      </c>
      <c r="H5" t="s">
        <v>497</v>
      </c>
      <c r="I5" t="s">
        <v>142</v>
      </c>
      <c r="J5" t="s">
        <v>232</v>
      </c>
      <c r="K5" t="s">
        <v>498</v>
      </c>
      <c r="L5" t="s">
        <v>96</v>
      </c>
      <c r="M5" t="s">
        <v>50</v>
      </c>
      <c r="N5" t="s">
        <v>49</v>
      </c>
      <c r="O5" t="s">
        <v>499</v>
      </c>
      <c r="P5" t="s">
        <v>500</v>
      </c>
      <c r="Q5" t="s">
        <v>485</v>
      </c>
      <c r="R5" t="s">
        <v>486</v>
      </c>
      <c r="S5" t="s">
        <v>487</v>
      </c>
      <c r="T5" t="s">
        <v>488</v>
      </c>
    </row>
    <row r="6" spans="2:20">
      <c r="B6">
        <v>2</v>
      </c>
      <c r="C6" t="s">
        <v>472</v>
      </c>
      <c r="D6" s="107" t="s">
        <v>471</v>
      </c>
      <c r="E6" s="169">
        <v>60930000000</v>
      </c>
      <c r="F6" s="169">
        <v>6050000000</v>
      </c>
      <c r="G6" s="169">
        <v>1250000000</v>
      </c>
      <c r="H6" s="169">
        <v>5870000000</v>
      </c>
      <c r="I6" s="169">
        <v>3850000000</v>
      </c>
      <c r="J6" s="107">
        <v>8.9700000000000006</v>
      </c>
      <c r="K6" s="169">
        <v>2420000000</v>
      </c>
      <c r="L6" s="169">
        <v>49610000000</v>
      </c>
      <c r="M6" s="169">
        <v>22900000000</v>
      </c>
      <c r="N6" s="169">
        <v>20070000000</v>
      </c>
      <c r="O6" s="169">
        <v>246534694</v>
      </c>
      <c r="P6" s="107">
        <v>42.36</v>
      </c>
      <c r="Q6" s="169">
        <v>63280000000</v>
      </c>
      <c r="R6" s="107" t="s">
        <v>489</v>
      </c>
      <c r="S6" s="107">
        <v>-0.95</v>
      </c>
      <c r="T6" s="170">
        <v>21.45</v>
      </c>
    </row>
    <row r="7" spans="2:20">
      <c r="B7">
        <v>3</v>
      </c>
      <c r="C7" t="s">
        <v>473</v>
      </c>
      <c r="D7" s="107" t="s">
        <v>474</v>
      </c>
      <c r="E7" s="169">
        <v>60600000000</v>
      </c>
      <c r="F7" s="169">
        <v>5520000000</v>
      </c>
      <c r="G7" s="169">
        <v>2250000000</v>
      </c>
      <c r="H7" s="169">
        <v>5620000000</v>
      </c>
      <c r="I7" s="169">
        <v>3880000000</v>
      </c>
      <c r="J7" s="107">
        <v>7.26</v>
      </c>
      <c r="K7" s="169">
        <v>993000000</v>
      </c>
      <c r="L7" s="169">
        <v>39260000000</v>
      </c>
      <c r="M7" s="169">
        <v>18750000000</v>
      </c>
      <c r="N7" s="169">
        <v>17220000000</v>
      </c>
      <c r="O7" s="169">
        <v>305391638</v>
      </c>
      <c r="P7" s="107">
        <v>36.409999999999997</v>
      </c>
      <c r="Q7" s="169">
        <v>53990000000</v>
      </c>
      <c r="R7" s="107" t="s">
        <v>490</v>
      </c>
      <c r="S7" s="107">
        <v>1.99</v>
      </c>
      <c r="T7" s="170">
        <v>178.29</v>
      </c>
    </row>
    <row r="8" spans="2:20">
      <c r="B8">
        <v>4</v>
      </c>
      <c r="C8" t="s">
        <v>476</v>
      </c>
      <c r="D8" s="107" t="s">
        <v>475</v>
      </c>
      <c r="E8" s="169">
        <v>21350000000</v>
      </c>
      <c r="F8" s="169">
        <v>1780000000</v>
      </c>
      <c r="G8" s="169">
        <v>931000000</v>
      </c>
      <c r="H8" s="169">
        <v>1610000000</v>
      </c>
      <c r="I8" s="169">
        <v>1070000000</v>
      </c>
      <c r="J8" s="107">
        <v>4.0999999999999996</v>
      </c>
      <c r="K8" s="169">
        <v>5300000</v>
      </c>
      <c r="L8" s="169">
        <v>13930000000</v>
      </c>
      <c r="M8" s="169">
        <v>4410000000</v>
      </c>
      <c r="N8" s="169">
        <v>4400000000</v>
      </c>
      <c r="O8" s="169">
        <v>222613000</v>
      </c>
      <c r="P8" s="107">
        <v>30.4</v>
      </c>
      <c r="Q8" s="169">
        <v>19940000000</v>
      </c>
      <c r="R8" s="107" t="s">
        <v>491</v>
      </c>
      <c r="S8" s="107"/>
      <c r="T8" s="170">
        <v>89.73</v>
      </c>
    </row>
    <row r="9" spans="2:20">
      <c r="B9">
        <v>5</v>
      </c>
      <c r="C9" t="s">
        <v>478</v>
      </c>
      <c r="D9" s="107" t="s">
        <v>477</v>
      </c>
      <c r="E9" s="169">
        <v>30870000000</v>
      </c>
      <c r="F9" s="169">
        <v>1720000000</v>
      </c>
      <c r="G9" s="169">
        <v>672000000</v>
      </c>
      <c r="H9" s="169">
        <v>2000000000</v>
      </c>
      <c r="I9" s="169">
        <v>1250000000</v>
      </c>
      <c r="J9" s="107">
        <v>2.74</v>
      </c>
      <c r="K9" s="169">
        <v>312900000</v>
      </c>
      <c r="L9" s="169">
        <v>16920000000</v>
      </c>
      <c r="M9" s="169">
        <v>7500000000</v>
      </c>
      <c r="N9" s="169">
        <v>7180000000</v>
      </c>
      <c r="O9" s="169">
        <v>241974331</v>
      </c>
      <c r="P9" s="107">
        <v>22.39</v>
      </c>
      <c r="Q9" s="169">
        <v>9780000000</v>
      </c>
      <c r="R9" s="107" t="s">
        <v>492</v>
      </c>
      <c r="S9" s="107">
        <v>-2.0099999999999998</v>
      </c>
      <c r="T9" s="170">
        <v>41.25</v>
      </c>
    </row>
    <row r="10" spans="2:20">
      <c r="B10">
        <v>6</v>
      </c>
      <c r="C10" t="s">
        <v>480</v>
      </c>
      <c r="D10" s="107" t="s">
        <v>479</v>
      </c>
      <c r="E10" s="169">
        <v>1520000000</v>
      </c>
      <c r="F10" s="169">
        <v>448200000</v>
      </c>
      <c r="G10" s="169">
        <v>86030000</v>
      </c>
      <c r="H10" s="169">
        <v>301490000</v>
      </c>
      <c r="I10" s="169">
        <v>180540000</v>
      </c>
      <c r="J10" s="107">
        <v>0.36</v>
      </c>
      <c r="K10" s="169">
        <v>234820000</v>
      </c>
      <c r="L10" s="169">
        <v>3400000000</v>
      </c>
      <c r="M10" s="169">
        <v>716320000</v>
      </c>
      <c r="N10" s="169">
        <v>481500000</v>
      </c>
      <c r="O10" s="169">
        <v>211625181</v>
      </c>
      <c r="P10" s="107">
        <v>10.16</v>
      </c>
      <c r="Q10" s="169">
        <v>3070000000</v>
      </c>
      <c r="R10" s="107" t="s">
        <v>493</v>
      </c>
      <c r="S10" s="107">
        <v>0.08</v>
      </c>
      <c r="T10" s="171">
        <v>13</v>
      </c>
    </row>
    <row r="11" spans="2:20">
      <c r="B11">
        <v>7</v>
      </c>
      <c r="C11" t="s">
        <v>482</v>
      </c>
      <c r="D11" s="107" t="s">
        <v>481</v>
      </c>
      <c r="E11" s="169">
        <v>2520000000</v>
      </c>
      <c r="F11" s="169">
        <v>278840000</v>
      </c>
      <c r="G11" s="169">
        <v>132550000</v>
      </c>
      <c r="H11" s="169">
        <v>258330000</v>
      </c>
      <c r="I11" s="169">
        <v>113130000</v>
      </c>
      <c r="J11" s="107">
        <v>2.78</v>
      </c>
      <c r="K11" s="169">
        <v>86990000</v>
      </c>
      <c r="L11" s="169">
        <v>1460000000</v>
      </c>
      <c r="M11" s="169">
        <v>444580000</v>
      </c>
      <c r="N11" s="169">
        <v>357580000</v>
      </c>
      <c r="O11" s="169">
        <v>47606909</v>
      </c>
      <c r="P11" s="107">
        <v>15.01</v>
      </c>
      <c r="Q11" s="169">
        <v>2530000000</v>
      </c>
      <c r="R11" s="107" t="s">
        <v>494</v>
      </c>
      <c r="S11" s="107">
        <v>1.93</v>
      </c>
      <c r="T11" s="170">
        <v>53.02</v>
      </c>
    </row>
    <row r="13" spans="2:20" ht="15" thickBot="1">
      <c r="O13" s="180"/>
      <c r="P13" s="180"/>
      <c r="Q13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</vt:i4>
      </vt:variant>
    </vt:vector>
  </HeadingPairs>
  <TitlesOfParts>
    <vt:vector size="35" baseType="lpstr">
      <vt:lpstr>Company Profile</vt:lpstr>
      <vt:lpstr>Financials&gt;</vt:lpstr>
      <vt:lpstr>HistoricalFS</vt:lpstr>
      <vt:lpstr>Common Size Statements</vt:lpstr>
      <vt:lpstr>Ratio Analysis</vt:lpstr>
      <vt:lpstr>Forecasting</vt:lpstr>
      <vt:lpstr>DCF&gt;</vt:lpstr>
      <vt:lpstr>WACC</vt:lpstr>
      <vt:lpstr>Comp Beta</vt:lpstr>
      <vt:lpstr>Intrinsic Growth</vt:lpstr>
      <vt:lpstr>Valuation&gt;</vt:lpstr>
      <vt:lpstr>Comp Vals</vt:lpstr>
      <vt:lpstr>Loblaws Share Price</vt:lpstr>
      <vt:lpstr>Market Return</vt:lpstr>
      <vt:lpstr>Beta- Regression</vt:lpstr>
      <vt:lpstr>Data&gt;</vt:lpstr>
      <vt:lpstr>incomestatement</vt:lpstr>
      <vt:lpstr>income_statement_quaterly</vt:lpstr>
      <vt:lpstr>balance_sheet</vt:lpstr>
      <vt:lpstr>balance_sheet_quarterly</vt:lpstr>
      <vt:lpstr>cashflow</vt:lpstr>
      <vt:lpstr>cashflow_quarterly</vt:lpstr>
      <vt:lpstr>Raw FS</vt:lpstr>
      <vt:lpstr>DATA</vt:lpstr>
      <vt:lpstr>'Beta- Regression'!Print_Area</vt:lpstr>
      <vt:lpstr>'Common Size Statements'!Print_Area</vt:lpstr>
      <vt:lpstr>'Comp Beta'!Print_Area</vt:lpstr>
      <vt:lpstr>'Comp Vals'!Print_Area</vt:lpstr>
      <vt:lpstr>'Company Profile'!Print_Area</vt:lpstr>
      <vt:lpstr>'DCF&gt;'!Print_Area</vt:lpstr>
      <vt:lpstr>Forecasting!Print_Area</vt:lpstr>
      <vt:lpstr>HistoricalFS!Print_Area</vt:lpstr>
      <vt:lpstr>'Intrinsic Growth'!Print_Area</vt:lpstr>
      <vt:lpstr>'Market Return'!Print_Area</vt:lpstr>
      <vt:lpstr>WACC!Print_Area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Subhash Babu</dc:creator>
  <cp:lastModifiedBy>Arvind Subhash Babu</cp:lastModifiedBy>
  <cp:lastPrinted>2024-11-24T01:32:49Z</cp:lastPrinted>
  <dcterms:created xsi:type="dcterms:W3CDTF">2024-11-15T19:53:47Z</dcterms:created>
  <dcterms:modified xsi:type="dcterms:W3CDTF">2024-11-24T01:32:59Z</dcterms:modified>
</cp:coreProperties>
</file>