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ju/Desktop/Everything/OUR/Data/Code/"/>
    </mc:Choice>
  </mc:AlternateContent>
  <xr:revisionPtr revIDLastSave="0" documentId="13_ncr:1_{A01002F5-7762-184A-977E-D9A832260FEC}" xr6:coauthVersionLast="47" xr6:coauthVersionMax="47" xr10:uidLastSave="{00000000-0000-0000-0000-000000000000}"/>
  <bookViews>
    <workbookView xWindow="0" yWindow="500" windowWidth="28800" windowHeight="15800" xr2:uid="{D9226F24-A532-684C-B0C3-FA64F3A741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Q26" i="1"/>
  <c r="N5" i="1"/>
  <c r="Q5" i="1"/>
  <c r="R5" i="1"/>
  <c r="O6" i="1"/>
  <c r="N6" i="1"/>
  <c r="N7" i="1"/>
  <c r="N8" i="1"/>
  <c r="N9" i="1"/>
  <c r="O9" i="1" s="1"/>
  <c r="N10" i="1"/>
  <c r="N11" i="1"/>
  <c r="O11" i="1" s="1"/>
  <c r="N12" i="1"/>
  <c r="N13" i="1"/>
  <c r="N14" i="1"/>
  <c r="N15" i="1"/>
  <c r="N16" i="1"/>
  <c r="N17" i="1"/>
  <c r="O17" i="1" s="1"/>
  <c r="N18" i="1"/>
  <c r="N19" i="1"/>
  <c r="O19" i="1" s="1"/>
  <c r="N20" i="1"/>
  <c r="N21" i="1"/>
  <c r="N22" i="1"/>
  <c r="N23" i="1"/>
  <c r="O23" i="1" s="1"/>
  <c r="O5" i="1"/>
  <c r="Q48" i="1"/>
  <c r="R48" i="1" s="1"/>
  <c r="Q49" i="1"/>
  <c r="Q50" i="1"/>
  <c r="Q51" i="1"/>
  <c r="Q52" i="1"/>
  <c r="R52" i="1" s="1"/>
  <c r="Q53" i="1"/>
  <c r="Q54" i="1"/>
  <c r="R54" i="1" s="1"/>
  <c r="Q55" i="1"/>
  <c r="Q56" i="1"/>
  <c r="R56" i="1" s="1"/>
  <c r="Q57" i="1"/>
  <c r="Q58" i="1"/>
  <c r="Q59" i="1"/>
  <c r="Q60" i="1"/>
  <c r="R60" i="1" s="1"/>
  <c r="Q61" i="1"/>
  <c r="Q62" i="1"/>
  <c r="R62" i="1" s="1"/>
  <c r="Q63" i="1"/>
  <c r="Q64" i="1"/>
  <c r="Q65" i="1"/>
  <c r="Q47" i="1"/>
  <c r="R47" i="1" s="1"/>
  <c r="Q27" i="1"/>
  <c r="Q28" i="1"/>
  <c r="R28" i="1" s="1"/>
  <c r="Q29" i="1"/>
  <c r="Q30" i="1"/>
  <c r="R30" i="1" s="1"/>
  <c r="Q31" i="1"/>
  <c r="Q32" i="1"/>
  <c r="R32" i="1" s="1"/>
  <c r="Q33" i="1"/>
  <c r="Q34" i="1"/>
  <c r="Q35" i="1"/>
  <c r="Q36" i="1"/>
  <c r="R36" i="1" s="1"/>
  <c r="Q37" i="1"/>
  <c r="Q38" i="1"/>
  <c r="Q39" i="1"/>
  <c r="Q40" i="1"/>
  <c r="R40" i="1" s="1"/>
  <c r="Q41" i="1"/>
  <c r="Q42" i="1"/>
  <c r="R42" i="1" s="1"/>
  <c r="Q43" i="1"/>
  <c r="Q44" i="1"/>
  <c r="O13" i="1"/>
  <c r="O21" i="1"/>
  <c r="O7" i="1"/>
  <c r="O8" i="1"/>
  <c r="O10" i="1"/>
  <c r="O12" i="1"/>
  <c r="O14" i="1"/>
  <c r="O15" i="1"/>
  <c r="O16" i="1"/>
  <c r="O18" i="1"/>
  <c r="O20" i="1"/>
  <c r="O22" i="1"/>
  <c r="R26" i="1"/>
  <c r="R58" i="1"/>
  <c r="R59" i="1"/>
  <c r="R63" i="1"/>
  <c r="R55" i="1"/>
  <c r="R51" i="1"/>
  <c r="R49" i="1"/>
  <c r="R50" i="1"/>
  <c r="R53" i="1"/>
  <c r="R57" i="1"/>
  <c r="R61" i="1"/>
  <c r="R64" i="1"/>
  <c r="R65" i="1"/>
  <c r="R27" i="1"/>
  <c r="R29" i="1"/>
  <c r="R31" i="1"/>
  <c r="R33" i="1"/>
  <c r="R34" i="1"/>
  <c r="R35" i="1"/>
  <c r="R37" i="1"/>
  <c r="R38" i="1"/>
  <c r="R39" i="1"/>
  <c r="R41" i="1"/>
  <c r="R43" i="1"/>
  <c r="R44" i="1"/>
  <c r="M43" i="1"/>
  <c r="K45" i="1"/>
  <c r="K51" i="1"/>
  <c r="K50" i="1"/>
  <c r="K49" i="1"/>
  <c r="K47" i="1"/>
  <c r="M46" i="1"/>
  <c r="K46" i="1"/>
  <c r="K43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23" i="1"/>
  <c r="C23" i="1"/>
  <c r="E22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P5" i="1" l="1"/>
  <c r="S26" i="1"/>
  <c r="T26" i="1" s="1"/>
  <c r="U26" i="1"/>
  <c r="S47" i="1"/>
  <c r="T47" i="1" s="1"/>
  <c r="U47" i="1"/>
</calcChain>
</file>

<file path=xl/sharedStrings.xml><?xml version="1.0" encoding="utf-8"?>
<sst xmlns="http://schemas.openxmlformats.org/spreadsheetml/2006/main" count="111" uniqueCount="39">
  <si>
    <t>Year</t>
  </si>
  <si>
    <t>Rain Fall (in millimeters)</t>
  </si>
  <si>
    <t>Temperature</t>
  </si>
  <si>
    <t>Yield of Wheat (kg/Hectare)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</si>
  <si>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</si>
  <si>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</si>
  <si>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</si>
  <si>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</si>
  <si>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</si>
  <si>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</si>
  <si>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</si>
  <si>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</si>
  <si>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</si>
  <si>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</si>
  <si>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</si>
  <si>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</si>
  <si>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</si>
  <si>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</si>
  <si>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</si>
  <si>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</si>
  <si>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</si>
  <si>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</si>
  <si>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</si>
  <si>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Net irrigated Area (in  Hectare)</t>
  </si>
  <si>
    <t xml:space="preserve">Amount of NPK Used </t>
  </si>
  <si>
    <t>Amount of NPK Used</t>
  </si>
  <si>
    <t>Net irrigated Area (in Hectare)</t>
  </si>
  <si>
    <t>bihar</t>
  </si>
  <si>
    <t>up</t>
  </si>
  <si>
    <t>wb</t>
  </si>
  <si>
    <t>West Bengal</t>
  </si>
  <si>
    <t>Averaage Yield</t>
  </si>
  <si>
    <t>Uttar Pradesh</t>
  </si>
  <si>
    <t>Average Rainfall</t>
  </si>
  <si>
    <t>Bihar</t>
  </si>
  <si>
    <t>Average Temp</t>
  </si>
  <si>
    <t>Average NIA</t>
  </si>
  <si>
    <t>Average NPK</t>
  </si>
  <si>
    <t>average irri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</si>
</sst>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Aptos Narrow"/>
      <family val="2"/>
      <scheme val="minor"/>
    </font>
    <font>
      <sz val="9"/>
      <color theme="1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2" borderId="1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Verdana"/>
        <family val="2"/>
        <scheme val="none"/>
      </font>
      <numFmt numFmtId="164" formatCode="[$-F800]dddd\,\ mmmm\ dd\,\ yyyy"/>
      <fill>
        <patternFill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Wheat trend over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Sheet1!$I$5:$I$23</c:f>
              <c:strCache>
                <c:ptCount val="19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  <c:pt idx="5">
                  <c:v>2010-11</c:v>
                </c:pt>
                <c:pt idx="6">
                  <c:v>2011-12</c:v>
                </c:pt>
                <c:pt idx="7">
                  <c:v>2012-13</c:v>
                </c:pt>
                <c:pt idx="8">
                  <c:v>2013-14</c:v>
                </c:pt>
                <c:pt idx="9">
                  <c:v>2014-15</c:v>
                </c:pt>
                <c:pt idx="10">
                  <c:v>2015-16</c:v>
                </c:pt>
                <c:pt idx="11">
                  <c:v>2016-17</c:v>
                </c:pt>
                <c:pt idx="12">
                  <c:v>2017-18</c:v>
                </c:pt>
                <c:pt idx="13">
                  <c:v>2018-19</c:v>
                </c:pt>
                <c:pt idx="14">
                  <c:v>2019-20</c:v>
                </c:pt>
                <c:pt idx="15">
                  <c:v>2020-21</c:v>
                </c:pt>
                <c:pt idx="16">
                  <c:v>2021-22</c:v>
                </c:pt>
                <c:pt idx="17">
                  <c:v>2022-23</c:v>
                </c:pt>
                <c:pt idx="18">
                  <c:v>2023-24</c:v>
                </c:pt>
              </c:strCache>
            </c:strRef>
          </c:cat>
          <c:val>
            <c:numRef>
              <c:f>Sheet1!$J$5:$J$23</c:f>
              <c:numCache>
                <c:formatCode>General</c:formatCode>
                <c:ptCount val="19"/>
                <c:pt idx="0">
                  <c:v>1379</c:v>
                </c:pt>
                <c:pt idx="1">
                  <c:v>1908</c:v>
                </c:pt>
                <c:pt idx="2">
                  <c:v>2058</c:v>
                </c:pt>
                <c:pt idx="3">
                  <c:v>2043</c:v>
                </c:pt>
                <c:pt idx="4">
                  <c:v>2084</c:v>
                </c:pt>
                <c:pt idx="5">
                  <c:v>1948</c:v>
                </c:pt>
                <c:pt idx="6">
                  <c:v>2206</c:v>
                </c:pt>
                <c:pt idx="7">
                  <c:v>2427</c:v>
                </c:pt>
                <c:pt idx="8">
                  <c:v>2358</c:v>
                </c:pt>
                <c:pt idx="9">
                  <c:v>1850.6</c:v>
                </c:pt>
                <c:pt idx="10">
                  <c:v>2244</c:v>
                </c:pt>
                <c:pt idx="11">
                  <c:v>2843</c:v>
                </c:pt>
                <c:pt idx="12">
                  <c:v>2264</c:v>
                </c:pt>
                <c:pt idx="13">
                  <c:v>2998</c:v>
                </c:pt>
                <c:pt idx="14">
                  <c:v>2595</c:v>
                </c:pt>
                <c:pt idx="15">
                  <c:v>2767</c:v>
                </c:pt>
                <c:pt idx="16">
                  <c:v>2780</c:v>
                </c:pt>
                <c:pt idx="17">
                  <c:v>2958</c:v>
                </c:pt>
                <c:pt idx="18">
                  <c:v>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A-7F4C-819D-D63634CD58F3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Sheet1!$I$5:$I$23</c:f>
              <c:strCache>
                <c:ptCount val="19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  <c:pt idx="5">
                  <c:v>2010-11</c:v>
                </c:pt>
                <c:pt idx="6">
                  <c:v>2011-12</c:v>
                </c:pt>
                <c:pt idx="7">
                  <c:v>2012-13</c:v>
                </c:pt>
                <c:pt idx="8">
                  <c:v>2013-14</c:v>
                </c:pt>
                <c:pt idx="9">
                  <c:v>2014-15</c:v>
                </c:pt>
                <c:pt idx="10">
                  <c:v>2015-16</c:v>
                </c:pt>
                <c:pt idx="11">
                  <c:v>2016-17</c:v>
                </c:pt>
                <c:pt idx="12">
                  <c:v>2017-18</c:v>
                </c:pt>
                <c:pt idx="13">
                  <c:v>2018-19</c:v>
                </c:pt>
                <c:pt idx="14">
                  <c:v>2019-20</c:v>
                </c:pt>
                <c:pt idx="15">
                  <c:v>2020-21</c:v>
                </c:pt>
                <c:pt idx="16">
                  <c:v>2021-22</c:v>
                </c:pt>
                <c:pt idx="17">
                  <c:v>2022-23</c:v>
                </c:pt>
                <c:pt idx="18">
                  <c:v>2023-24</c:v>
                </c:pt>
              </c:strCache>
            </c:strRef>
          </c:cat>
          <c:val>
            <c:numRef>
              <c:f>Sheet1!$K$5:$K$23</c:f>
              <c:numCache>
                <c:formatCode>General</c:formatCode>
                <c:ptCount val="19"/>
                <c:pt idx="0">
                  <c:v>2586</c:v>
                </c:pt>
                <c:pt idx="1">
                  <c:v>2772</c:v>
                </c:pt>
                <c:pt idx="2">
                  <c:v>2799</c:v>
                </c:pt>
                <c:pt idx="3">
                  <c:v>2997</c:v>
                </c:pt>
                <c:pt idx="4">
                  <c:v>2854</c:v>
                </c:pt>
                <c:pt idx="5">
                  <c:v>3111</c:v>
                </c:pt>
                <c:pt idx="6">
                  <c:v>3283</c:v>
                </c:pt>
                <c:pt idx="7">
                  <c:v>3217</c:v>
                </c:pt>
                <c:pt idx="8">
                  <c:v>3110</c:v>
                </c:pt>
                <c:pt idx="9">
                  <c:v>2027</c:v>
                </c:pt>
                <c:pt idx="10">
                  <c:v>2786</c:v>
                </c:pt>
                <c:pt idx="11">
                  <c:v>3538</c:v>
                </c:pt>
                <c:pt idx="12">
                  <c:v>3457</c:v>
                </c:pt>
                <c:pt idx="13">
                  <c:v>3432</c:v>
                </c:pt>
                <c:pt idx="14">
                  <c:v>3432</c:v>
                </c:pt>
                <c:pt idx="15">
                  <c:v>3604</c:v>
                </c:pt>
                <c:pt idx="16">
                  <c:v>3604</c:v>
                </c:pt>
                <c:pt idx="17">
                  <c:v>3531</c:v>
                </c:pt>
                <c:pt idx="18">
                  <c:v>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A-7F4C-819D-D63634CD58F3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wb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Sheet1!$I$5:$I$23</c:f>
              <c:strCache>
                <c:ptCount val="19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  <c:pt idx="5">
                  <c:v>2010-11</c:v>
                </c:pt>
                <c:pt idx="6">
                  <c:v>2011-12</c:v>
                </c:pt>
                <c:pt idx="7">
                  <c:v>2012-13</c:v>
                </c:pt>
                <c:pt idx="8">
                  <c:v>2013-14</c:v>
                </c:pt>
                <c:pt idx="9">
                  <c:v>2014-15</c:v>
                </c:pt>
                <c:pt idx="10">
                  <c:v>2015-16</c:v>
                </c:pt>
                <c:pt idx="11">
                  <c:v>2016-17</c:v>
                </c:pt>
                <c:pt idx="12">
                  <c:v>2017-18</c:v>
                </c:pt>
                <c:pt idx="13">
                  <c:v>2018-19</c:v>
                </c:pt>
                <c:pt idx="14">
                  <c:v>2019-20</c:v>
                </c:pt>
                <c:pt idx="15">
                  <c:v>2020-21</c:v>
                </c:pt>
                <c:pt idx="16">
                  <c:v>2021-22</c:v>
                </c:pt>
                <c:pt idx="17">
                  <c:v>2022-23</c:v>
                </c:pt>
                <c:pt idx="18">
                  <c:v>2023-24</c:v>
                </c:pt>
              </c:strCache>
            </c:strRef>
          </c:cat>
          <c:val>
            <c:numRef>
              <c:f>Sheet1!$L$5:$L$23</c:f>
              <c:numCache>
                <c:formatCode>General</c:formatCode>
                <c:ptCount val="19"/>
                <c:pt idx="0">
                  <c:v>2109</c:v>
                </c:pt>
                <c:pt idx="1">
                  <c:v>2282</c:v>
                </c:pt>
                <c:pt idx="2">
                  <c:v>2602</c:v>
                </c:pt>
                <c:pt idx="3">
                  <c:v>2490</c:v>
                </c:pt>
                <c:pt idx="4">
                  <c:v>2680</c:v>
                </c:pt>
                <c:pt idx="5">
                  <c:v>2760</c:v>
                </c:pt>
                <c:pt idx="6">
                  <c:v>2765</c:v>
                </c:pt>
                <c:pt idx="7">
                  <c:v>2786</c:v>
                </c:pt>
                <c:pt idx="8">
                  <c:v>2791</c:v>
                </c:pt>
                <c:pt idx="9">
                  <c:v>2807</c:v>
                </c:pt>
                <c:pt idx="10">
                  <c:v>2825</c:v>
                </c:pt>
                <c:pt idx="11">
                  <c:v>2825</c:v>
                </c:pt>
                <c:pt idx="12">
                  <c:v>2987</c:v>
                </c:pt>
                <c:pt idx="13">
                  <c:v>3012</c:v>
                </c:pt>
                <c:pt idx="14">
                  <c:v>2708</c:v>
                </c:pt>
                <c:pt idx="15">
                  <c:v>3077</c:v>
                </c:pt>
                <c:pt idx="16">
                  <c:v>2974</c:v>
                </c:pt>
                <c:pt idx="17">
                  <c:v>3088</c:v>
                </c:pt>
                <c:pt idx="18">
                  <c:v>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0A-7F4C-819D-D63634CD5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03936"/>
        <c:axId val="606708304"/>
      </c:lineChart>
      <c:catAx>
        <c:axId val="6066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08304"/>
        <c:crosses val="autoZero"/>
        <c:auto val="1"/>
        <c:lblAlgn val="ctr"/>
        <c:lblOffset val="100"/>
        <c:noMultiLvlLbl val="0"/>
      </c:catAx>
      <c:valAx>
        <c:axId val="6067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Sheet1!$F$47:$F$65</c:f>
              <c:numCache>
                <c:formatCode>General</c:formatCode>
                <c:ptCount val="19"/>
                <c:pt idx="0">
                  <c:v>3135000</c:v>
                </c:pt>
                <c:pt idx="1">
                  <c:v>3136000</c:v>
                </c:pt>
                <c:pt idx="2">
                  <c:v>3136000</c:v>
                </c:pt>
                <c:pt idx="3">
                  <c:v>3135000</c:v>
                </c:pt>
                <c:pt idx="4">
                  <c:v>3112000</c:v>
                </c:pt>
                <c:pt idx="5">
                  <c:v>2955000</c:v>
                </c:pt>
                <c:pt idx="6">
                  <c:v>3078000</c:v>
                </c:pt>
                <c:pt idx="7">
                  <c:v>3082000</c:v>
                </c:pt>
                <c:pt idx="8">
                  <c:v>3099000</c:v>
                </c:pt>
                <c:pt idx="9">
                  <c:v>3102000</c:v>
                </c:pt>
                <c:pt idx="10">
                  <c:v>3105000</c:v>
                </c:pt>
                <c:pt idx="11">
                  <c:v>3106000</c:v>
                </c:pt>
                <c:pt idx="12">
                  <c:v>3107000</c:v>
                </c:pt>
                <c:pt idx="13">
                  <c:v>3107000</c:v>
                </c:pt>
                <c:pt idx="14">
                  <c:v>3108000</c:v>
                </c:pt>
                <c:pt idx="15">
                  <c:v>3128000</c:v>
                </c:pt>
                <c:pt idx="16">
                  <c:v>3127000</c:v>
                </c:pt>
                <c:pt idx="17">
                  <c:v>3088000</c:v>
                </c:pt>
                <c:pt idx="18">
                  <c:v>3105000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A-B447-900E-59E8E9DC6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631040"/>
        <c:axId val="2067578160"/>
      </c:barChart>
      <c:catAx>
        <c:axId val="20676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78160"/>
        <c:crosses val="autoZero"/>
        <c:auto val="1"/>
        <c:lblAlgn val="ctr"/>
        <c:lblOffset val="100"/>
        <c:noMultiLvlLbl val="0"/>
      </c:catAx>
      <c:valAx>
        <c:axId val="20675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Sheet1!$G$47:$G$65</c:f>
              <c:numCache>
                <c:formatCode>General</c:formatCode>
                <c:ptCount val="19"/>
                <c:pt idx="0">
                  <c:v>2109</c:v>
                </c:pt>
                <c:pt idx="1">
                  <c:v>2282</c:v>
                </c:pt>
                <c:pt idx="2">
                  <c:v>2602</c:v>
                </c:pt>
                <c:pt idx="3">
                  <c:v>2490</c:v>
                </c:pt>
                <c:pt idx="4">
                  <c:v>2680</c:v>
                </c:pt>
                <c:pt idx="5">
                  <c:v>2760</c:v>
                </c:pt>
                <c:pt idx="6">
                  <c:v>2765</c:v>
                </c:pt>
                <c:pt idx="7">
                  <c:v>2786</c:v>
                </c:pt>
                <c:pt idx="8">
                  <c:v>2791</c:v>
                </c:pt>
                <c:pt idx="9">
                  <c:v>2807</c:v>
                </c:pt>
                <c:pt idx="10">
                  <c:v>2825</c:v>
                </c:pt>
                <c:pt idx="11">
                  <c:v>2825</c:v>
                </c:pt>
                <c:pt idx="12">
                  <c:v>2987</c:v>
                </c:pt>
                <c:pt idx="13">
                  <c:v>3012</c:v>
                </c:pt>
                <c:pt idx="14">
                  <c:v>2708</c:v>
                </c:pt>
                <c:pt idx="15">
                  <c:v>3077</c:v>
                </c:pt>
                <c:pt idx="16">
                  <c:v>2974</c:v>
                </c:pt>
                <c:pt idx="17">
                  <c:v>3088</c:v>
                </c:pt>
                <c:pt idx="18">
                  <c:v>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0-7942-AF5D-1415538E3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084976"/>
        <c:axId val="1789024112"/>
      </c:barChart>
      <c:catAx>
        <c:axId val="17890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24112"/>
        <c:crosses val="autoZero"/>
        <c:auto val="1"/>
        <c:lblAlgn val="ctr"/>
        <c:lblOffset val="100"/>
        <c:noMultiLvlLbl val="0"/>
      </c:catAx>
      <c:valAx>
        <c:axId val="1789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4536</xdr:colOff>
      <xdr:row>24</xdr:row>
      <xdr:rowOff>11793</xdr:rowOff>
    </xdr:from>
    <xdr:to>
      <xdr:col>15</xdr:col>
      <xdr:colOff>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13A8F9-6187-ED4C-B454-73D657BF4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582839</xdr:colOff>
      <xdr:row>65</xdr:row>
      <xdr:rowOff>170544</xdr:rowOff>
    </xdr:from>
    <xdr:to>
      <xdr:col>5</xdr:col>
      <xdr:colOff>1208768</xdr:colOff>
      <xdr:row>79</xdr:row>
      <xdr:rowOff>56244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A9D488-5F09-DB6A-95F9-B4737AF8A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1433285</xdr:colOff>
      <xdr:row>65</xdr:row>
      <xdr:rowOff>193222</xdr:rowOff>
    </xdr:from>
    <xdr:to>
      <xdr:col>9</xdr:col>
      <xdr:colOff>380999</xdr:colOff>
      <xdr:row>79</xdr:row>
      <xdr:rowOff>78922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F9095F-2E96-AAD2-5979-EDA0FF876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4F7B07-848E-AA4B-99E2-A06F7A5DDE62}" name="Table13" displayName="Table13" ref="B4:G65" totalsRowShown="0" headerRowDxfId="7" dataDxfId="6">
  <autoFilter ref="B4:G65" xr:uid="{714F7B07-848E-AA4B-99E2-A06F7A5DDE62}"/>
  <tableColumns count="6">
    <tableColumn id="1" xr3:uid="{90C1919D-AFAD-D740-A393-F83157A7E33E}" name="Year" dataDxfId="5"/>
    <tableColumn id="2" xr3:uid="{247AA511-C25C-0242-853A-BE9622BE9976}" name="Rain Fall (in millimeters)" dataDxfId="4"/>
    <tableColumn id="3" xr3:uid="{6A191B6A-96E0-2F44-88DA-E591C3213A30}" name="Temperature" dataDxfId="3"/>
    <tableColumn id="4" xr3:uid="{B80AD617-0965-8944-9C9F-D9416EFE716C}" name="Amount of NPK Used " dataDxfId="2"/>
    <tableColumn id="5" xr3:uid="{7758917B-85A1-7546-B9FD-CD229EFF6B6D}" name="Net irrigated Area (in  Hectare)" dataDxfId="1"/>
    <tableColumn id="6" xr3:uid="{F01D83F8-1F1F-5B41-BE23-5CC1E643983B}" name="Yield of Wheat (kg/Hectare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4545-7083-4A4F-BF48-7FE31492BF2F}">
  <dimension ref="B4:U65"/>
  <sheetViews>
    <sheetView tabSelected="1" topLeftCell="C19" zoomScaleNormal="100" workbookViewId="0">
      <selection activeCell="K47" sqref="K47"/>
    </sheetView>
  </sheetViews>
  <sheetFormatPr baseColWidth="10" defaultColWidth="11" defaultRowHeight="16" x14ac:dyDescent="0.2"/>
  <cols>
    <col min="2" max="7" width="25.83203125" customWidth="1"/>
  </cols>
  <sheetData>
    <row r="4" spans="2:18" x14ac:dyDescent="0.2">
      <c r="B4" s="7" t="s">
        <v>0</v>
      </c>
      <c r="C4" s="7" t="s">
        <v>1</v>
      </c>
      <c r="D4" s="7" t="s">
        <v>2</v>
      </c>
      <c r="E4" s="7" t="s">
        <v>24</v>
      </c>
      <c r="F4" s="7" t="s">
        <v>23</v>
      </c>
      <c r="G4" s="7" t="s">
        <v>3</v>
      </c>
      <c r="I4" s="7" t="s">
        <v>0</v>
      </c>
      <c r="J4" s="7" t="s">
        <v>27</v>
      </c>
      <c r="K4" s="7" t="s">
        <v>28</v>
      </c>
      <c r="L4" s="7" t="s">
        <v>29</v>
      </c>
    </row>
    <row r="5" spans="2:18" x14ac:dyDescent="0.2">
      <c r="B5" s="8" t="s">
        <v>4</v>
      </c>
      <c r="C5" s="1">
        <f>33.8+4.8+12.1+5.4</f>
        <v>56.099999999999994</v>
      </c>
      <c r="D5" s="1">
        <f>AVERAGE(6,46)</f>
        <v>26</v>
      </c>
      <c r="E5" s="2">
        <v>528.98800000000006</v>
      </c>
      <c r="F5" s="2">
        <v>3161000</v>
      </c>
      <c r="G5" s="2">
        <v>1379</v>
      </c>
      <c r="I5" s="8" t="s">
        <v>4</v>
      </c>
      <c r="J5" s="2">
        <v>1379</v>
      </c>
      <c r="K5" s="2">
        <v>2586</v>
      </c>
      <c r="L5" s="2">
        <v>2109</v>
      </c>
      <c r="N5">
        <f>(0.004539*(C5-540)+0.000011*(F5-3130000))*28000</f>
        <v>-51951.818800000001</v>
      </c>
      <c r="O5">
        <f>MAX(N5,0)</f>
        <v>0</v>
      </c>
      <c r="P5">
        <f>SUM(O6,O7,O8,O23)</f>
        <v>187744.53040000002</v>
      </c>
      <c r="Q5">
        <f>P5/19</f>
        <v>9881.2910736842114</v>
      </c>
      <c r="R5">
        <f>AVERAGE(O5:O23)</f>
        <v>9881.2910736842114</v>
      </c>
    </row>
    <row r="6" spans="2:18" x14ac:dyDescent="0.2">
      <c r="B6" s="8" t="s">
        <v>5</v>
      </c>
      <c r="C6" s="1">
        <f>17.9+2.1+0.2+11.3+18.4+10.3</f>
        <v>60.2</v>
      </c>
      <c r="D6" s="1">
        <f>AVERAGE(5,42)</f>
        <v>23.5</v>
      </c>
      <c r="E6" s="2">
        <v>634.63400000000001</v>
      </c>
      <c r="F6" s="2">
        <v>3462000</v>
      </c>
      <c r="G6" s="2">
        <v>1908</v>
      </c>
      <c r="I6" s="8" t="s">
        <v>5</v>
      </c>
      <c r="J6" s="2">
        <v>1908</v>
      </c>
      <c r="K6" s="2">
        <v>2772</v>
      </c>
      <c r="L6" s="2">
        <v>2282</v>
      </c>
      <c r="N6">
        <f t="shared" ref="N6:N23" si="0">(0.004539*(C6-540)+0.000011*(F6-3130000))*28000</f>
        <v>41277.258399999992</v>
      </c>
      <c r="O6">
        <f>MAX(N6,0)</f>
        <v>41277.258399999992</v>
      </c>
    </row>
    <row r="7" spans="2:18" x14ac:dyDescent="0.2">
      <c r="B7" s="8" t="s">
        <v>6</v>
      </c>
      <c r="C7" s="1">
        <f>37+0.1+0.1+41+5+1.7+13.6</f>
        <v>98.5</v>
      </c>
      <c r="D7" s="1">
        <f>AVERAGE(5,45)</f>
        <v>25</v>
      </c>
      <c r="E7" s="2">
        <v>68</v>
      </c>
      <c r="F7" s="2">
        <v>3529000</v>
      </c>
      <c r="G7" s="2">
        <v>2058</v>
      </c>
      <c r="I7" s="8" t="s">
        <v>6</v>
      </c>
      <c r="J7" s="2">
        <v>2058</v>
      </c>
      <c r="K7" s="2">
        <v>2799</v>
      </c>
      <c r="L7" s="2">
        <v>2602</v>
      </c>
      <c r="N7">
        <f t="shared" si="0"/>
        <v>66780.882000000012</v>
      </c>
      <c r="O7">
        <f t="shared" ref="O7:O23" si="1">MAX(N7,0)</f>
        <v>66780.882000000012</v>
      </c>
    </row>
    <row r="8" spans="2:18" x14ac:dyDescent="0.2">
      <c r="B8" s="8" t="s">
        <v>7</v>
      </c>
      <c r="C8" s="1">
        <f>31.4+0.2+1.5+1.2+2.6+1.8</f>
        <v>38.699999999999996</v>
      </c>
      <c r="D8" s="1">
        <f>AVERAGE(5,44)</f>
        <v>24.5</v>
      </c>
      <c r="E8" s="2">
        <v>733.2</v>
      </c>
      <c r="F8" s="2">
        <v>3536000</v>
      </c>
      <c r="G8" s="2">
        <v>2043</v>
      </c>
      <c r="I8" s="8" t="s">
        <v>7</v>
      </c>
      <c r="J8" s="2">
        <v>2043</v>
      </c>
      <c r="K8" s="2">
        <v>2997</v>
      </c>
      <c r="L8" s="2">
        <v>2490</v>
      </c>
      <c r="N8">
        <f t="shared" si="0"/>
        <v>61336.780400000003</v>
      </c>
      <c r="O8">
        <f t="shared" si="1"/>
        <v>61336.780400000003</v>
      </c>
    </row>
    <row r="9" spans="2:18" x14ac:dyDescent="0.2">
      <c r="B9" s="8" t="s">
        <v>8</v>
      </c>
      <c r="C9" s="1">
        <f>73.9+2.1+1.6+0.4+2.9+0.2+3.2</f>
        <v>84.300000000000011</v>
      </c>
      <c r="D9" s="1">
        <f>AVERAGE(6,45)</f>
        <v>25.5</v>
      </c>
      <c r="E9" s="1">
        <v>772.87199999999996</v>
      </c>
      <c r="F9" s="3">
        <v>3064000</v>
      </c>
      <c r="G9" s="3">
        <v>2084</v>
      </c>
      <c r="I9" s="8" t="s">
        <v>8</v>
      </c>
      <c r="J9" s="3">
        <v>2084</v>
      </c>
      <c r="K9" s="3">
        <v>2854</v>
      </c>
      <c r="L9" s="3">
        <v>2680</v>
      </c>
      <c r="N9">
        <f t="shared" si="0"/>
        <v>-78243.824399999998</v>
      </c>
      <c r="O9">
        <f t="shared" si="1"/>
        <v>0</v>
      </c>
    </row>
    <row r="10" spans="2:18" x14ac:dyDescent="0.2">
      <c r="B10" s="8" t="s">
        <v>9</v>
      </c>
      <c r="C10" s="1">
        <f>51.1+1.9+0.4+2.2+5.2+7.2+26.9</f>
        <v>94.9</v>
      </c>
      <c r="D10" s="1">
        <f>AVERAGE(5,46)</f>
        <v>25.5</v>
      </c>
      <c r="E10" s="1">
        <v>798.38</v>
      </c>
      <c r="F10" s="3">
        <v>3030000</v>
      </c>
      <c r="G10" s="3">
        <v>1948</v>
      </c>
      <c r="I10" s="8" t="s">
        <v>9</v>
      </c>
      <c r="J10" s="3">
        <v>1948</v>
      </c>
      <c r="K10" s="3">
        <v>3111</v>
      </c>
      <c r="L10" s="3">
        <v>2760</v>
      </c>
      <c r="N10">
        <f t="shared" si="0"/>
        <v>-87368.649199999985</v>
      </c>
      <c r="O10">
        <f t="shared" si="1"/>
        <v>0</v>
      </c>
    </row>
    <row r="11" spans="2:18" x14ac:dyDescent="0.2">
      <c r="B11" s="8" t="s">
        <v>10</v>
      </c>
      <c r="C11" s="1">
        <f>7.2+2.9+13.5+2.8+6.9+23.1</f>
        <v>56.400000000000006</v>
      </c>
      <c r="D11" s="1">
        <f>AVERAGE(2.5,43.9)</f>
        <v>23.2</v>
      </c>
      <c r="E11" s="1">
        <v>813.07</v>
      </c>
      <c r="F11" s="3">
        <v>3052000</v>
      </c>
      <c r="G11" s="3">
        <v>2206</v>
      </c>
      <c r="I11" s="8" t="s">
        <v>10</v>
      </c>
      <c r="J11" s="3">
        <v>2206</v>
      </c>
      <c r="K11" s="3">
        <v>3283</v>
      </c>
      <c r="L11" s="3">
        <v>2765</v>
      </c>
      <c r="N11">
        <f t="shared" si="0"/>
        <v>-85485.691200000001</v>
      </c>
      <c r="O11">
        <f t="shared" si="1"/>
        <v>0</v>
      </c>
    </row>
    <row r="12" spans="2:18" x14ac:dyDescent="0.2">
      <c r="B12" s="8" t="s">
        <v>11</v>
      </c>
      <c r="C12" s="1">
        <f>40.7+5.1+5.5+23.1+0.7+32.3</f>
        <v>107.4</v>
      </c>
      <c r="D12" s="1">
        <f>AVERAGE(4,46.4)</f>
        <v>25.2</v>
      </c>
      <c r="E12" s="1">
        <v>895</v>
      </c>
      <c r="F12" s="3">
        <v>3053000</v>
      </c>
      <c r="G12" s="3">
        <v>2427</v>
      </c>
      <c r="I12" s="8" t="s">
        <v>11</v>
      </c>
      <c r="J12" s="3">
        <v>2427</v>
      </c>
      <c r="K12" s="3">
        <v>3217</v>
      </c>
      <c r="L12" s="3">
        <v>2786</v>
      </c>
      <c r="N12">
        <f t="shared" si="0"/>
        <v>-78695.999199999991</v>
      </c>
      <c r="O12">
        <f t="shared" si="1"/>
        <v>0</v>
      </c>
    </row>
    <row r="13" spans="2:18" x14ac:dyDescent="0.2">
      <c r="B13" s="8" t="s">
        <v>12</v>
      </c>
      <c r="C13" s="1">
        <f>197.1+0.4+17+33.1+8.4+0.7</f>
        <v>256.7</v>
      </c>
      <c r="D13" s="1">
        <f>AVERAGE(1.4,44.2)</f>
        <v>22.8</v>
      </c>
      <c r="E13" s="1">
        <v>325.60000000000002</v>
      </c>
      <c r="F13" s="3">
        <v>2933000</v>
      </c>
      <c r="G13" s="3">
        <v>2358</v>
      </c>
      <c r="I13" s="8" t="s">
        <v>12</v>
      </c>
      <c r="J13" s="3">
        <v>2358</v>
      </c>
      <c r="K13" s="3">
        <v>3110</v>
      </c>
      <c r="L13" s="3">
        <v>2791</v>
      </c>
      <c r="N13">
        <f t="shared" si="0"/>
        <v>-96681.163599999985</v>
      </c>
      <c r="O13">
        <f t="shared" si="1"/>
        <v>0</v>
      </c>
    </row>
    <row r="14" spans="2:18" x14ac:dyDescent="0.2">
      <c r="B14" s="8" t="s">
        <v>13</v>
      </c>
      <c r="C14" s="1">
        <f>47.8+1.2+12.7+1.6+24.2+36.9</f>
        <v>124.4</v>
      </c>
      <c r="D14" s="1">
        <f>AVERAGE(2.6,44.1)</f>
        <v>23.35</v>
      </c>
      <c r="E14" s="1">
        <v>209.85</v>
      </c>
      <c r="F14" s="3">
        <v>2987000</v>
      </c>
      <c r="G14" s="3">
        <v>1850.6</v>
      </c>
      <c r="I14" s="8" t="s">
        <v>13</v>
      </c>
      <c r="J14" s="3">
        <v>1850.6</v>
      </c>
      <c r="K14" s="3">
        <v>2027</v>
      </c>
      <c r="L14" s="3">
        <v>2807</v>
      </c>
      <c r="N14">
        <f t="shared" si="0"/>
        <v>-96863.435200000007</v>
      </c>
      <c r="O14">
        <f t="shared" si="1"/>
        <v>0</v>
      </c>
    </row>
    <row r="15" spans="2:18" x14ac:dyDescent="0.2">
      <c r="B15" s="8" t="s">
        <v>14</v>
      </c>
      <c r="C15" s="1">
        <f>10.4+9.3+0.6+5.5+3</f>
        <v>28.800000000000004</v>
      </c>
      <c r="D15" s="1">
        <f>AVERAGE(4.7,46)</f>
        <v>25.35</v>
      </c>
      <c r="E15" s="1">
        <v>235.12</v>
      </c>
      <c r="F15" s="3">
        <v>2958000</v>
      </c>
      <c r="G15" s="3">
        <v>2244</v>
      </c>
      <c r="I15" s="8" t="s">
        <v>14</v>
      </c>
      <c r="J15" s="3">
        <v>2244</v>
      </c>
      <c r="K15" s="3">
        <v>2786</v>
      </c>
      <c r="L15" s="3">
        <v>2825</v>
      </c>
      <c r="N15">
        <f t="shared" si="0"/>
        <v>-117945.43039999998</v>
      </c>
      <c r="O15">
        <f t="shared" si="1"/>
        <v>0</v>
      </c>
    </row>
    <row r="16" spans="2:18" x14ac:dyDescent="0.2">
      <c r="B16" s="8" t="s">
        <v>15</v>
      </c>
      <c r="C16" s="1">
        <f>60.8+0.5+22.8+22.3</f>
        <v>106.39999999999999</v>
      </c>
      <c r="D16" s="1">
        <f>AVERAGE(5.7,44.5)</f>
        <v>25.1</v>
      </c>
      <c r="E16" s="1">
        <v>340.6</v>
      </c>
      <c r="F16" s="3">
        <v>3101000</v>
      </c>
      <c r="G16" s="3">
        <v>2843</v>
      </c>
      <c r="I16" s="8" t="s">
        <v>15</v>
      </c>
      <c r="J16" s="3">
        <v>2843</v>
      </c>
      <c r="K16" s="3">
        <v>3538</v>
      </c>
      <c r="L16" s="3">
        <v>2825</v>
      </c>
      <c r="N16">
        <f t="shared" si="0"/>
        <v>-64039.091200000003</v>
      </c>
      <c r="O16">
        <f t="shared" si="1"/>
        <v>0</v>
      </c>
    </row>
    <row r="17" spans="2:21" x14ac:dyDescent="0.2">
      <c r="B17" s="8" t="s">
        <v>16</v>
      </c>
      <c r="C17" s="1">
        <f>49.6+0.03+0.02+0.4+2.4+13.4</f>
        <v>65.850000000000009</v>
      </c>
      <c r="D17" s="1">
        <f>AVERAGE(4.2,46.1)</f>
        <v>25.150000000000002</v>
      </c>
      <c r="E17" s="1">
        <v>204.03</v>
      </c>
      <c r="F17" s="3">
        <v>3105000</v>
      </c>
      <c r="G17" s="3">
        <v>2264</v>
      </c>
      <c r="I17" s="8" t="s">
        <v>16</v>
      </c>
      <c r="J17" s="3">
        <v>2264</v>
      </c>
      <c r="K17" s="3">
        <v>3457</v>
      </c>
      <c r="L17" s="3">
        <v>2987</v>
      </c>
      <c r="N17">
        <f t="shared" si="0"/>
        <v>-67960.671799999982</v>
      </c>
      <c r="O17">
        <f t="shared" si="1"/>
        <v>0</v>
      </c>
    </row>
    <row r="18" spans="2:21" x14ac:dyDescent="0.2">
      <c r="B18" s="8" t="s">
        <v>17</v>
      </c>
      <c r="C18" s="1">
        <f>5.1+26+3.6+32.4+22</f>
        <v>89.1</v>
      </c>
      <c r="D18" s="1">
        <f>AVERAGE(2.7,44.6)</f>
        <v>23.650000000000002</v>
      </c>
      <c r="E18" s="1">
        <v>386.24</v>
      </c>
      <c r="F18" s="3">
        <v>3115000</v>
      </c>
      <c r="G18" s="3">
        <v>2998</v>
      </c>
      <c r="I18" s="8" t="s">
        <v>17</v>
      </c>
      <c r="J18" s="3">
        <v>2998</v>
      </c>
      <c r="K18" s="3">
        <v>3432</v>
      </c>
      <c r="L18" s="3">
        <v>3012</v>
      </c>
      <c r="N18">
        <f t="shared" si="0"/>
        <v>-61925.782799999986</v>
      </c>
      <c r="O18">
        <f t="shared" si="1"/>
        <v>0</v>
      </c>
    </row>
    <row r="19" spans="2:21" x14ac:dyDescent="0.2">
      <c r="B19" s="8" t="s">
        <v>18</v>
      </c>
      <c r="C19" s="1">
        <f>25.5+16.6+10.8+25.6+45.8+55</f>
        <v>179.3</v>
      </c>
      <c r="D19" s="1">
        <f>AVERAGE(2.4,45.6)</f>
        <v>24</v>
      </c>
      <c r="E19" s="1">
        <v>331</v>
      </c>
      <c r="F19" s="3">
        <v>3059000</v>
      </c>
      <c r="G19" s="3">
        <v>2595</v>
      </c>
      <c r="I19" s="8" t="s">
        <v>18</v>
      </c>
      <c r="J19" s="3">
        <v>2595</v>
      </c>
      <c r="K19" s="3">
        <v>3432</v>
      </c>
      <c r="L19" s="3">
        <v>2708</v>
      </c>
      <c r="N19">
        <f t="shared" si="0"/>
        <v>-67710.084399999992</v>
      </c>
      <c r="O19">
        <f t="shared" si="1"/>
        <v>0</v>
      </c>
    </row>
    <row r="20" spans="2:21" x14ac:dyDescent="0.2">
      <c r="B20" s="8" t="s">
        <v>19</v>
      </c>
      <c r="C20" s="1">
        <f>29.1+0.8+0.1+0.2+0.5+1.4+5.1</f>
        <v>37.200000000000003</v>
      </c>
      <c r="D20" s="1">
        <f>AVERAGE(3.6,45.8)</f>
        <v>24.7</v>
      </c>
      <c r="E20" s="1">
        <v>363</v>
      </c>
      <c r="F20" s="3">
        <v>3044000</v>
      </c>
      <c r="G20" s="3">
        <v>2767</v>
      </c>
      <c r="I20" s="8" t="s">
        <v>19</v>
      </c>
      <c r="J20" s="3">
        <v>2767</v>
      </c>
      <c r="K20" s="3">
        <v>3604</v>
      </c>
      <c r="L20" s="3">
        <v>3077</v>
      </c>
      <c r="N20">
        <f t="shared" si="0"/>
        <v>-90389.857600000003</v>
      </c>
      <c r="O20">
        <f t="shared" si="1"/>
        <v>0</v>
      </c>
    </row>
    <row r="21" spans="2:21" x14ac:dyDescent="0.2">
      <c r="B21" s="8" t="s">
        <v>20</v>
      </c>
      <c r="C21" s="1">
        <f>189.6+12+11.2+28.8+0.1+10.8</f>
        <v>252.5</v>
      </c>
      <c r="D21" s="1">
        <f>AVERAGE(3,42)</f>
        <v>22.5</v>
      </c>
      <c r="E21" s="1">
        <v>396</v>
      </c>
      <c r="F21" s="3">
        <v>3082000</v>
      </c>
      <c r="G21" s="3">
        <v>2780</v>
      </c>
      <c r="I21" s="8" t="s">
        <v>20</v>
      </c>
      <c r="J21" s="3">
        <v>2780</v>
      </c>
      <c r="K21" s="3">
        <v>3604</v>
      </c>
      <c r="L21" s="3">
        <v>2974</v>
      </c>
      <c r="N21">
        <f t="shared" si="0"/>
        <v>-51322.95</v>
      </c>
      <c r="O21">
        <f t="shared" si="1"/>
        <v>0</v>
      </c>
    </row>
    <row r="22" spans="2:21" x14ac:dyDescent="0.2">
      <c r="B22" s="8" t="s">
        <v>21</v>
      </c>
      <c r="C22" s="1">
        <f>80.8+0.1+0.2+19.7+14.8</f>
        <v>115.6</v>
      </c>
      <c r="D22" s="1">
        <f>AVERAGE(4.6,45.6)</f>
        <v>25.1</v>
      </c>
      <c r="E22" s="1">
        <f>1159.28+353.93+167.71</f>
        <v>1680.92</v>
      </c>
      <c r="F22" s="3">
        <v>3124000</v>
      </c>
      <c r="G22" s="3">
        <v>2958</v>
      </c>
      <c r="I22" s="8" t="s">
        <v>21</v>
      </c>
      <c r="J22" s="3">
        <v>2958</v>
      </c>
      <c r="K22" s="3">
        <v>3531</v>
      </c>
      <c r="L22" s="3">
        <v>3088</v>
      </c>
      <c r="N22">
        <f t="shared" si="0"/>
        <v>-55785.844799999999</v>
      </c>
      <c r="O22">
        <f t="shared" si="1"/>
        <v>0</v>
      </c>
    </row>
    <row r="23" spans="2:21" x14ac:dyDescent="0.2">
      <c r="B23" s="8" t="s">
        <v>22</v>
      </c>
      <c r="C23" s="1">
        <f>94.6+0.1+8.1+1+13.1+31.2+0.7</f>
        <v>148.79999999999995</v>
      </c>
      <c r="D23" s="1">
        <f>AVERAGE(2.9,44.5)</f>
        <v>23.7</v>
      </c>
      <c r="E23" s="1">
        <v>299.75</v>
      </c>
      <c r="F23" s="3">
        <v>3351000</v>
      </c>
      <c r="G23" s="3">
        <v>3150</v>
      </c>
      <c r="I23" s="8" t="s">
        <v>22</v>
      </c>
      <c r="J23" s="3">
        <v>3150</v>
      </c>
      <c r="K23" s="3">
        <v>3708</v>
      </c>
      <c r="L23" s="3">
        <v>3127</v>
      </c>
      <c r="N23">
        <f t="shared" si="0"/>
        <v>18349.609599999996</v>
      </c>
      <c r="O23">
        <f t="shared" si="1"/>
        <v>18349.609599999996</v>
      </c>
    </row>
    <row r="24" spans="2:21" x14ac:dyDescent="0.2">
      <c r="B24" s="4"/>
      <c r="C24" s="5"/>
      <c r="D24" s="5"/>
      <c r="E24" s="5"/>
      <c r="F24" s="6"/>
      <c r="G24" s="6"/>
    </row>
    <row r="25" spans="2:21" x14ac:dyDescent="0.2">
      <c r="B25" s="7" t="s">
        <v>0</v>
      </c>
      <c r="C25" s="7" t="s">
        <v>1</v>
      </c>
      <c r="D25" s="7" t="s">
        <v>2</v>
      </c>
      <c r="E25" s="7" t="s">
        <v>25</v>
      </c>
      <c r="F25" s="7" t="s">
        <v>26</v>
      </c>
      <c r="G25" s="7" t="s">
        <v>3</v>
      </c>
    </row>
    <row r="26" spans="2:21" x14ac:dyDescent="0.2">
      <c r="B26" s="8" t="s">
        <v>4</v>
      </c>
      <c r="C26" s="1">
        <v>75</v>
      </c>
      <c r="D26" s="1">
        <v>24.833333333333332</v>
      </c>
      <c r="E26" s="2">
        <v>2146</v>
      </c>
      <c r="F26" s="2">
        <v>13118799</v>
      </c>
      <c r="G26" s="2">
        <v>2586</v>
      </c>
      <c r="Q26">
        <f>(0.0033*(D26-24)*0.0079761+0.003612*(C26-300)*0.9967)</f>
        <v>-0.80999615572500017</v>
      </c>
      <c r="R26">
        <f>MAX(Q26,0)</f>
        <v>0</v>
      </c>
      <c r="S26">
        <f>SUM(R34,R42,R43)</f>
        <v>1.0295946051812146</v>
      </c>
      <c r="T26">
        <f>S26/19</f>
        <v>5.4189189746379714E-2</v>
      </c>
      <c r="U26">
        <f>AVERAGE(R26:R44)</f>
        <v>5.4189189746379714E-2</v>
      </c>
    </row>
    <row r="27" spans="2:21" x14ac:dyDescent="0.2">
      <c r="B27" s="8" t="s">
        <v>5</v>
      </c>
      <c r="C27" s="1">
        <v>225</v>
      </c>
      <c r="D27" s="1">
        <v>23.75</v>
      </c>
      <c r="E27" s="2">
        <v>2235.37</v>
      </c>
      <c r="F27" s="2">
        <v>13074753</v>
      </c>
      <c r="G27" s="2">
        <v>2772</v>
      </c>
      <c r="Q27">
        <f t="shared" ref="Q27:Q44" si="2">(0.0033*(D27-24)*0.0079761+0.003612*(C27-300)*0.9967)</f>
        <v>-0.27001261028250007</v>
      </c>
      <c r="R27">
        <f t="shared" ref="R27:R44" si="3">MAX(Q27,0)</f>
        <v>0</v>
      </c>
    </row>
    <row r="28" spans="2:21" x14ac:dyDescent="0.2">
      <c r="B28" s="8" t="s">
        <v>6</v>
      </c>
      <c r="C28" s="1">
        <v>119</v>
      </c>
      <c r="D28" s="1">
        <v>24</v>
      </c>
      <c r="E28" s="2">
        <v>2258.16</v>
      </c>
      <c r="F28" s="2">
        <v>13313151</v>
      </c>
      <c r="G28" s="2">
        <v>2799</v>
      </c>
      <c r="Q28">
        <f t="shared" si="2"/>
        <v>-0.65161455239999999</v>
      </c>
      <c r="R28">
        <f t="shared" si="3"/>
        <v>0</v>
      </c>
    </row>
    <row r="29" spans="2:21" x14ac:dyDescent="0.2">
      <c r="B29" s="8" t="s">
        <v>7</v>
      </c>
      <c r="C29" s="1">
        <v>72</v>
      </c>
      <c r="D29" s="1">
        <v>23.7</v>
      </c>
      <c r="E29" s="2">
        <v>2312.0700000000002</v>
      </c>
      <c r="F29" s="2">
        <v>13084528</v>
      </c>
      <c r="G29" s="2">
        <v>2997</v>
      </c>
      <c r="Q29">
        <f t="shared" si="2"/>
        <v>-0.82082622753900003</v>
      </c>
      <c r="R29">
        <f t="shared" si="3"/>
        <v>0</v>
      </c>
    </row>
    <row r="30" spans="2:21" x14ac:dyDescent="0.2">
      <c r="B30" s="8" t="s">
        <v>8</v>
      </c>
      <c r="C30" s="1">
        <v>256.3</v>
      </c>
      <c r="D30" s="1">
        <v>24.8</v>
      </c>
      <c r="E30" s="1">
        <v>2553.5300000000002</v>
      </c>
      <c r="F30" s="3">
        <v>13435129</v>
      </c>
      <c r="G30" s="3">
        <v>2854</v>
      </c>
      <c r="Q30">
        <f t="shared" si="2"/>
        <v>-0.15730245657599998</v>
      </c>
      <c r="R30">
        <f t="shared" si="3"/>
        <v>0</v>
      </c>
    </row>
    <row r="31" spans="2:21" x14ac:dyDescent="0.2">
      <c r="B31" s="8" t="s">
        <v>9</v>
      </c>
      <c r="C31" s="1">
        <v>96.9</v>
      </c>
      <c r="D31" s="1">
        <v>24.928571428571431</v>
      </c>
      <c r="E31" s="1">
        <v>2366.85</v>
      </c>
      <c r="F31" s="3">
        <v>13383402</v>
      </c>
      <c r="G31" s="3">
        <v>3111</v>
      </c>
      <c r="Q31">
        <f t="shared" si="2"/>
        <v>-0.73115188819071442</v>
      </c>
      <c r="R31">
        <f t="shared" si="3"/>
        <v>0</v>
      </c>
    </row>
    <row r="32" spans="2:21" x14ac:dyDescent="0.2">
      <c r="B32" s="8" t="s">
        <v>10</v>
      </c>
      <c r="C32" s="1">
        <v>143.4</v>
      </c>
      <c r="D32" s="1">
        <v>22.892857142857146</v>
      </c>
      <c r="E32" s="1">
        <v>2487.54</v>
      </c>
      <c r="F32" s="3">
        <v>13440354</v>
      </c>
      <c r="G32" s="3">
        <v>3283</v>
      </c>
      <c r="Q32">
        <f t="shared" si="2"/>
        <v>-0.56380173189107152</v>
      </c>
      <c r="R32">
        <f t="shared" si="3"/>
        <v>0</v>
      </c>
    </row>
    <row r="33" spans="2:21" x14ac:dyDescent="0.2">
      <c r="B33" s="8" t="s">
        <v>11</v>
      </c>
      <c r="C33" s="1">
        <v>187.2</v>
      </c>
      <c r="D33" s="1">
        <v>24.928571428571431</v>
      </c>
      <c r="E33" s="1">
        <v>2641.65</v>
      </c>
      <c r="F33" s="3">
        <v>13808746</v>
      </c>
      <c r="G33" s="3">
        <v>3217</v>
      </c>
      <c r="Q33">
        <f t="shared" si="2"/>
        <v>-0.40606462807071436</v>
      </c>
      <c r="R33">
        <f t="shared" si="3"/>
        <v>0</v>
      </c>
    </row>
    <row r="34" spans="2:21" x14ac:dyDescent="0.2">
      <c r="B34" s="8" t="s">
        <v>12</v>
      </c>
      <c r="C34" s="1">
        <v>338.90000000000003</v>
      </c>
      <c r="D34" s="1">
        <v>22.635714285714286</v>
      </c>
      <c r="E34" s="1">
        <v>1392.43</v>
      </c>
      <c r="F34" s="3">
        <v>13928516</v>
      </c>
      <c r="G34" s="3">
        <v>3110</v>
      </c>
      <c r="Q34">
        <f t="shared" si="2"/>
        <v>0.14000721801835725</v>
      </c>
      <c r="R34">
        <f t="shared" si="3"/>
        <v>0.14000721801835725</v>
      </c>
    </row>
    <row r="35" spans="2:21" x14ac:dyDescent="0.2">
      <c r="B35" s="8" t="s">
        <v>13</v>
      </c>
      <c r="C35" s="1">
        <v>250.60000000000002</v>
      </c>
      <c r="D35" s="1">
        <v>24.957142857142856</v>
      </c>
      <c r="E35" s="1">
        <v>2320.06</v>
      </c>
      <c r="F35" s="3">
        <v>14026987</v>
      </c>
      <c r="G35" s="3">
        <v>2027</v>
      </c>
      <c r="Q35">
        <f t="shared" si="2"/>
        <v>-0.17781877867842849</v>
      </c>
      <c r="R35">
        <f t="shared" si="3"/>
        <v>0</v>
      </c>
    </row>
    <row r="36" spans="2:21" x14ac:dyDescent="0.2">
      <c r="B36" s="8" t="s">
        <v>14</v>
      </c>
      <c r="C36" s="1">
        <v>215.59999999999997</v>
      </c>
      <c r="D36" s="1">
        <v>24.583333333333336</v>
      </c>
      <c r="E36" s="1">
        <v>2328.21</v>
      </c>
      <c r="F36" s="3">
        <v>14389438</v>
      </c>
      <c r="G36" s="3">
        <v>2786</v>
      </c>
      <c r="Q36">
        <f t="shared" si="2"/>
        <v>-0.30383143176750016</v>
      </c>
      <c r="R36">
        <f t="shared" si="3"/>
        <v>0</v>
      </c>
    </row>
    <row r="37" spans="2:21" x14ac:dyDescent="0.2">
      <c r="B37" s="8" t="s">
        <v>15</v>
      </c>
      <c r="C37" s="1">
        <v>154.4</v>
      </c>
      <c r="D37" s="1">
        <v>23.716666666666669</v>
      </c>
      <c r="E37" s="1">
        <v>2336.9299999999998</v>
      </c>
      <c r="F37" s="3">
        <v>14337000</v>
      </c>
      <c r="G37" s="3">
        <v>3538</v>
      </c>
      <c r="Q37">
        <f t="shared" si="2"/>
        <v>-0.52417916389350006</v>
      </c>
      <c r="R37">
        <f t="shared" si="3"/>
        <v>0</v>
      </c>
    </row>
    <row r="38" spans="2:21" x14ac:dyDescent="0.2">
      <c r="B38" s="8" t="s">
        <v>16</v>
      </c>
      <c r="C38" s="1">
        <v>72</v>
      </c>
      <c r="D38" s="1">
        <v>23.875</v>
      </c>
      <c r="E38" s="1">
        <v>2410.92</v>
      </c>
      <c r="F38" s="3">
        <v>14332000</v>
      </c>
      <c r="G38" s="3">
        <v>3457</v>
      </c>
      <c r="Q38">
        <f t="shared" si="2"/>
        <v>-0.82082162134125003</v>
      </c>
      <c r="R38">
        <f t="shared" si="3"/>
        <v>0</v>
      </c>
    </row>
    <row r="39" spans="2:21" x14ac:dyDescent="0.2">
      <c r="B39" s="8" t="s">
        <v>17</v>
      </c>
      <c r="C39" s="1">
        <v>143.69999999999999</v>
      </c>
      <c r="D39" s="1">
        <v>24.021428571428569</v>
      </c>
      <c r="E39" s="1">
        <v>2447.9299999999998</v>
      </c>
      <c r="F39" s="3">
        <v>14392000</v>
      </c>
      <c r="G39" s="3">
        <v>3432</v>
      </c>
      <c r="Q39">
        <f t="shared" si="2"/>
        <v>-0.56269200249578577</v>
      </c>
      <c r="R39">
        <f t="shared" si="3"/>
        <v>0</v>
      </c>
    </row>
    <row r="40" spans="2:21" x14ac:dyDescent="0.2">
      <c r="B40" s="8" t="s">
        <v>18</v>
      </c>
      <c r="C40" s="1">
        <v>208.6</v>
      </c>
      <c r="D40" s="1">
        <v>23.885714285714283</v>
      </c>
      <c r="E40" s="1">
        <v>2760.72</v>
      </c>
      <c r="F40" s="3">
        <v>14334000</v>
      </c>
      <c r="G40" s="3">
        <v>3432</v>
      </c>
      <c r="Q40">
        <f t="shared" si="2"/>
        <v>-0.3290503566891429</v>
      </c>
      <c r="R40">
        <f t="shared" si="3"/>
        <v>0</v>
      </c>
    </row>
    <row r="41" spans="2:21" x14ac:dyDescent="0.2">
      <c r="B41" s="8" t="s">
        <v>19</v>
      </c>
      <c r="C41" s="1">
        <v>218.39999999999998</v>
      </c>
      <c r="D41" s="1">
        <v>24.5</v>
      </c>
      <c r="E41" s="1">
        <v>3004.4</v>
      </c>
      <c r="F41" s="3">
        <v>14334000</v>
      </c>
      <c r="G41" s="3">
        <v>3604</v>
      </c>
      <c r="Q41">
        <f t="shared" si="2"/>
        <v>-0.29375340007500012</v>
      </c>
      <c r="R41">
        <f t="shared" si="3"/>
        <v>0</v>
      </c>
    </row>
    <row r="42" spans="2:21" x14ac:dyDescent="0.2">
      <c r="B42" s="8" t="s">
        <v>20</v>
      </c>
      <c r="C42" s="1">
        <v>489.40000000000003</v>
      </c>
      <c r="D42" s="1">
        <v>23.271428571428601</v>
      </c>
      <c r="E42" s="1">
        <v>2683.64</v>
      </c>
      <c r="F42" s="3">
        <v>13941000</v>
      </c>
      <c r="G42" s="3">
        <v>3604</v>
      </c>
      <c r="Q42">
        <f t="shared" si="2"/>
        <v>0.68183605093671451</v>
      </c>
      <c r="R42">
        <f t="shared" si="3"/>
        <v>0.68183605093671451</v>
      </c>
    </row>
    <row r="43" spans="2:21" x14ac:dyDescent="0.2">
      <c r="B43" s="8" t="s">
        <v>21</v>
      </c>
      <c r="C43" s="1">
        <v>357.7</v>
      </c>
      <c r="D43" s="1">
        <v>25.014285714285716</v>
      </c>
      <c r="E43" s="1">
        <v>2938.7</v>
      </c>
      <c r="F43" s="3">
        <v>14044000</v>
      </c>
      <c r="G43" s="3">
        <v>3531</v>
      </c>
      <c r="I43" t="s">
        <v>30</v>
      </c>
      <c r="J43" t="s">
        <v>33</v>
      </c>
      <c r="K43">
        <f>AVERAGE(C47:C65)</f>
        <v>368.22105263157891</v>
      </c>
      <c r="L43" t="s">
        <v>38</v>
      </c>
      <c r="M43">
        <f>AVERAGE(F47:F65)</f>
        <v>3102684.210526316</v>
      </c>
      <c r="Q43">
        <f t="shared" si="2"/>
        <v>0.20775133622614284</v>
      </c>
      <c r="R43">
        <f t="shared" si="3"/>
        <v>0.20775133622614284</v>
      </c>
    </row>
    <row r="44" spans="2:21" x14ac:dyDescent="0.2">
      <c r="B44" s="8" t="s">
        <v>22</v>
      </c>
      <c r="C44" s="1">
        <v>256.39999999999998</v>
      </c>
      <c r="D44" s="1">
        <v>23.914285714285711</v>
      </c>
      <c r="E44" s="1">
        <v>2859.95</v>
      </c>
      <c r="F44" s="3">
        <v>13703000</v>
      </c>
      <c r="G44" s="3">
        <v>3708</v>
      </c>
      <c r="J44" t="s">
        <v>31</v>
      </c>
      <c r="K44">
        <f>AVERAGE(G47:G65)</f>
        <v>2773.4210526315787</v>
      </c>
      <c r="Q44">
        <f t="shared" si="2"/>
        <v>-0.15696576153685723</v>
      </c>
      <c r="R44">
        <f t="shared" si="3"/>
        <v>0</v>
      </c>
    </row>
    <row r="45" spans="2:21" x14ac:dyDescent="0.2">
      <c r="J45" t="s">
        <v>37</v>
      </c>
      <c r="K45">
        <f>AVERAGE(E47:E65)</f>
        <v>907.76963157894738</v>
      </c>
    </row>
    <row r="46" spans="2:21" x14ac:dyDescent="0.2">
      <c r="B46" s="9" t="s">
        <v>0</v>
      </c>
      <c r="C46" s="10" t="s">
        <v>1</v>
      </c>
      <c r="D46" s="10" t="s">
        <v>2</v>
      </c>
      <c r="E46" s="10" t="s">
        <v>24</v>
      </c>
      <c r="F46" s="11" t="s">
        <v>23</v>
      </c>
      <c r="G46" s="11" t="s">
        <v>3</v>
      </c>
      <c r="I46" t="s">
        <v>32</v>
      </c>
      <c r="J46" t="s">
        <v>33</v>
      </c>
      <c r="K46">
        <f>AVERAGE(C26:C44)</f>
        <v>204.23684210526315</v>
      </c>
      <c r="L46" t="s">
        <v>35</v>
      </c>
      <c r="M46">
        <f>AVERAGE(D26:D44)</f>
        <v>24.116228070175442</v>
      </c>
    </row>
    <row r="47" spans="2:21" x14ac:dyDescent="0.2">
      <c r="B47" s="8" t="s">
        <v>4</v>
      </c>
      <c r="C47" s="1">
        <f>350+0+189</f>
        <v>539</v>
      </c>
      <c r="D47" s="1">
        <f>(41+12)/2</f>
        <v>26.5</v>
      </c>
      <c r="E47" s="1">
        <v>776.81100000000004</v>
      </c>
      <c r="F47" s="3">
        <v>3135000</v>
      </c>
      <c r="G47" s="3">
        <v>2109</v>
      </c>
      <c r="J47" t="s">
        <v>31</v>
      </c>
      <c r="K47">
        <f>AVERAGE(G26:G44)</f>
        <v>3149.8947368421054</v>
      </c>
      <c r="Q47">
        <f>(0.327*(3200000 - F47 )*0.000004+0.000832*(800 - E47)*0.673)</f>
        <v>9.8004355903999973E-2</v>
      </c>
      <c r="R47">
        <f>MAX(Q47,0)</f>
        <v>9.8004355903999973E-2</v>
      </c>
      <c r="S47">
        <f>SUM(R52,R54,R56,R65)</f>
        <v>1.3848564361600002</v>
      </c>
      <c r="T47">
        <f>S47/19</f>
        <v>7.2887180850526326E-2</v>
      </c>
      <c r="U47">
        <f>AVERAGE(R47:R65)</f>
        <v>0.12124040712421054</v>
      </c>
    </row>
    <row r="48" spans="2:21" x14ac:dyDescent="0.2">
      <c r="B48" s="8" t="s">
        <v>5</v>
      </c>
      <c r="C48" s="1">
        <f>57+60+161</f>
        <v>278</v>
      </c>
      <c r="D48" s="1">
        <f>AVERAGE(11,39)</f>
        <v>25</v>
      </c>
      <c r="E48" s="1">
        <v>856.00599999999997</v>
      </c>
      <c r="F48" s="3">
        <v>3136000</v>
      </c>
      <c r="G48" s="3">
        <v>2282</v>
      </c>
      <c r="Q48">
        <f t="shared" ref="Q48:Q65" si="4">(0.327*(3200000 - F48 )*0.000004+0.000832*(800 - E48)*0.673)</f>
        <v>5.2352224384000008E-2</v>
      </c>
      <c r="R48">
        <f t="shared" ref="R48:R65" si="5">MAX(Q48,0)</f>
        <v>5.2352224384000008E-2</v>
      </c>
    </row>
    <row r="49" spans="2:18" x14ac:dyDescent="0.2">
      <c r="B49" s="8" t="s">
        <v>6</v>
      </c>
      <c r="C49" s="1">
        <f>97+65+153</f>
        <v>315</v>
      </c>
      <c r="D49" s="1">
        <f>AVERAGE(11,38)</f>
        <v>24.5</v>
      </c>
      <c r="E49" s="1">
        <v>1374.7380000000001</v>
      </c>
      <c r="F49" s="3">
        <v>3136000</v>
      </c>
      <c r="G49" s="3">
        <v>2602</v>
      </c>
      <c r="I49" t="s">
        <v>34</v>
      </c>
      <c r="J49" t="s">
        <v>36</v>
      </c>
      <c r="K49">
        <f>AVERAGE(F5:F23)</f>
        <v>3144526.3157894737</v>
      </c>
      <c r="Q49">
        <f t="shared" si="4"/>
        <v>-0.23810449676800005</v>
      </c>
      <c r="R49">
        <f t="shared" si="5"/>
        <v>0</v>
      </c>
    </row>
    <row r="50" spans="2:18" x14ac:dyDescent="0.2">
      <c r="B50" s="8" t="s">
        <v>7</v>
      </c>
      <c r="C50" s="1">
        <f>70+3+251.9</f>
        <v>324.89999999999998</v>
      </c>
      <c r="D50" s="1">
        <f>AVERAGE(11,40)</f>
        <v>25.5</v>
      </c>
      <c r="E50" s="1">
        <v>883.27700000000004</v>
      </c>
      <c r="F50" s="3">
        <v>3135000</v>
      </c>
      <c r="G50" s="3">
        <v>2490</v>
      </c>
      <c r="J50" t="s">
        <v>31</v>
      </c>
      <c r="K50">
        <f>AVERAGE(G5:G23)</f>
        <v>2361.0842105263159</v>
      </c>
      <c r="Q50">
        <f t="shared" si="4"/>
        <v>3.8390209727999974E-2</v>
      </c>
      <c r="R50">
        <f t="shared" si="5"/>
        <v>3.8390209727999974E-2</v>
      </c>
    </row>
    <row r="51" spans="2:18" x14ac:dyDescent="0.2">
      <c r="B51" s="8" t="s">
        <v>8</v>
      </c>
      <c r="C51" s="1">
        <f>95.7+14.4+144</f>
        <v>254.10000000000002</v>
      </c>
      <c r="D51" s="1">
        <f>AVERAGE(11,42)</f>
        <v>26.5</v>
      </c>
      <c r="E51" s="1">
        <v>992.81600000000003</v>
      </c>
      <c r="F51" s="3">
        <v>3112000</v>
      </c>
      <c r="G51" s="3">
        <v>2680</v>
      </c>
      <c r="J51" t="s">
        <v>33</v>
      </c>
      <c r="K51">
        <f>AVERAGE(C5:C23)</f>
        <v>105.3236842105263</v>
      </c>
      <c r="Q51">
        <f t="shared" si="4"/>
        <v>7.1393802239999721E-3</v>
      </c>
      <c r="R51">
        <f t="shared" si="5"/>
        <v>7.1393802239999721E-3</v>
      </c>
    </row>
    <row r="52" spans="2:18" x14ac:dyDescent="0.2">
      <c r="B52" s="8" t="s">
        <v>9</v>
      </c>
      <c r="C52" s="1">
        <f>136.8+2.1+3.6+40.9+89.9</f>
        <v>273.3</v>
      </c>
      <c r="D52" s="1">
        <f>AVERAGE(11,40)</f>
        <v>25.5</v>
      </c>
      <c r="E52" s="1">
        <v>911.02499999999998</v>
      </c>
      <c r="F52" s="3">
        <v>2955000</v>
      </c>
      <c r="G52" s="3">
        <v>2760</v>
      </c>
      <c r="Q52">
        <f t="shared" si="4"/>
        <v>0.25829310559999996</v>
      </c>
      <c r="R52">
        <f t="shared" si="5"/>
        <v>0.25829310559999996</v>
      </c>
    </row>
    <row r="53" spans="2:18" x14ac:dyDescent="0.2">
      <c r="B53" s="8" t="s">
        <v>10</v>
      </c>
      <c r="C53" s="1">
        <f>54.1+113.7+28.6+1.3</f>
        <v>197.70000000000002</v>
      </c>
      <c r="D53" s="1">
        <f>AVERAGE(9.6,38.6)</f>
        <v>24.1</v>
      </c>
      <c r="E53" s="1">
        <v>1060.93</v>
      </c>
      <c r="F53" s="3">
        <v>3078000</v>
      </c>
      <c r="G53" s="3">
        <v>2765</v>
      </c>
      <c r="Q53">
        <f t="shared" si="4"/>
        <v>1.3471899519999941E-2</v>
      </c>
      <c r="R53">
        <f t="shared" si="5"/>
        <v>1.3471899519999941E-2</v>
      </c>
    </row>
    <row r="54" spans="2:18" x14ac:dyDescent="0.2">
      <c r="B54" s="8" t="s">
        <v>11</v>
      </c>
      <c r="C54" s="1">
        <f>134+12.6+273.4</f>
        <v>420</v>
      </c>
      <c r="D54" s="1">
        <f>AVERAGE(9,39.6)</f>
        <v>24.3</v>
      </c>
      <c r="E54" s="1">
        <v>16.46</v>
      </c>
      <c r="F54" s="3">
        <v>3082000</v>
      </c>
      <c r="G54" s="3">
        <v>2786</v>
      </c>
      <c r="Q54">
        <f t="shared" si="4"/>
        <v>0.59307625344000003</v>
      </c>
      <c r="R54">
        <f t="shared" si="5"/>
        <v>0.59307625344000003</v>
      </c>
    </row>
    <row r="55" spans="2:18" x14ac:dyDescent="0.2">
      <c r="B55" s="8" t="s">
        <v>12</v>
      </c>
      <c r="C55" s="1">
        <f>358.4+42.9+136.4</f>
        <v>537.69999999999993</v>
      </c>
      <c r="D55" s="1">
        <f>AVERAGE(9,39.6)</f>
        <v>24.3</v>
      </c>
      <c r="E55" s="1">
        <v>824</v>
      </c>
      <c r="F55" s="3">
        <v>3099000</v>
      </c>
      <c r="G55" s="3">
        <v>2791</v>
      </c>
      <c r="Q55">
        <f t="shared" si="4"/>
        <v>0.11866953600000001</v>
      </c>
      <c r="R55">
        <f t="shared" si="5"/>
        <v>0.11866953600000001</v>
      </c>
    </row>
    <row r="56" spans="2:18" x14ac:dyDescent="0.2">
      <c r="B56" s="8" t="s">
        <v>13</v>
      </c>
      <c r="C56" s="1">
        <f>56.8+17.7+165.5</f>
        <v>240</v>
      </c>
      <c r="D56" s="1">
        <f>AVERAGE(11.3,41.5)</f>
        <v>26.4</v>
      </c>
      <c r="E56" s="1">
        <v>692.96</v>
      </c>
      <c r="F56" s="3">
        <v>3102000</v>
      </c>
      <c r="G56" s="3">
        <v>2807</v>
      </c>
      <c r="Q56">
        <f t="shared" si="4"/>
        <v>0.18811954943999998</v>
      </c>
      <c r="R56">
        <f t="shared" si="5"/>
        <v>0.18811954943999998</v>
      </c>
    </row>
    <row r="57" spans="2:18" x14ac:dyDescent="0.2">
      <c r="B57" s="8" t="s">
        <v>14</v>
      </c>
      <c r="C57" s="1">
        <f>38.8+47.3+133.2</f>
        <v>219.29999999999998</v>
      </c>
      <c r="D57" s="1">
        <f>AVERAGE(11.4,38.5)</f>
        <v>24.95</v>
      </c>
      <c r="E57" s="1">
        <v>756.85</v>
      </c>
      <c r="F57" s="3">
        <v>3105000</v>
      </c>
      <c r="G57" s="3">
        <v>2825</v>
      </c>
      <c r="Q57">
        <f t="shared" si="4"/>
        <v>0.14842123839999999</v>
      </c>
      <c r="R57">
        <f t="shared" si="5"/>
        <v>0.14842123839999999</v>
      </c>
    </row>
    <row r="58" spans="2:18" x14ac:dyDescent="0.2">
      <c r="B58" s="8" t="s">
        <v>15</v>
      </c>
      <c r="C58" s="1">
        <f>88.6+2+164.2</f>
        <v>254.79999999999998</v>
      </c>
      <c r="D58" s="1">
        <f>AVERAGE(11.3,41.3)</f>
        <v>26.299999999999997</v>
      </c>
      <c r="E58" s="1">
        <v>838.56</v>
      </c>
      <c r="F58" s="3">
        <v>3106000</v>
      </c>
      <c r="G58" s="3">
        <v>2825</v>
      </c>
      <c r="Q58">
        <f t="shared" si="4"/>
        <v>0.10136086784000002</v>
      </c>
      <c r="R58">
        <f t="shared" si="5"/>
        <v>0.10136086784000002</v>
      </c>
    </row>
    <row r="59" spans="2:18" x14ac:dyDescent="0.2">
      <c r="B59" s="8" t="s">
        <v>16</v>
      </c>
      <c r="C59" s="1">
        <f>261+1.1+165.1</f>
        <v>427.20000000000005</v>
      </c>
      <c r="D59" s="1">
        <f>AVERAGE(11.2,38.7)</f>
        <v>24.950000000000003</v>
      </c>
      <c r="E59" s="1">
        <v>779.51</v>
      </c>
      <c r="F59" s="3">
        <v>3107000</v>
      </c>
      <c r="G59" s="3">
        <v>2987</v>
      </c>
      <c r="Q59">
        <f t="shared" si="4"/>
        <v>0.13311708863999999</v>
      </c>
      <c r="R59">
        <f t="shared" si="5"/>
        <v>0.13311708863999999</v>
      </c>
    </row>
    <row r="60" spans="2:18" x14ac:dyDescent="0.2">
      <c r="B60" s="8" t="s">
        <v>17</v>
      </c>
      <c r="C60" s="1">
        <f>96.6+90.1+226.8</f>
        <v>413.5</v>
      </c>
      <c r="D60" s="1">
        <f>AVERAGE(10.5,40.6)</f>
        <v>25.55</v>
      </c>
      <c r="E60" s="1">
        <v>746.79</v>
      </c>
      <c r="F60" s="3">
        <v>3107000</v>
      </c>
      <c r="G60" s="3">
        <v>3012</v>
      </c>
      <c r="Q60">
        <f t="shared" si="4"/>
        <v>0.15143819456000002</v>
      </c>
      <c r="R60">
        <f t="shared" si="5"/>
        <v>0.15143819456000002</v>
      </c>
    </row>
    <row r="61" spans="2:18" x14ac:dyDescent="0.2">
      <c r="B61" s="8" t="s">
        <v>18</v>
      </c>
      <c r="C61" s="1">
        <f>244.1+38+358</f>
        <v>640.1</v>
      </c>
      <c r="D61" s="1">
        <f>AVERAGE(11.1,39.6)</f>
        <v>25.35</v>
      </c>
      <c r="E61" s="1">
        <v>1599.16</v>
      </c>
      <c r="F61" s="3">
        <v>3108000</v>
      </c>
      <c r="G61" s="3">
        <v>2708</v>
      </c>
      <c r="Q61">
        <f t="shared" si="4"/>
        <v>-0.32714245376000006</v>
      </c>
      <c r="R61">
        <f t="shared" si="5"/>
        <v>0</v>
      </c>
    </row>
    <row r="62" spans="2:18" x14ac:dyDescent="0.2">
      <c r="B62" s="8" t="s">
        <v>19</v>
      </c>
      <c r="C62" s="1">
        <f>80.6+1.1+285.6</f>
        <v>367.3</v>
      </c>
      <c r="D62" s="1">
        <f>AVERAGE(11.2,38.7)</f>
        <v>24.950000000000003</v>
      </c>
      <c r="E62" s="1">
        <v>1737.61</v>
      </c>
      <c r="F62" s="3">
        <v>3128000</v>
      </c>
      <c r="G62" s="3">
        <v>3077</v>
      </c>
      <c r="Q62">
        <f t="shared" si="4"/>
        <v>-0.43082559295999995</v>
      </c>
      <c r="R62">
        <f t="shared" si="5"/>
        <v>0</v>
      </c>
    </row>
    <row r="63" spans="2:18" x14ac:dyDescent="0.2">
      <c r="B63" s="8" t="s">
        <v>20</v>
      </c>
      <c r="C63" s="1">
        <f>277.3+71+148.7</f>
        <v>497</v>
      </c>
      <c r="D63" s="1">
        <f>AVERAGE(11.2,39.7)</f>
        <v>25.450000000000003</v>
      </c>
      <c r="E63" s="1">
        <v>1034</v>
      </c>
      <c r="F63" s="3">
        <v>3127000</v>
      </c>
      <c r="G63" s="3">
        <v>2974</v>
      </c>
      <c r="Q63">
        <f t="shared" si="4"/>
        <v>-3.5541024000000018E-2</v>
      </c>
      <c r="R63">
        <f t="shared" si="5"/>
        <v>0</v>
      </c>
    </row>
    <row r="64" spans="2:18" x14ac:dyDescent="0.2">
      <c r="B64" s="8" t="s">
        <v>21</v>
      </c>
      <c r="C64" s="1">
        <f>109.5+0.5+190.9</f>
        <v>300.89999999999998</v>
      </c>
      <c r="D64" s="1">
        <f>AVERAGE(11.7,39.6)</f>
        <v>25.65</v>
      </c>
      <c r="E64" s="1">
        <v>961</v>
      </c>
      <c r="F64" s="3">
        <v>3088000</v>
      </c>
      <c r="G64" s="3">
        <v>3088</v>
      </c>
      <c r="Q64">
        <f t="shared" si="4"/>
        <v>5.6346303999999986E-2</v>
      </c>
      <c r="R64">
        <f t="shared" si="5"/>
        <v>5.6346303999999986E-2</v>
      </c>
    </row>
    <row r="65" spans="2:18" x14ac:dyDescent="0.2">
      <c r="B65" s="9" t="s">
        <v>22</v>
      </c>
      <c r="C65" s="10">
        <f>225.2+28.8+242.4</f>
        <v>496.4</v>
      </c>
      <c r="D65" s="10">
        <f>AVERAGE(10.9,41)</f>
        <v>25.95</v>
      </c>
      <c r="E65" s="10">
        <v>405.12</v>
      </c>
      <c r="F65" s="11">
        <v>3105000</v>
      </c>
      <c r="G65" s="11">
        <v>3127</v>
      </c>
      <c r="Q65">
        <f t="shared" si="4"/>
        <v>0.34536752768000001</v>
      </c>
      <c r="R65">
        <f t="shared" si="5"/>
        <v>0.34536752768000001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Aryaman Sen</dc:creator>
  <cp:lastModifiedBy>Aryaman Sen</cp:lastModifiedBy>
  <dcterms:created xsi:type="dcterms:W3CDTF">2025-04-19T10:44:00Z</dcterms:created>
  <dcterms:modified xsi:type="dcterms:W3CDTF">2025-09-19T15:56:10Z</dcterms:modified>
</cp:coreProperties>
</file>