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13_ncr:1_{D2ABF249-343F-42C2-AEF8-7EEB0273C05D}" xr6:coauthVersionLast="47" xr6:coauthVersionMax="47" xr10:uidLastSave="{00000000-0000-0000-0000-000000000000}"/>
  <bookViews>
    <workbookView xWindow="5630" yWindow="-60" windowWidth="20080" windowHeight="13480" firstSheet="2" activeTab="5" xr2:uid="{25BF0AFC-22EA-44FD-8A69-84A7EE8850BA}"/>
  </bookViews>
  <sheets>
    <sheet name="Summary" sheetId="6" r:id="rId1"/>
    <sheet name="Broker Price" sheetId="1" r:id="rId2"/>
    <sheet name="Comparables" sheetId="2" r:id="rId3"/>
    <sheet name="WACC Calculation" sheetId="3" r:id="rId4"/>
    <sheet name="Financial Statements" sheetId="4" r:id="rId5"/>
    <sheet name="DC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2" i="6"/>
  <c r="C7" i="6"/>
  <c r="B7" i="6"/>
  <c r="C6" i="6"/>
  <c r="B6" i="6"/>
  <c r="C5" i="6"/>
  <c r="B5" i="6"/>
  <c r="C4" i="6"/>
  <c r="B4" i="6"/>
  <c r="H11" i="5"/>
  <c r="I11" i="5"/>
  <c r="J11" i="5"/>
  <c r="K11" i="5"/>
  <c r="G11" i="5"/>
  <c r="B15" i="5"/>
  <c r="B34" i="5"/>
  <c r="B32" i="5"/>
  <c r="B31" i="5"/>
  <c r="L74" i="4"/>
  <c r="M74" i="4"/>
  <c r="N74" i="4"/>
  <c r="O74" i="4"/>
  <c r="K74" i="4"/>
  <c r="F73" i="4"/>
  <c r="G73" i="4"/>
  <c r="H73" i="4"/>
  <c r="I73" i="4"/>
  <c r="J73" i="4"/>
  <c r="L73" i="4"/>
  <c r="M73" i="4"/>
  <c r="N73" i="4"/>
  <c r="O73" i="4"/>
  <c r="K73" i="4"/>
  <c r="L66" i="4"/>
  <c r="M66" i="4"/>
  <c r="N66" i="4"/>
  <c r="O66" i="4"/>
  <c r="K66" i="4"/>
  <c r="K72" i="4"/>
  <c r="G72" i="4"/>
  <c r="H72" i="4"/>
  <c r="I72" i="4"/>
  <c r="J72" i="4"/>
  <c r="F72" i="4"/>
  <c r="L54" i="4"/>
  <c r="M54" i="4" s="1"/>
  <c r="N54" i="4" s="1"/>
  <c r="O54" i="4" s="1"/>
  <c r="K54" i="4"/>
  <c r="K71" i="4"/>
  <c r="G71" i="4"/>
  <c r="H71" i="4"/>
  <c r="I71" i="4"/>
  <c r="J71" i="4"/>
  <c r="F71" i="4"/>
  <c r="L55" i="4"/>
  <c r="M55" i="4"/>
  <c r="N55" i="4"/>
  <c r="O55" i="4"/>
  <c r="K55" i="4"/>
  <c r="G70" i="4"/>
  <c r="H70" i="4"/>
  <c r="I70" i="4"/>
  <c r="J70" i="4"/>
  <c r="F70" i="4"/>
  <c r="H25" i="5"/>
  <c r="I25" i="5" s="1"/>
  <c r="K25" i="5" s="1"/>
  <c r="C24" i="5"/>
  <c r="D24" i="5"/>
  <c r="E24" i="5"/>
  <c r="F24" i="5"/>
  <c r="B24" i="5"/>
  <c r="G24" i="5" s="1"/>
  <c r="H24" i="5" s="1"/>
  <c r="I24" i="5" s="1"/>
  <c r="J24" i="5" s="1"/>
  <c r="K24" i="5" s="1"/>
  <c r="L24" i="5" s="1"/>
  <c r="E25" i="5"/>
  <c r="F25" i="5"/>
  <c r="C25" i="5"/>
  <c r="D22" i="5"/>
  <c r="D23" i="5" s="1"/>
  <c r="E22" i="5"/>
  <c r="E23" i="5" s="1"/>
  <c r="F22" i="5"/>
  <c r="H22" i="5" s="1"/>
  <c r="C22" i="5"/>
  <c r="C21" i="5"/>
  <c r="D20" i="5"/>
  <c r="E20" i="5"/>
  <c r="C9" i="5"/>
  <c r="D25" i="5" s="1"/>
  <c r="D9" i="5"/>
  <c r="E9" i="5"/>
  <c r="F9" i="5"/>
  <c r="G9" i="5" s="1"/>
  <c r="H9" i="5" s="1"/>
  <c r="B9" i="5"/>
  <c r="C4" i="5"/>
  <c r="C5" i="5" s="1"/>
  <c r="C7" i="5" s="1"/>
  <c r="C8" i="5" s="1"/>
  <c r="C12" i="5" s="1"/>
  <c r="D4" i="5"/>
  <c r="D21" i="5" s="1"/>
  <c r="E4" i="5"/>
  <c r="E21" i="5" s="1"/>
  <c r="F4" i="5"/>
  <c r="F5" i="5" s="1"/>
  <c r="F7" i="5" s="1"/>
  <c r="F8" i="5" s="1"/>
  <c r="F12" i="5" s="1"/>
  <c r="B4" i="5"/>
  <c r="B21" i="5" s="1"/>
  <c r="C3" i="5"/>
  <c r="C20" i="5" s="1"/>
  <c r="D3" i="5"/>
  <c r="E3" i="5"/>
  <c r="F3" i="5"/>
  <c r="F20" i="5" s="1"/>
  <c r="B3" i="5"/>
  <c r="C11" i="5"/>
  <c r="D26" i="5" s="1"/>
  <c r="D11" i="5"/>
  <c r="E26" i="5" s="1"/>
  <c r="E11" i="5"/>
  <c r="F26" i="5" s="1"/>
  <c r="H26" i="5" s="1"/>
  <c r="F11" i="5"/>
  <c r="B11" i="5"/>
  <c r="C26" i="5" s="1"/>
  <c r="C10" i="5"/>
  <c r="D10" i="5"/>
  <c r="E10" i="5"/>
  <c r="F10" i="5"/>
  <c r="G10" i="5" s="1"/>
  <c r="H10" i="5" s="1"/>
  <c r="I10" i="5" s="1"/>
  <c r="J10" i="5" s="1"/>
  <c r="K10" i="5" s="1"/>
  <c r="B10" i="5"/>
  <c r="G16" i="4"/>
  <c r="H16" i="4"/>
  <c r="I16" i="4"/>
  <c r="J16" i="4"/>
  <c r="F16" i="4"/>
  <c r="C11" i="3" s="1"/>
  <c r="C12" i="3" s="1"/>
  <c r="C15" i="3" s="1"/>
  <c r="C10" i="3"/>
  <c r="C13" i="3"/>
  <c r="G20" i="5" l="1"/>
  <c r="I26" i="5"/>
  <c r="J26" i="5" s="1"/>
  <c r="K26" i="5" s="1"/>
  <c r="L26" i="5" s="1"/>
  <c r="J22" i="5"/>
  <c r="L22" i="5" s="1"/>
  <c r="G6" i="5"/>
  <c r="J25" i="5"/>
  <c r="L25" i="5" s="1"/>
  <c r="F21" i="5"/>
  <c r="G21" i="5" s="1"/>
  <c r="G22" i="5"/>
  <c r="I22" i="5" s="1"/>
  <c r="K22" i="5" s="1"/>
  <c r="F23" i="5"/>
  <c r="G23" i="5" s="1"/>
  <c r="B5" i="5"/>
  <c r="B7" i="5" s="1"/>
  <c r="B8" i="5" s="1"/>
  <c r="B12" i="5" s="1"/>
  <c r="D5" i="5"/>
  <c r="D7" i="5" s="1"/>
  <c r="D8" i="5" s="1"/>
  <c r="D12" i="5" s="1"/>
  <c r="E5" i="5"/>
  <c r="E7" i="5" s="1"/>
  <c r="E8" i="5" s="1"/>
  <c r="E12" i="5" s="1"/>
  <c r="I9" i="5" l="1"/>
  <c r="J9" i="5" s="1"/>
  <c r="K9" i="5" s="1"/>
  <c r="H6" i="5"/>
  <c r="I6" i="5" s="1"/>
  <c r="J6" i="5" s="1"/>
  <c r="K6" i="5" s="1"/>
  <c r="H20" i="5"/>
  <c r="I20" i="5" s="1"/>
  <c r="J20" i="5" s="1"/>
  <c r="K20" i="5" s="1"/>
  <c r="L20" i="5" s="1"/>
  <c r="G3" i="5"/>
  <c r="H3" i="5" l="1"/>
  <c r="G4" i="5"/>
  <c r="G5" i="5" s="1"/>
  <c r="G7" i="5" s="1"/>
  <c r="G8" i="5" s="1"/>
  <c r="G12" i="5" s="1"/>
  <c r="I3" i="5" l="1"/>
  <c r="H4" i="5"/>
  <c r="H5" i="5" s="1"/>
  <c r="H7" i="5" s="1"/>
  <c r="H8" i="5" s="1"/>
  <c r="H12" i="5" s="1"/>
  <c r="J3" i="5" l="1"/>
  <c r="I4" i="5"/>
  <c r="I5" i="5"/>
  <c r="I7" i="5" s="1"/>
  <c r="I8" i="5" s="1"/>
  <c r="I12" i="5" s="1"/>
  <c r="K3" i="5" l="1"/>
  <c r="J4" i="5"/>
  <c r="J5" i="5"/>
  <c r="J7" i="5" s="1"/>
  <c r="J8" i="5" s="1"/>
  <c r="J12" i="5" s="1"/>
  <c r="K4" i="5" l="1"/>
  <c r="K5" i="5" s="1"/>
  <c r="K7" i="5" s="1"/>
  <c r="K8" i="5" s="1"/>
  <c r="K12" i="5" s="1"/>
  <c r="K13" i="5" l="1"/>
  <c r="B29" i="5" s="1"/>
  <c r="B28" i="5"/>
  <c r="B30" i="5" l="1"/>
  <c r="B33" i="5" s="1"/>
  <c r="B35" i="5" s="1"/>
  <c r="E30" i="5" s="1"/>
  <c r="B37" i="5" l="1"/>
  <c r="C8" i="3" l="1"/>
  <c r="C7" i="3"/>
  <c r="C4" i="3"/>
  <c r="B27" i="2" l="1"/>
  <c r="B26" i="2"/>
  <c r="B24" i="2"/>
  <c r="B22" i="2"/>
  <c r="B21" i="2"/>
  <c r="B20" i="2"/>
  <c r="B12" i="2"/>
  <c r="B16" i="2"/>
  <c r="B14" i="2"/>
  <c r="D9" i="2"/>
  <c r="F9" i="2"/>
  <c r="E9" i="2"/>
  <c r="G9" i="2"/>
  <c r="D22" i="1"/>
  <c r="D21" i="1"/>
  <c r="D20" i="1"/>
</calcChain>
</file>

<file path=xl/sharedStrings.xml><?xml version="1.0" encoding="utf-8"?>
<sst xmlns="http://schemas.openxmlformats.org/spreadsheetml/2006/main" count="397" uniqueCount="241">
  <si>
    <t>S.N</t>
  </si>
  <si>
    <t>Firm</t>
  </si>
  <si>
    <t>Recommendation</t>
  </si>
  <si>
    <t>Target Price</t>
  </si>
  <si>
    <t>Date</t>
  </si>
  <si>
    <t>HSBC</t>
  </si>
  <si>
    <t>Damayanti Kerai</t>
  </si>
  <si>
    <t>buy</t>
  </si>
  <si>
    <t>Icici Securities (Institutional)</t>
  </si>
  <si>
    <t>Abdulkader Puranwala</t>
  </si>
  <si>
    <t>add</t>
  </si>
  <si>
    <t>ULJK Financial Service</t>
  </si>
  <si>
    <t>Team Coverage</t>
  </si>
  <si>
    <t>JM Financial Institutional Securities</t>
  </si>
  <si>
    <t>Amey Chalke</t>
  </si>
  <si>
    <t>SMIFS Limited</t>
  </si>
  <si>
    <t>Dhara Patwa</t>
  </si>
  <si>
    <t>accumulate</t>
  </si>
  <si>
    <t>Kotak Securities (Institutional Equiti</t>
  </si>
  <si>
    <t>Alankar Garude</t>
  </si>
  <si>
    <t>Dalal &amp; Broacha Stock Broking P. Ltd</t>
  </si>
  <si>
    <t>Dhruv Shah</t>
  </si>
  <si>
    <t>hold</t>
  </si>
  <si>
    <t>Avendus Spark</t>
  </si>
  <si>
    <t>Dr Harith Ahamed</t>
  </si>
  <si>
    <t>IIFL (Institutional)</t>
  </si>
  <si>
    <t>Rahul Jeewani</t>
  </si>
  <si>
    <t>Mirae Asset Securities</t>
  </si>
  <si>
    <t>Harshal Patil</t>
  </si>
  <si>
    <t>Prabhudas Lilladher Pvt.</t>
  </si>
  <si>
    <t>Param Desai</t>
  </si>
  <si>
    <t>Anand Rathi Securities</t>
  </si>
  <si>
    <t>Himanshu Binani</t>
  </si>
  <si>
    <t>Ambit Capital Pvt Ltd.</t>
  </si>
  <si>
    <t>Prashant Nair</t>
  </si>
  <si>
    <t>Nuvama Wealth Management Limited</t>
  </si>
  <si>
    <t>Ranvir Singh</t>
  </si>
  <si>
    <t>Asian Markets Securities Pvt Ltd.</t>
  </si>
  <si>
    <t>Viraj Shah</t>
  </si>
  <si>
    <t>Broker</t>
  </si>
  <si>
    <t xml:space="preserve">Max </t>
  </si>
  <si>
    <t>Min</t>
  </si>
  <si>
    <t>Average</t>
  </si>
  <si>
    <t>Company Name</t>
  </si>
  <si>
    <t>KIMS</t>
  </si>
  <si>
    <t>Max Healthcare</t>
  </si>
  <si>
    <t>Narayana Hrudayalaya</t>
  </si>
  <si>
    <t>Apollo Hospitals</t>
  </si>
  <si>
    <t>Fortis Healthcare</t>
  </si>
  <si>
    <t>Healthcare Global Enterprises</t>
  </si>
  <si>
    <t xml:space="preserve">Shalby </t>
  </si>
  <si>
    <t xml:space="preserve"> EV/EBITDA</t>
  </si>
  <si>
    <t>P/E</t>
  </si>
  <si>
    <t>Number of shares</t>
  </si>
  <si>
    <t>Book Price</t>
  </si>
  <si>
    <t>Price using P/B ratio</t>
  </si>
  <si>
    <t xml:space="preserve"> 
Price/(Rev/Shr) </t>
  </si>
  <si>
    <t>EBIDTA</t>
  </si>
  <si>
    <t>Price /Book Value</t>
  </si>
  <si>
    <t>Revenue</t>
  </si>
  <si>
    <t>Revenue/Share</t>
  </si>
  <si>
    <t>Net Profit</t>
  </si>
  <si>
    <t>Price using P/E ratio</t>
  </si>
  <si>
    <t>Price using Price/(Revenue/Share)</t>
  </si>
  <si>
    <t>Company Market Cap
(Cr INR)</t>
  </si>
  <si>
    <t>Enterprise Value
(Cr INR)</t>
  </si>
  <si>
    <t>(INR cr)</t>
  </si>
  <si>
    <t>(Cr)</t>
  </si>
  <si>
    <t>EPS</t>
  </si>
  <si>
    <t>EV</t>
  </si>
  <si>
    <t>-Debt</t>
  </si>
  <si>
    <t>Equity Value</t>
  </si>
  <si>
    <t>Price Using Enterprise Value:</t>
  </si>
  <si>
    <t>Risk Free Rate</t>
  </si>
  <si>
    <t>Beta</t>
  </si>
  <si>
    <t>Equity Risk Premium</t>
  </si>
  <si>
    <t>US ERP</t>
  </si>
  <si>
    <t>Country risk premium</t>
  </si>
  <si>
    <t>Ke</t>
  </si>
  <si>
    <t>Equity Proportion</t>
  </si>
  <si>
    <t>Cost of Equity</t>
  </si>
  <si>
    <t>Cost of Debt</t>
  </si>
  <si>
    <t>Pre-tax cost of debt</t>
  </si>
  <si>
    <t>Tax Rate</t>
  </si>
  <si>
    <t>Kd</t>
  </si>
  <si>
    <t>Debt Proportion</t>
  </si>
  <si>
    <t>Using D/E ratio = 0.74</t>
  </si>
  <si>
    <t>Market Metric</t>
  </si>
  <si>
    <t>Moneycontrol</t>
  </si>
  <si>
    <t>Operating Profit</t>
  </si>
  <si>
    <t>Interest</t>
  </si>
  <si>
    <t>Reserves</t>
  </si>
  <si>
    <t>Sales</t>
  </si>
  <si>
    <t> Operating Expenses</t>
  </si>
  <si>
    <t>Raw Material</t>
  </si>
  <si>
    <t>Material Cost (%)</t>
  </si>
  <si>
    <t>Employee Cost</t>
  </si>
  <si>
    <t>Power &amp; Fuel Cost</t>
  </si>
  <si>
    <t>—</t>
  </si>
  <si>
    <t>Other Income</t>
  </si>
  <si>
    <t>OPM (%)</t>
  </si>
  <si>
    <t>Depreciation and Amortisation</t>
  </si>
  <si>
    <t>Profit Before Tax</t>
  </si>
  <si>
    <t>Tax</t>
  </si>
  <si>
    <t>In Rs. Cr.</t>
  </si>
  <si>
    <t>Mar'16</t>
  </si>
  <si>
    <t>Mar'17</t>
  </si>
  <si>
    <t>Mar'18</t>
  </si>
  <si>
    <t>Mar'19</t>
  </si>
  <si>
    <t>Mar'20</t>
  </si>
  <si>
    <t>Mar'21</t>
  </si>
  <si>
    <t>Mar'22</t>
  </si>
  <si>
    <t>Mar'23</t>
  </si>
  <si>
    <t>Mar'24</t>
  </si>
  <si>
    <t> Cash from Operating Activity</t>
  </si>
  <si>
    <t>Adjustments</t>
  </si>
  <si>
    <t>OCF Before Working Capital</t>
  </si>
  <si>
    <t>Working Capital Changes</t>
  </si>
  <si>
    <t>Taxes Paid</t>
  </si>
  <si>
    <t> Cash from Investing Activity</t>
  </si>
  <si>
    <t> Net Fixed Assets Purchased</t>
  </si>
  <si>
    <t>Investment Purchased</t>
  </si>
  <si>
    <t>Investment Sold</t>
  </si>
  <si>
    <t>Interest Recieved</t>
  </si>
  <si>
    <t>Dividends Recieved</t>
  </si>
  <si>
    <t>Subsidiary Investments</t>
  </si>
  <si>
    <t> Cash from Financing Activity</t>
  </si>
  <si>
    <t>Proceeds From Shares</t>
  </si>
  <si>
    <t> Net Long Term Borrowings</t>
  </si>
  <si>
    <t>Proceeds From Borrowings</t>
  </si>
  <si>
    <t>Repayment From Borrowings</t>
  </si>
  <si>
    <t>Interest Paid</t>
  </si>
  <si>
    <t>Dividend Paid</t>
  </si>
  <si>
    <t>Net Cash Flow</t>
  </si>
  <si>
    <t>Opening Cash &amp; Cash Equivalents</t>
  </si>
  <si>
    <t>Effect of FX</t>
  </si>
  <si>
    <t>Closing Cash &amp; Cash Equivalents</t>
  </si>
  <si>
    <t>Net Capex (est)</t>
  </si>
  <si>
    <t>Free Cash Flow (est)</t>
  </si>
  <si>
    <t>BALANCE SHEET</t>
  </si>
  <si>
    <t> Assets</t>
  </si>
  <si>
    <t> Non Current Assets</t>
  </si>
  <si>
    <t>Net Block</t>
  </si>
  <si>
    <t>Capital Work in Progress</t>
  </si>
  <si>
    <t>Intangible Assets Under Development</t>
  </si>
  <si>
    <t>Long Term Investments</t>
  </si>
  <si>
    <t> Current Assets</t>
  </si>
  <si>
    <t>Inventory</t>
  </si>
  <si>
    <t>Accounts Receivable</t>
  </si>
  <si>
    <t>Short Term Investments</t>
  </si>
  <si>
    <t>Cash &amp; Bank Balances</t>
  </si>
  <si>
    <t> Liabilities</t>
  </si>
  <si>
    <t> Shareholders Funds</t>
  </si>
  <si>
    <t>Share Capital</t>
  </si>
  <si>
    <t> Non Current Liabilities</t>
  </si>
  <si>
    <t>Secured Loans</t>
  </si>
  <si>
    <t>Unsecured Loans</t>
  </si>
  <si>
    <t> Current Liabilities</t>
  </si>
  <si>
    <t>Accounts Payable</t>
  </si>
  <si>
    <t>Short Term Loans</t>
  </si>
  <si>
    <t>WACC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</si>
  <si>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</si>
  <si>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</si>
  <si>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</si>
  <si>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</si>
  <si>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</si>
  <si>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</si>
  <si>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</si>
  <si>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</si>
  <si>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</si>
  <si>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</si>
  <si>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Financial Head</t>
  </si>
  <si>
    <t>Operating Expenses</t>
  </si>
  <si>
    <t>Add: Depreciation</t>
  </si>
  <si>
    <t>Less: Changes in WC</t>
  </si>
  <si>
    <t>Less: Capital Expenditures</t>
  </si>
  <si>
    <t>FCFF</t>
  </si>
  <si>
    <t>EBIDA = EBIDTA (1-Tax Rate)</t>
  </si>
  <si>
    <t>Terminal Growth Rate</t>
  </si>
  <si>
    <t>Revenue Growth</t>
  </si>
  <si>
    <t>Comments</t>
  </si>
  <si>
    <t>Mean</t>
  </si>
  <si>
    <t>Opex as % of Revenue</t>
  </si>
  <si>
    <t>Assuming Opex to grow proportionally to the revenue</t>
  </si>
  <si>
    <t>Other Income Growth</t>
  </si>
  <si>
    <t xml:space="preserve">Assuming Other Income growth to be fuelled by KFRC(KIMS Foundation Research Center). Growth is assumed to be cyclical </t>
  </si>
  <si>
    <t>Rate of increase/decrease of Income growth</t>
  </si>
  <si>
    <t>-</t>
  </si>
  <si>
    <t>Assuming Mean Tax Rate</t>
  </si>
  <si>
    <t>Depreciation Growth Rate</t>
  </si>
  <si>
    <t>Assuming constant rate of increase of depreciation from FY24 as KIMS has been acquiring hospitals on an M&amp;O basis, and the increase in depreciation would largely be uniform due to the assumption that # acquisitions and depreciable assets/acquisition would be largely similar YoY</t>
  </si>
  <si>
    <t>NA</t>
  </si>
  <si>
    <t>CASH FLOW STATEMENT</t>
  </si>
  <si>
    <t>Ancilliaries</t>
  </si>
  <si>
    <t>Growth in WC</t>
  </si>
  <si>
    <t>Growth in Receivables</t>
  </si>
  <si>
    <t>The sudden spike in receivables could be attributed to Ayushman Bharat Scheme for insurance, and hence the growth rate is assumed to remain at FY24 level</t>
  </si>
  <si>
    <t>Growth in Inventory</t>
  </si>
  <si>
    <t>Inventory is assumed to grow at mean level</t>
  </si>
  <si>
    <t>Growth in Payables</t>
  </si>
  <si>
    <t>Payables are assumed to grow at mean level</t>
  </si>
  <si>
    <t>Growth in WC is influenced majorly by change in Payables, Receivables and Inventory. Projections made  in Balance Sheet</t>
  </si>
  <si>
    <t>Mar'25</t>
  </si>
  <si>
    <t>Mar'26</t>
  </si>
  <si>
    <t>Mar'27</t>
  </si>
  <si>
    <t>Mar'28</t>
  </si>
  <si>
    <t>Mar'29</t>
  </si>
  <si>
    <t>Assuming growth to continue at mean rate + 10% due to increase in number of beds YoY</t>
  </si>
  <si>
    <t>Capex as % of Revenue</t>
  </si>
  <si>
    <t>Terminal Value</t>
  </si>
  <si>
    <t>PV of Future FCFF</t>
  </si>
  <si>
    <t>PV of Terminal Value</t>
  </si>
  <si>
    <t>Enterprise Value</t>
  </si>
  <si>
    <t>Less: Debt</t>
  </si>
  <si>
    <t>Add: Cash</t>
  </si>
  <si>
    <t># of Shares (M)</t>
  </si>
  <si>
    <t>Value per Share (INR)</t>
  </si>
  <si>
    <t>Upside</t>
  </si>
  <si>
    <t>CMP (13th Sep 2024)</t>
  </si>
  <si>
    <t>Price using EV</t>
  </si>
  <si>
    <t>Calculated as interest exp/debt</t>
  </si>
  <si>
    <t>Average taxation rate 5 yr</t>
  </si>
  <si>
    <t>ANCILLIARIES</t>
  </si>
  <si>
    <t>WC (Inv+Rec-Pay)</t>
  </si>
  <si>
    <t>DCF Valuation</t>
  </si>
  <si>
    <t>Refer WACC calculation</t>
  </si>
  <si>
    <t>Sensitivity Measurement</t>
  </si>
  <si>
    <t>Assuming CAPEX to stay relatively constant, with growth proportional to increase in number of beds</t>
  </si>
  <si>
    <t>Credit Suisse Report = 8 June 2023</t>
  </si>
  <si>
    <t>Discounted Cash Flow</t>
  </si>
  <si>
    <t>52 Week Hi-Lo</t>
  </si>
  <si>
    <t>Trading Comparable: P/B</t>
  </si>
  <si>
    <t>Trading Comparable: P/E</t>
  </si>
  <si>
    <t>Trading Comparable: Price/(Revenue/Share)</t>
  </si>
  <si>
    <t>Trading Comparable: EV/EBITDA</t>
  </si>
  <si>
    <t>Broker Price</t>
  </si>
  <si>
    <t>Valuation Strategy</t>
  </si>
  <si>
    <t>Low</t>
  </si>
  <si>
    <t>High</t>
  </si>
  <si>
    <t>Market Price (15th September 2024)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</si>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</sst>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8" formatCode="_-* #,##0.00_-;\-* #,##0.00_-;_-* &quot;-&quot;??_-;_-@_-"/>
    <numFmt numFmtId="171" formatCode="0.0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8"/>
      <color indexed="16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0"/>
      <color indexed="16"/>
      <name val="Helvetica-Black"/>
    </font>
    <font>
      <b/>
      <sz val="9"/>
      <name val="Palatino"/>
      <family val="1"/>
    </font>
    <font>
      <sz val="9"/>
      <name val="Helvetica-Black"/>
    </font>
    <font>
      <sz val="10"/>
      <color indexed="63"/>
      <name val="Arial"/>
      <family val="2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rgb="FF22222F"/>
      <name val="Arial"/>
      <family val="2"/>
    </font>
    <font>
      <sz val="10.3"/>
      <color rgb="FF353434"/>
      <name val="Arial"/>
      <family val="2"/>
    </font>
    <font>
      <sz val="10.3"/>
      <color rgb="FF353434"/>
      <name val="Arial"/>
      <family val="2"/>
    </font>
    <font>
      <sz val="10.3"/>
      <color rgb="FF353434"/>
      <name val="Arial"/>
      <family val="2"/>
    </font>
    <font>
      <sz val="10.3"/>
      <color rgb="FF9E9D9D"/>
      <name val="Arial"/>
      <family val="2"/>
    </font>
    <font>
      <b/>
      <sz val="7.55"/>
      <color rgb="FF818181"/>
      <name val="Arial"/>
      <family val="2"/>
    </font>
    <font>
      <sz val="10.3"/>
      <color rgb="FF9E9D9D"/>
      <name val="Arial"/>
      <family val="2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E8E8E8"/>
      </bottom>
      <diagonal/>
    </border>
    <border>
      <left style="medium">
        <color rgb="FFE8E8E8"/>
      </left>
      <right style="medium">
        <color rgb="FFE5E5E5"/>
      </right>
      <top/>
      <bottom style="medium">
        <color rgb="FFE8E8E8"/>
      </bottom>
      <diagonal/>
    </border>
    <border>
      <left/>
      <right style="thin">
        <color indexed="64"/>
      </right>
      <top/>
      <bottom style="medium">
        <color rgb="FFE8E8E8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rgb="FFE8E8E8"/>
      </right>
      <top/>
      <bottom style="medium">
        <color rgb="FFE8E8E8"/>
      </bottom>
      <diagonal/>
    </border>
    <border>
      <left style="medium">
        <color indexed="64"/>
      </left>
      <right style="medium">
        <color rgb="FFE8E8E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E8E8E8"/>
      </right>
      <top/>
      <bottom style="medium">
        <color indexed="64"/>
      </bottom>
      <diagonal/>
    </border>
    <border>
      <left style="medium">
        <color rgb="FFE8E8E8"/>
      </left>
      <right style="medium">
        <color rgb="FFE5E5E5"/>
      </right>
      <top/>
      <bottom style="medium">
        <color indexed="64"/>
      </bottom>
      <diagonal/>
    </border>
    <border>
      <left style="medium">
        <color rgb="FFE8E8E8"/>
      </left>
      <right style="medium">
        <color rgb="FFE5E5E5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2" borderId="0"/>
    <xf numFmtId="168" fontId="1" fillId="0" borderId="0" applyFont="0" applyFill="0" applyBorder="0" applyAlignment="0" applyProtection="0"/>
    <xf numFmtId="0" fontId="5" fillId="0" borderId="0" applyFont="0" applyFill="0" applyBorder="0" applyAlignment="0" applyProtection="0">
      <alignment horizontal="righ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>
      <alignment horizontal="righ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ill="0" applyBorder="0" applyProtection="0">
      <alignment horizontal="left"/>
    </xf>
    <xf numFmtId="0" fontId="5" fillId="0" borderId="0" applyFont="0" applyFill="0" applyBorder="0" applyAlignment="0" applyProtection="0">
      <alignment horizontal="right"/>
    </xf>
    <xf numFmtId="0" fontId="8" fillId="0" borderId="0" applyProtection="0">
      <alignment horizontal="right"/>
    </xf>
    <xf numFmtId="0" fontId="5" fillId="0" borderId="0" applyFont="0" applyFill="0" applyBorder="0" applyAlignment="0" applyProtection="0">
      <alignment horizontal="right"/>
    </xf>
    <xf numFmtId="0" fontId="5" fillId="0" borderId="0" applyFont="0" applyFill="0" applyBorder="0" applyAlignment="0" applyProtection="0">
      <alignment horizontal="right"/>
    </xf>
    <xf numFmtId="1" fontId="9" fillId="0" borderId="0" applyProtection="0">
      <alignment horizontal="right" vertical="center"/>
    </xf>
    <xf numFmtId="0" fontId="6" fillId="0" borderId="0" applyFont="0" applyFill="0" applyBorder="0" applyAlignment="0" applyProtection="0"/>
    <xf numFmtId="0" fontId="10" fillId="0" borderId="0" applyBorder="0" applyProtection="0">
      <alignment vertical="center"/>
    </xf>
    <xf numFmtId="0" fontId="10" fillId="0" borderId="1" applyBorder="0" applyProtection="0">
      <alignment horizontal="right" vertical="center"/>
    </xf>
    <xf numFmtId="0" fontId="11" fillId="0" borderId="0" applyFill="0" applyBorder="0" applyProtection="0">
      <alignment horizontal="left"/>
    </xf>
    <xf numFmtId="0" fontId="7" fillId="0" borderId="2" applyFill="0" applyBorder="0" applyProtection="0">
      <alignment horizontal="left" vertical="top"/>
    </xf>
    <xf numFmtId="0" fontId="12" fillId="4" borderId="2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/>
    <xf numFmtId="2" fontId="14" fillId="0" borderId="1" xfId="0" applyNumberFormat="1" applyFont="1" applyBorder="1"/>
    <xf numFmtId="0" fontId="0" fillId="0" borderId="0" xfId="0"/>
    <xf numFmtId="2" fontId="0" fillId="0" borderId="0" xfId="0" applyNumberFormat="1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18" fillId="4" borderId="5" xfId="0" applyFont="1" applyFill="1" applyBorder="1" applyAlignment="1">
      <alignment horizontal="right" vertical="center" wrapText="1"/>
    </xf>
    <xf numFmtId="3" fontId="18" fillId="4" borderId="5" xfId="0" applyNumberFormat="1" applyFont="1" applyFill="1" applyBorder="1" applyAlignment="1">
      <alignment horizontal="right" vertical="center" wrapText="1"/>
    </xf>
    <xf numFmtId="3" fontId="18" fillId="4" borderId="6" xfId="0" applyNumberFormat="1" applyFont="1" applyFill="1" applyBorder="1" applyAlignment="1">
      <alignment horizontal="right" vertical="center" wrapText="1"/>
    </xf>
    <xf numFmtId="0" fontId="16" fillId="4" borderId="5" xfId="0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horizontal="right" vertical="center" wrapText="1"/>
    </xf>
    <xf numFmtId="0" fontId="19" fillId="4" borderId="6" xfId="0" applyFont="1" applyFill="1" applyBorder="1" applyAlignment="1">
      <alignment horizontal="right" vertical="center" wrapText="1"/>
    </xf>
    <xf numFmtId="0" fontId="18" fillId="4" borderId="6" xfId="0" applyFont="1" applyFill="1" applyBorder="1" applyAlignment="1">
      <alignment horizontal="right" vertical="center" wrapText="1"/>
    </xf>
    <xf numFmtId="0" fontId="18" fillId="5" borderId="5" xfId="0" applyFont="1" applyFill="1" applyBorder="1" applyAlignment="1">
      <alignment horizontal="right" vertical="center" wrapText="1"/>
    </xf>
    <xf numFmtId="0" fontId="19" fillId="4" borderId="5" xfId="0" applyFont="1" applyFill="1" applyBorder="1" applyAlignment="1">
      <alignment horizontal="right" vertical="center" wrapText="1"/>
    </xf>
    <xf numFmtId="0" fontId="21" fillId="4" borderId="5" xfId="0" applyFont="1" applyFill="1" applyBorder="1" applyAlignment="1">
      <alignment horizontal="right" vertical="center" wrapText="1"/>
    </xf>
    <xf numFmtId="0" fontId="21" fillId="4" borderId="6" xfId="0" applyFont="1" applyFill="1" applyBorder="1" applyAlignment="1">
      <alignment horizontal="right" vertical="center" wrapText="1"/>
    </xf>
    <xf numFmtId="3" fontId="16" fillId="4" borderId="5" xfId="0" applyNumberFormat="1" applyFont="1" applyFill="1" applyBorder="1" applyAlignment="1">
      <alignment horizontal="right" vertical="center" wrapText="1"/>
    </xf>
    <xf numFmtId="3" fontId="16" fillId="4" borderId="6" xfId="0" applyNumberFormat="1" applyFont="1" applyFill="1" applyBorder="1" applyAlignment="1">
      <alignment horizontal="right" vertical="center" wrapText="1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Border="1"/>
    <xf numFmtId="0" fontId="0" fillId="0" borderId="8" xfId="0" applyBorder="1"/>
    <xf numFmtId="0" fontId="0" fillId="0" borderId="0" xfId="0" applyBorder="1"/>
    <xf numFmtId="9" fontId="0" fillId="0" borderId="0" xfId="1" applyFont="1" applyBorder="1"/>
    <xf numFmtId="9" fontId="0" fillId="0" borderId="0" xfId="0" applyNumberFormat="1" applyBorder="1"/>
    <xf numFmtId="9" fontId="0" fillId="0" borderId="0" xfId="1" applyNumberFormat="1" applyFont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7" borderId="14" xfId="0" applyFont="1" applyFill="1" applyBorder="1"/>
    <xf numFmtId="0" fontId="0" fillId="0" borderId="15" xfId="0" applyBorder="1"/>
    <xf numFmtId="15" fontId="0" fillId="0" borderId="0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13" fillId="7" borderId="12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4" fillId="0" borderId="15" xfId="0" applyFont="1" applyBorder="1"/>
    <xf numFmtId="2" fontId="14" fillId="0" borderId="0" xfId="0" applyNumberFormat="1" applyFont="1" applyBorder="1"/>
    <xf numFmtId="2" fontId="14" fillId="0" borderId="16" xfId="0" applyNumberFormat="1" applyFont="1" applyBorder="1"/>
    <xf numFmtId="0" fontId="14" fillId="0" borderId="20" xfId="0" applyFont="1" applyBorder="1"/>
    <xf numFmtId="2" fontId="14" fillId="0" borderId="21" xfId="0" applyNumberFormat="1" applyFont="1" applyBorder="1"/>
    <xf numFmtId="2" fontId="14" fillId="0" borderId="18" xfId="0" applyNumberFormat="1" applyFont="1" applyBorder="1"/>
    <xf numFmtId="2" fontId="14" fillId="0" borderId="19" xfId="0" applyNumberFormat="1" applyFont="1" applyBorder="1"/>
    <xf numFmtId="0" fontId="2" fillId="0" borderId="17" xfId="0" applyFont="1" applyBorder="1"/>
    <xf numFmtId="0" fontId="14" fillId="0" borderId="12" xfId="0" applyFont="1" applyBorder="1"/>
    <xf numFmtId="1" fontId="0" fillId="0" borderId="14" xfId="0" applyNumberFormat="1" applyBorder="1"/>
    <xf numFmtId="1" fontId="0" fillId="0" borderId="16" xfId="0" applyNumberFormat="1" applyBorder="1"/>
    <xf numFmtId="171" fontId="0" fillId="0" borderId="16" xfId="0" applyNumberFormat="1" applyBorder="1"/>
    <xf numFmtId="0" fontId="2" fillId="0" borderId="15" xfId="0" applyFont="1" applyBorder="1"/>
    <xf numFmtId="1" fontId="2" fillId="0" borderId="16" xfId="0" applyNumberFormat="1" applyFont="1" applyBorder="1"/>
    <xf numFmtId="0" fontId="14" fillId="0" borderId="20" xfId="0" quotePrefix="1" applyFont="1" applyBorder="1"/>
    <xf numFmtId="0" fontId="0" fillId="0" borderId="21" xfId="0" applyBorder="1"/>
    <xf numFmtId="0" fontId="0" fillId="0" borderId="22" xfId="0" applyBorder="1"/>
    <xf numFmtId="1" fontId="0" fillId="0" borderId="23" xfId="0" applyNumberFormat="1" applyBorder="1"/>
    <xf numFmtId="1" fontId="2" fillId="0" borderId="19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0" fontId="0" fillId="0" borderId="16" xfId="0" applyNumberFormat="1" applyBorder="1"/>
    <xf numFmtId="10" fontId="2" fillId="0" borderId="19" xfId="0" applyNumberFormat="1" applyFont="1" applyBorder="1"/>
    <xf numFmtId="0" fontId="0" fillId="0" borderId="27" xfId="0" applyBorder="1"/>
    <xf numFmtId="10" fontId="0" fillId="0" borderId="28" xfId="0" applyNumberFormat="1" applyBorder="1"/>
    <xf numFmtId="0" fontId="17" fillId="4" borderId="29" xfId="0" applyFont="1" applyFill="1" applyBorder="1" applyAlignment="1">
      <alignment horizontal="left" vertical="center" wrapText="1" indent="1"/>
    </xf>
    <xf numFmtId="0" fontId="18" fillId="4" borderId="29" xfId="0" applyFont="1" applyFill="1" applyBorder="1" applyAlignment="1">
      <alignment horizontal="left" vertical="center" wrapText="1" indent="1"/>
    </xf>
    <xf numFmtId="0" fontId="17" fillId="5" borderId="29" xfId="0" applyFont="1" applyFill="1" applyBorder="1" applyAlignment="1">
      <alignment horizontal="left" vertical="center" wrapText="1" indent="1"/>
    </xf>
    <xf numFmtId="0" fontId="15" fillId="4" borderId="17" xfId="0" applyFont="1" applyFill="1" applyBorder="1" applyAlignment="1">
      <alignment horizontal="left" vertical="center"/>
    </xf>
    <xf numFmtId="0" fontId="15" fillId="4" borderId="18" xfId="0" applyFont="1" applyFill="1" applyBorder="1" applyAlignment="1">
      <alignment horizontal="right" vertical="center" wrapText="1"/>
    </xf>
    <xf numFmtId="9" fontId="0" fillId="0" borderId="18" xfId="1" applyFont="1" applyBorder="1"/>
    <xf numFmtId="0" fontId="20" fillId="6" borderId="30" xfId="0" applyFont="1" applyFill="1" applyBorder="1" applyAlignment="1">
      <alignment horizontal="center" vertical="center" wrapText="1"/>
    </xf>
    <xf numFmtId="0" fontId="20" fillId="6" borderId="25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0" fillId="0" borderId="13" xfId="0" applyBorder="1"/>
    <xf numFmtId="0" fontId="17" fillId="4" borderId="33" xfId="0" applyFont="1" applyFill="1" applyBorder="1" applyAlignment="1">
      <alignment horizontal="left" vertical="center" wrapText="1" indent="1"/>
    </xf>
    <xf numFmtId="0" fontId="18" fillId="4" borderId="18" xfId="0" applyFont="1" applyFill="1" applyBorder="1" applyAlignment="1">
      <alignment horizontal="right" vertical="center" wrapText="1"/>
    </xf>
    <xf numFmtId="0" fontId="18" fillId="4" borderId="34" xfId="0" applyFont="1" applyFill="1" applyBorder="1" applyAlignment="1">
      <alignment horizontal="right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20" fillId="6" borderId="35" xfId="0" applyFont="1" applyFill="1" applyBorder="1" applyAlignment="1">
      <alignment horizontal="center" vertical="center" wrapText="1"/>
    </xf>
    <xf numFmtId="2" fontId="0" fillId="0" borderId="16" xfId="0" applyNumberFormat="1" applyBorder="1"/>
    <xf numFmtId="0" fontId="18" fillId="0" borderId="33" xfId="0" applyFont="1" applyFill="1" applyBorder="1" applyAlignment="1">
      <alignment horizontal="left" vertical="center" wrapText="1" indent="1"/>
    </xf>
    <xf numFmtId="0" fontId="16" fillId="0" borderId="18" xfId="0" applyFont="1" applyFill="1" applyBorder="1" applyAlignment="1">
      <alignment horizontal="right" vertical="center" wrapText="1"/>
    </xf>
    <xf numFmtId="0" fontId="16" fillId="0" borderId="34" xfId="0" applyFont="1" applyFill="1" applyBorder="1" applyAlignment="1">
      <alignment horizontal="right" vertical="center" wrapText="1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9" fontId="0" fillId="0" borderId="16" xfId="1" applyFont="1" applyBorder="1"/>
    <xf numFmtId="9" fontId="0" fillId="0" borderId="19" xfId="1" applyFont="1" applyBorder="1"/>
    <xf numFmtId="9" fontId="0" fillId="0" borderId="13" xfId="1" applyFont="1" applyBorder="1"/>
    <xf numFmtId="2" fontId="0" fillId="0" borderId="13" xfId="1" applyNumberFormat="1" applyFont="1" applyBorder="1"/>
    <xf numFmtId="2" fontId="0" fillId="0" borderId="14" xfId="1" applyNumberFormat="1" applyFont="1" applyBorder="1"/>
    <xf numFmtId="9" fontId="0" fillId="0" borderId="0" xfId="1" applyFont="1" applyAlignment="1">
      <alignment horizontal="center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Fill="1" applyBorder="1" applyAlignment="1">
      <alignment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5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0" fillId="0" borderId="37" xfId="0" applyBorder="1" applyAlignment="1">
      <alignment wrapText="1"/>
    </xf>
    <xf numFmtId="9" fontId="0" fillId="0" borderId="16" xfId="0" applyNumberFormat="1" applyBorder="1"/>
    <xf numFmtId="9" fontId="0" fillId="0" borderId="18" xfId="0" applyNumberFormat="1" applyBorder="1"/>
    <xf numFmtId="9" fontId="0" fillId="0" borderId="19" xfId="0" applyNumberFormat="1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wrapText="1"/>
    </xf>
    <xf numFmtId="10" fontId="0" fillId="0" borderId="14" xfId="0" applyNumberFormat="1" applyBorder="1"/>
    <xf numFmtId="10" fontId="0" fillId="0" borderId="19" xfId="0" applyNumberForma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4" xfId="0" applyNumberFormat="1" applyBorder="1"/>
    <xf numFmtId="10" fontId="0" fillId="8" borderId="0" xfId="0" applyNumberFormat="1" applyFill="1" applyBorder="1"/>
    <xf numFmtId="10" fontId="0" fillId="8" borderId="16" xfId="0" applyNumberFormat="1" applyFill="1" applyBorder="1"/>
    <xf numFmtId="9" fontId="0" fillId="9" borderId="0" xfId="0" applyNumberFormat="1" applyFill="1" applyBorder="1"/>
    <xf numFmtId="10" fontId="0" fillId="9" borderId="0" xfId="0" applyNumberFormat="1" applyFill="1" applyBorder="1"/>
    <xf numFmtId="10" fontId="0" fillId="9" borderId="18" xfId="0" applyNumberFormat="1" applyFill="1" applyBorder="1"/>
    <xf numFmtId="0" fontId="0" fillId="9" borderId="39" xfId="0" applyFill="1" applyBorder="1" applyAlignment="1">
      <alignment horizontal="center" vertical="center" textRotation="90" wrapText="1"/>
    </xf>
    <xf numFmtId="0" fontId="0" fillId="9" borderId="40" xfId="0" applyFill="1" applyBorder="1" applyAlignment="1">
      <alignment horizontal="center" vertical="center" textRotation="90" wrapText="1"/>
    </xf>
    <xf numFmtId="0" fontId="0" fillId="9" borderId="41" xfId="0" applyFill="1" applyBorder="1" applyAlignment="1">
      <alignment horizontal="center" vertical="center" textRotation="90" wrapText="1"/>
    </xf>
    <xf numFmtId="0" fontId="0" fillId="8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2" fontId="0" fillId="10" borderId="0" xfId="0" applyNumberFormat="1" applyFill="1" applyBorder="1"/>
    <xf numFmtId="0" fontId="2" fillId="7" borderId="24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 wrapText="1"/>
    </xf>
    <xf numFmtId="0" fontId="2" fillId="7" borderId="32" xfId="0" applyFont="1" applyFill="1" applyBorder="1" applyAlignment="1">
      <alignment horizontal="center" wrapText="1"/>
    </xf>
    <xf numFmtId="0" fontId="2" fillId="7" borderId="36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7" borderId="13" xfId="0" applyFont="1" applyFill="1" applyBorder="1" applyAlignment="1">
      <alignment horizontal="center" wrapText="1"/>
    </xf>
    <xf numFmtId="0" fontId="2" fillId="7" borderId="14" xfId="0" applyFont="1" applyFill="1" applyBorder="1" applyAlignment="1">
      <alignment horizontal="center" wrapText="1"/>
    </xf>
    <xf numFmtId="9" fontId="0" fillId="3" borderId="19" xfId="1" applyFont="1" applyFill="1" applyBorder="1"/>
    <xf numFmtId="2" fontId="0" fillId="10" borderId="16" xfId="0" applyNumberForma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31" xfId="0" applyBorder="1"/>
    <xf numFmtId="0" fontId="2" fillId="0" borderId="36" xfId="0" applyFont="1" applyBorder="1"/>
    <xf numFmtId="0" fontId="0" fillId="7" borderId="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43" fontId="18" fillId="0" borderId="5" xfId="0" applyNumberFormat="1" applyFont="1" applyFill="1" applyBorder="1" applyAlignment="1">
      <alignment horizontal="right" vertical="center" wrapText="1"/>
    </xf>
    <xf numFmtId="43" fontId="18" fillId="0" borderId="7" xfId="0" applyNumberFormat="1" applyFont="1" applyFill="1" applyBorder="1" applyAlignment="1">
      <alignment horizontal="right" vertical="center" wrapText="1"/>
    </xf>
    <xf numFmtId="43" fontId="0" fillId="0" borderId="0" xfId="0" applyNumberFormat="1" applyFill="1" applyBorder="1"/>
    <xf numFmtId="43" fontId="18" fillId="0" borderId="0" xfId="0" applyNumberFormat="1" applyFont="1" applyFill="1" applyBorder="1" applyAlignment="1">
      <alignment horizontal="right" vertical="center" wrapText="1"/>
    </xf>
    <xf numFmtId="43" fontId="0" fillId="0" borderId="3" xfId="0" applyNumberFormat="1" applyFill="1" applyBorder="1"/>
    <xf numFmtId="43" fontId="0" fillId="0" borderId="0" xfId="0" applyNumberFormat="1" applyFill="1" applyBorder="1" applyAlignment="1">
      <alignment vertical="center"/>
    </xf>
    <xf numFmtId="43" fontId="0" fillId="0" borderId="8" xfId="0" applyNumberFormat="1" applyFill="1" applyBorder="1"/>
    <xf numFmtId="43" fontId="0" fillId="0" borderId="9" xfId="0" applyNumberFormat="1" applyFill="1" applyBorder="1"/>
    <xf numFmtId="43" fontId="0" fillId="0" borderId="16" xfId="0" applyNumberFormat="1" applyFill="1" applyBorder="1"/>
    <xf numFmtId="43" fontId="0" fillId="0" borderId="18" xfId="0" applyNumberFormat="1" applyBorder="1"/>
    <xf numFmtId="43" fontId="0" fillId="0" borderId="19" xfId="0" applyNumberFormat="1" applyBorder="1"/>
    <xf numFmtId="2" fontId="0" fillId="0" borderId="18" xfId="0" applyNumberFormat="1" applyBorder="1"/>
    <xf numFmtId="2" fontId="0" fillId="0" borderId="19" xfId="0" applyNumberFormat="1" applyBorder="1"/>
  </cellXfs>
  <cellStyles count="36">
    <cellStyle name="******************************************" xfId="2" xr:uid="{F46EC97F-5D0A-4F39-BBE2-6729678F77CD}"/>
    <cellStyle name="Body_InputCellText" xfId="3" xr:uid="{1A593617-4D01-4A32-A29F-26BB657B979F}"/>
    <cellStyle name="Comma 0" xfId="5" xr:uid="{C66C4EF6-9889-430A-962E-862908260DDC}"/>
    <cellStyle name="Comma 0*" xfId="6" xr:uid="{5FDA5433-8075-4E20-955E-AAD9F5347921}"/>
    <cellStyle name="Comma 10" xfId="35" xr:uid="{6BDAB0D9-7369-439D-9F53-ED678314466B}"/>
    <cellStyle name="Comma 11" xfId="34" xr:uid="{7D672824-932C-4593-87CF-02B134A77A1F}"/>
    <cellStyle name="Comma 2" xfId="7" xr:uid="{6BE19F08-3073-4EED-AC64-0CC1484A29E5}"/>
    <cellStyle name="Comma 2*" xfId="8" xr:uid="{D1CFC946-6D3C-41A6-80BC-5BDF8639571D}"/>
    <cellStyle name="Comma 3" xfId="4" xr:uid="{40EF1E3A-0CD5-4BA3-8E76-8D67553CC8CA}"/>
    <cellStyle name="Comma 3*" xfId="9" xr:uid="{AAAA6B2F-8840-4C3F-B6A8-13218FC08E54}"/>
    <cellStyle name="Comma 4" xfId="28" xr:uid="{93A28602-FB5F-4416-8FE3-D6158E85517F}"/>
    <cellStyle name="Comma 5" xfId="29" xr:uid="{1E96DCD3-26F4-4FD1-BD4C-026EB3FF2A35}"/>
    <cellStyle name="Comma 6" xfId="30" xr:uid="{F758A4D4-9044-4114-8C24-30C063D02968}"/>
    <cellStyle name="Comma 7" xfId="33" xr:uid="{42935385-B9C7-4CAF-B676-DAFB1C538C75}"/>
    <cellStyle name="Comma 8" xfId="31" xr:uid="{A01C378D-17A6-4573-AB6B-21780C9F0B56}"/>
    <cellStyle name="Comma 9" xfId="32" xr:uid="{790CA535-8CB5-4028-A563-93D4A976A68F}"/>
    <cellStyle name="Comma*" xfId="10" xr:uid="{D162BD4A-F9CB-4B4B-B134-61966FDE5512}"/>
    <cellStyle name="Currency 2" xfId="11" xr:uid="{7A2463C9-D696-4B3E-899C-FDEA11F9C261}"/>
    <cellStyle name="Currency 2*" xfId="12" xr:uid="{42E27412-BA29-4FB4-BC45-E3A49F3FC49F}"/>
    <cellStyle name="Currency 3*" xfId="13" xr:uid="{6305A29E-E53B-4652-A0BA-971603DC84B0}"/>
    <cellStyle name="Currency*" xfId="14" xr:uid="{9C782469-F5A6-4327-A447-A16B66B62079}"/>
    <cellStyle name="Date Aligned*" xfId="15" xr:uid="{0373558E-3B26-444F-8975-E72F36B3EA68}"/>
    <cellStyle name="fa_row_header_standard" xfId="27" xr:uid="{811DBCE2-081A-406B-A96B-184811F28196}"/>
    <cellStyle name="Footnote" xfId="16" xr:uid="{5C2E3776-F5D5-4A2C-B574-4772ADAD0458}"/>
    <cellStyle name="Hard Percent" xfId="17" xr:uid="{A2F46C12-811D-4EAB-B354-44F5569AABB9}"/>
    <cellStyle name="Header" xfId="18" xr:uid="{C9EBA68F-D471-4A8E-8EFF-308A41789ED2}"/>
    <cellStyle name="Multiple" xfId="19" xr:uid="{F9077906-E622-4021-B90F-B4B779161B27}"/>
    <cellStyle name="MultipleBelow" xfId="20" xr:uid="{F7D824C7-798E-468C-89D5-9AE18C1C7D23}"/>
    <cellStyle name="Normal" xfId="0" builtinId="0"/>
    <cellStyle name="Page Number" xfId="21" xr:uid="{FAD5E482-BB6D-4082-8C5C-C2975196716D}"/>
    <cellStyle name="Percent" xfId="1" builtinId="5"/>
    <cellStyle name="Percent*" xfId="22" xr:uid="{8F01B2E6-F333-4D60-9407-7071C9B2566E}"/>
    <cellStyle name="Table Head" xfId="23" xr:uid="{819BBB79-148A-49AA-85AF-3B5D336B449A}"/>
    <cellStyle name="Table Head Aligned" xfId="24" xr:uid="{ADBE4FF0-99FC-4EB7-8C92-D0061A835E7A}"/>
    <cellStyle name="Table Title" xfId="25" xr:uid="{BCC1EE8C-96FD-4399-9492-D91EFCC3BC19}"/>
    <cellStyle name="Table Units" xfId="26" xr:uid="{662006EC-2CEB-4EF3-A410-CE6BB61E5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3624-1233-4171-8747-A132F18D7C65}">
  <dimension ref="A1:D10"/>
  <sheetViews>
    <sheetView workbookViewId="0">
      <selection activeCell="F8" sqref="F8"/>
    </sheetView>
  </sheetViews>
  <sheetFormatPr defaultRowHeight="14.5"/>
  <cols>
    <col min="1" max="1" width="38" customWidth="1"/>
  </cols>
  <sheetData>
    <row r="1" spans="1:4">
      <c r="A1" s="151" t="s">
        <v>236</v>
      </c>
      <c r="B1" s="152" t="s">
        <v>237</v>
      </c>
      <c r="C1" s="153" t="s">
        <v>238</v>
      </c>
      <c r="D1" s="150" t="s">
        <v>240</v>
      </c>
    </row>
    <row r="2" spans="1:4">
      <c r="A2" s="34" t="s">
        <v>229</v>
      </c>
      <c r="B2" s="27">
        <v>510</v>
      </c>
      <c r="C2" s="36">
        <v>849</v>
      </c>
      <c r="D2">
        <f>C2-B2</f>
        <v>339</v>
      </c>
    </row>
    <row r="3" spans="1:4">
      <c r="A3" s="34" t="s">
        <v>230</v>
      </c>
      <c r="B3" s="27">
        <v>325</v>
      </c>
      <c r="C3" s="36">
        <v>580</v>
      </c>
      <c r="D3" s="3">
        <f t="shared" ref="D3:D8" si="0">C3-B3</f>
        <v>255</v>
      </c>
    </row>
    <row r="4" spans="1:4">
      <c r="A4" s="34" t="s">
        <v>231</v>
      </c>
      <c r="B4" s="27">
        <f>407*0.9</f>
        <v>366.3</v>
      </c>
      <c r="C4" s="36">
        <f>407*1.1</f>
        <v>447.70000000000005</v>
      </c>
      <c r="D4" s="3">
        <f t="shared" si="0"/>
        <v>81.400000000000034</v>
      </c>
    </row>
    <row r="5" spans="1:4">
      <c r="A5" s="34" t="s">
        <v>232</v>
      </c>
      <c r="B5" s="27">
        <f>591*0.9</f>
        <v>531.9</v>
      </c>
      <c r="C5" s="36">
        <f>591*1.1</f>
        <v>650.1</v>
      </c>
      <c r="D5" s="3">
        <f t="shared" si="0"/>
        <v>118.20000000000005</v>
      </c>
    </row>
    <row r="6" spans="1:4">
      <c r="A6" s="34" t="s">
        <v>233</v>
      </c>
      <c r="B6" s="27">
        <f>348*0.9</f>
        <v>313.2</v>
      </c>
      <c r="C6" s="36">
        <f>348*1.1</f>
        <v>382.8</v>
      </c>
      <c r="D6" s="3">
        <f t="shared" si="0"/>
        <v>69.600000000000023</v>
      </c>
    </row>
    <row r="7" spans="1:4">
      <c r="A7" s="34" t="s">
        <v>234</v>
      </c>
      <c r="B7" s="27">
        <f>464*0.9</f>
        <v>417.6</v>
      </c>
      <c r="C7" s="36">
        <f>464*1.1</f>
        <v>510.40000000000003</v>
      </c>
      <c r="D7" s="3">
        <f t="shared" si="0"/>
        <v>92.800000000000011</v>
      </c>
    </row>
    <row r="8" spans="1:4" ht="15" thickBot="1">
      <c r="A8" s="37" t="s">
        <v>235</v>
      </c>
      <c r="B8" s="38">
        <v>343</v>
      </c>
      <c r="C8" s="39">
        <v>660</v>
      </c>
      <c r="D8" s="3">
        <f t="shared" si="0"/>
        <v>317</v>
      </c>
    </row>
    <row r="10" spans="1:4">
      <c r="A10" t="s">
        <v>239</v>
      </c>
      <c r="B10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8FAA-2569-4140-AADE-67C3F9AAD810}">
  <dimension ref="A1:H22"/>
  <sheetViews>
    <sheetView topLeftCell="C1" zoomScale="70" zoomScaleNormal="70" workbookViewId="0">
      <selection sqref="A1:E16"/>
    </sheetView>
  </sheetViews>
  <sheetFormatPr defaultRowHeight="14.5"/>
  <cols>
    <col min="2" max="2" width="31.90625" customWidth="1"/>
    <col min="3" max="3" width="16.54296875" customWidth="1"/>
    <col min="4" max="4" width="12.7265625" customWidth="1"/>
    <col min="5" max="5" width="16" customWidth="1"/>
    <col min="6" max="6" width="30.6328125" customWidth="1"/>
  </cols>
  <sheetData>
    <row r="1" spans="1:8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39</v>
      </c>
    </row>
    <row r="2" spans="1:8">
      <c r="A2" s="34">
        <v>1</v>
      </c>
      <c r="B2" s="27" t="s">
        <v>5</v>
      </c>
      <c r="C2" s="27" t="s">
        <v>7</v>
      </c>
      <c r="D2" s="27">
        <v>660</v>
      </c>
      <c r="E2" s="35">
        <v>45547</v>
      </c>
      <c r="F2" s="36" t="s">
        <v>6</v>
      </c>
      <c r="H2" s="1"/>
    </row>
    <row r="3" spans="1:8">
      <c r="A3" s="34">
        <v>2</v>
      </c>
      <c r="B3" s="27" t="s">
        <v>8</v>
      </c>
      <c r="C3" s="27" t="s">
        <v>10</v>
      </c>
      <c r="D3" s="27">
        <v>480</v>
      </c>
      <c r="E3" s="35">
        <v>45531</v>
      </c>
      <c r="F3" s="36" t="s">
        <v>9</v>
      </c>
      <c r="H3" s="1"/>
    </row>
    <row r="4" spans="1:8">
      <c r="A4" s="34">
        <v>3</v>
      </c>
      <c r="B4" s="27" t="s">
        <v>11</v>
      </c>
      <c r="C4" s="27" t="s">
        <v>7</v>
      </c>
      <c r="D4" s="27">
        <v>553.6</v>
      </c>
      <c r="E4" s="35">
        <v>45530</v>
      </c>
      <c r="F4" s="36" t="s">
        <v>12</v>
      </c>
      <c r="H4" s="1"/>
    </row>
    <row r="5" spans="1:8">
      <c r="A5" s="34">
        <v>4</v>
      </c>
      <c r="B5" s="27" t="s">
        <v>13</v>
      </c>
      <c r="C5" s="27" t="s">
        <v>7</v>
      </c>
      <c r="D5" s="27">
        <v>571</v>
      </c>
      <c r="E5" s="35">
        <v>45529</v>
      </c>
      <c r="F5" s="36" t="s">
        <v>14</v>
      </c>
      <c r="H5" s="1"/>
    </row>
    <row r="6" spans="1:8">
      <c r="A6" s="34">
        <v>5</v>
      </c>
      <c r="B6" s="27" t="s">
        <v>15</v>
      </c>
      <c r="C6" s="27" t="s">
        <v>17</v>
      </c>
      <c r="D6" s="27">
        <v>471.4</v>
      </c>
      <c r="E6" s="35">
        <v>45526</v>
      </c>
      <c r="F6" s="36" t="s">
        <v>16</v>
      </c>
      <c r="H6" s="1"/>
    </row>
    <row r="7" spans="1:8">
      <c r="A7" s="34">
        <v>6</v>
      </c>
      <c r="B7" s="27" t="s">
        <v>18</v>
      </c>
      <c r="C7" s="27" t="s">
        <v>10</v>
      </c>
      <c r="D7" s="27">
        <v>485</v>
      </c>
      <c r="E7" s="35">
        <v>45513</v>
      </c>
      <c r="F7" s="36" t="s">
        <v>19</v>
      </c>
      <c r="H7" s="1"/>
    </row>
    <row r="8" spans="1:8">
      <c r="A8" s="34">
        <v>7</v>
      </c>
      <c r="B8" s="27" t="s">
        <v>20</v>
      </c>
      <c r="C8" s="27" t="s">
        <v>22</v>
      </c>
      <c r="D8" s="27">
        <v>477.8</v>
      </c>
      <c r="E8" s="35">
        <v>45513</v>
      </c>
      <c r="F8" s="36" t="s">
        <v>21</v>
      </c>
      <c r="H8" s="1"/>
    </row>
    <row r="9" spans="1:8">
      <c r="A9" s="34">
        <v>8</v>
      </c>
      <c r="B9" s="27" t="s">
        <v>23</v>
      </c>
      <c r="C9" s="27" t="s">
        <v>7</v>
      </c>
      <c r="D9" s="27">
        <v>480</v>
      </c>
      <c r="E9" s="35">
        <v>45513</v>
      </c>
      <c r="F9" s="36" t="s">
        <v>24</v>
      </c>
      <c r="H9" s="1"/>
    </row>
    <row r="10" spans="1:8">
      <c r="A10" s="34">
        <v>9</v>
      </c>
      <c r="B10" s="27" t="s">
        <v>25</v>
      </c>
      <c r="C10" s="27" t="s">
        <v>7</v>
      </c>
      <c r="D10" s="27">
        <v>512</v>
      </c>
      <c r="E10" s="35">
        <v>45513</v>
      </c>
      <c r="F10" s="36" t="s">
        <v>26</v>
      </c>
      <c r="H10" s="1"/>
    </row>
    <row r="11" spans="1:8">
      <c r="A11" s="34">
        <v>10</v>
      </c>
      <c r="B11" s="27" t="s">
        <v>27</v>
      </c>
      <c r="C11" s="27" t="s">
        <v>10</v>
      </c>
      <c r="D11" s="27">
        <v>487</v>
      </c>
      <c r="E11" s="35">
        <v>45512</v>
      </c>
      <c r="F11" s="36" t="s">
        <v>28</v>
      </c>
      <c r="H11" s="1"/>
    </row>
    <row r="12" spans="1:8">
      <c r="A12" s="34">
        <v>11</v>
      </c>
      <c r="B12" s="27" t="s">
        <v>29</v>
      </c>
      <c r="C12" s="27" t="s">
        <v>7</v>
      </c>
      <c r="D12" s="27">
        <v>480</v>
      </c>
      <c r="E12" s="35">
        <v>45512</v>
      </c>
      <c r="F12" s="36" t="s">
        <v>30</v>
      </c>
      <c r="H12" s="1"/>
    </row>
    <row r="13" spans="1:8">
      <c r="A13" s="34">
        <v>12</v>
      </c>
      <c r="B13" s="27" t="s">
        <v>31</v>
      </c>
      <c r="C13" s="27" t="s">
        <v>7</v>
      </c>
      <c r="D13" s="27">
        <v>474</v>
      </c>
      <c r="E13" s="35">
        <v>45512</v>
      </c>
      <c r="F13" s="36" t="s">
        <v>32</v>
      </c>
      <c r="H13" s="1"/>
    </row>
    <row r="14" spans="1:8">
      <c r="A14" s="34">
        <v>13</v>
      </c>
      <c r="B14" s="27" t="s">
        <v>33</v>
      </c>
      <c r="C14" s="27" t="s">
        <v>7</v>
      </c>
      <c r="D14" s="27">
        <v>478</v>
      </c>
      <c r="E14" s="35">
        <v>45512</v>
      </c>
      <c r="F14" s="36" t="s">
        <v>34</v>
      </c>
      <c r="H14" s="1"/>
    </row>
    <row r="15" spans="1:8">
      <c r="A15" s="34">
        <v>14</v>
      </c>
      <c r="B15" s="27" t="s">
        <v>35</v>
      </c>
      <c r="C15" s="27" t="s">
        <v>7</v>
      </c>
      <c r="D15" s="27">
        <v>512</v>
      </c>
      <c r="E15" s="35">
        <v>45512</v>
      </c>
      <c r="F15" s="36" t="s">
        <v>36</v>
      </c>
      <c r="H15" s="1"/>
    </row>
    <row r="16" spans="1:8">
      <c r="A16" s="34">
        <v>15</v>
      </c>
      <c r="B16" s="27" t="s">
        <v>37</v>
      </c>
      <c r="C16" s="27" t="s">
        <v>17</v>
      </c>
      <c r="D16" s="27">
        <v>406.4</v>
      </c>
      <c r="E16" s="35">
        <v>45431</v>
      </c>
      <c r="F16" s="36" t="s">
        <v>38</v>
      </c>
      <c r="H16" s="1"/>
    </row>
    <row r="17" spans="2:4">
      <c r="B17" s="1"/>
    </row>
    <row r="19" spans="2:4" ht="15" thickBot="1"/>
    <row r="20" spans="2:4">
      <c r="C20" s="40" t="s">
        <v>40</v>
      </c>
      <c r="D20" s="41">
        <f>MAX(D2:D16)</f>
        <v>660</v>
      </c>
    </row>
    <row r="21" spans="2:4">
      <c r="C21" s="34" t="s">
        <v>41</v>
      </c>
      <c r="D21" s="36">
        <f>MIN(D2:D16)</f>
        <v>406.4</v>
      </c>
    </row>
    <row r="22" spans="2:4" ht="15" thickBot="1">
      <c r="C22" s="37" t="s">
        <v>42</v>
      </c>
      <c r="D22" s="39">
        <f>AVERAGE(D2:D16)</f>
        <v>501.88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5A0D-D311-41C9-B631-E1984C2A35CD}">
  <dimension ref="A1:G27"/>
  <sheetViews>
    <sheetView zoomScale="70" zoomScaleNormal="70" workbookViewId="0">
      <selection activeCell="E17" sqref="E17"/>
    </sheetView>
  </sheetViews>
  <sheetFormatPr defaultRowHeight="14.5"/>
  <cols>
    <col min="1" max="1" width="31.36328125" customWidth="1"/>
    <col min="2" max="2" width="19.6328125" customWidth="1"/>
    <col min="3" max="3" width="19.1796875" customWidth="1"/>
    <col min="5" max="5" width="15.36328125" customWidth="1"/>
    <col min="6" max="6" width="14.453125" customWidth="1"/>
    <col min="7" max="7" width="11.90625" customWidth="1"/>
  </cols>
  <sheetData>
    <row r="1" spans="1:7" ht="29">
      <c r="A1" s="42" t="s">
        <v>43</v>
      </c>
      <c r="B1" s="43" t="s">
        <v>64</v>
      </c>
      <c r="C1" s="43" t="s">
        <v>65</v>
      </c>
      <c r="D1" s="43" t="s">
        <v>52</v>
      </c>
      <c r="E1" s="43" t="s">
        <v>56</v>
      </c>
      <c r="F1" s="43" t="s">
        <v>58</v>
      </c>
      <c r="G1" s="44" t="s">
        <v>51</v>
      </c>
    </row>
    <row r="2" spans="1:7">
      <c r="A2" s="45" t="s">
        <v>44</v>
      </c>
      <c r="B2" s="46">
        <v>22101.67</v>
      </c>
      <c r="C2" s="46">
        <v>23407.99</v>
      </c>
      <c r="D2" s="46">
        <v>69.95</v>
      </c>
      <c r="E2" s="46">
        <v>6.5967863516999996</v>
      </c>
      <c r="F2" s="46">
        <v>12.09</v>
      </c>
      <c r="G2" s="47">
        <v>44.69</v>
      </c>
    </row>
    <row r="3" spans="1:7">
      <c r="A3" s="45" t="s">
        <v>45</v>
      </c>
      <c r="B3" s="46">
        <v>88250.880000000005</v>
      </c>
      <c r="C3" s="46">
        <v>88450.559999999998</v>
      </c>
      <c r="D3" s="46">
        <v>83.74</v>
      </c>
      <c r="E3" s="46">
        <v>14.794220109099999</v>
      </c>
      <c r="F3" s="46">
        <v>10.5</v>
      </c>
      <c r="G3" s="47">
        <v>61.1</v>
      </c>
    </row>
    <row r="4" spans="1:7">
      <c r="A4" s="45" t="s">
        <v>46</v>
      </c>
      <c r="B4" s="46">
        <v>26714.04</v>
      </c>
      <c r="C4" s="46">
        <v>27924.27</v>
      </c>
      <c r="D4" s="46">
        <v>33.119999999999997</v>
      </c>
      <c r="E4" s="46">
        <v>5.1958277597000002</v>
      </c>
      <c r="F4" s="46">
        <v>9.26</v>
      </c>
      <c r="G4" s="47">
        <v>27.26</v>
      </c>
    </row>
    <row r="5" spans="1:7">
      <c r="A5" s="45" t="s">
        <v>47</v>
      </c>
      <c r="B5" s="46">
        <v>100924.61</v>
      </c>
      <c r="C5" s="46">
        <v>105323.41</v>
      </c>
      <c r="D5" s="46">
        <v>97.41</v>
      </c>
      <c r="E5" s="46">
        <v>4.7956384668999998</v>
      </c>
      <c r="F5" s="46">
        <v>14.55</v>
      </c>
      <c r="G5" s="47">
        <v>52.71</v>
      </c>
    </row>
    <row r="6" spans="1:7">
      <c r="A6" s="45" t="s">
        <v>48</v>
      </c>
      <c r="B6" s="46">
        <v>44104.66</v>
      </c>
      <c r="C6" s="46">
        <v>44661.27</v>
      </c>
      <c r="D6" s="46">
        <v>68.7</v>
      </c>
      <c r="E6" s="46">
        <v>4.6023100239000003</v>
      </c>
      <c r="F6" s="46">
        <v>5.76</v>
      </c>
      <c r="G6" s="47">
        <v>43.06</v>
      </c>
    </row>
    <row r="7" spans="1:7">
      <c r="A7" s="45" t="s">
        <v>49</v>
      </c>
      <c r="B7" s="46">
        <v>5894.42</v>
      </c>
      <c r="C7" s="46">
        <v>6865.71</v>
      </c>
      <c r="D7" s="46">
        <v>131.08000000000001</v>
      </c>
      <c r="E7" s="46">
        <v>2.4863464023000001</v>
      </c>
      <c r="F7" s="46">
        <v>7.14</v>
      </c>
      <c r="G7" s="47">
        <v>36.29</v>
      </c>
    </row>
    <row r="8" spans="1:7">
      <c r="A8" s="48" t="s">
        <v>50</v>
      </c>
      <c r="B8" s="2">
        <v>3053.98</v>
      </c>
      <c r="C8" s="2">
        <v>3404.62</v>
      </c>
      <c r="D8" s="2">
        <v>39.450000000000003</v>
      </c>
      <c r="E8" s="2">
        <v>2.7479095181000002</v>
      </c>
      <c r="F8" s="2">
        <v>3.05</v>
      </c>
      <c r="G8" s="49">
        <v>23.16</v>
      </c>
    </row>
    <row r="9" spans="1:7" ht="15" thickBot="1">
      <c r="A9" s="52" t="s">
        <v>42</v>
      </c>
      <c r="B9" s="50"/>
      <c r="C9" s="50"/>
      <c r="D9" s="50">
        <f>AVERAGE(D2:D8)</f>
        <v>74.778571428571439</v>
      </c>
      <c r="E9" s="50">
        <f>AVERAGE(E2:E8)</f>
        <v>5.8884340902428587</v>
      </c>
      <c r="F9" s="50">
        <f>AVERAGE(F2:F8)</f>
        <v>8.9071428571428566</v>
      </c>
      <c r="G9" s="51">
        <f>AVERAGE(G2:G8)</f>
        <v>41.181428571428576</v>
      </c>
    </row>
    <row r="11" spans="1:7" ht="15" thickBot="1">
      <c r="A11" s="5" t="s">
        <v>44</v>
      </c>
    </row>
    <row r="12" spans="1:7">
      <c r="A12" s="53" t="s">
        <v>53</v>
      </c>
      <c r="B12" s="54">
        <f>B17/B18</f>
        <v>43.61392405063291</v>
      </c>
    </row>
    <row r="13" spans="1:7">
      <c r="A13" s="45" t="s">
        <v>54</v>
      </c>
      <c r="B13" s="36">
        <v>45.7</v>
      </c>
      <c r="C13" t="s">
        <v>67</v>
      </c>
    </row>
    <row r="14" spans="1:7">
      <c r="A14" s="45" t="s">
        <v>57</v>
      </c>
      <c r="B14" s="55">
        <f>C2/G2</f>
        <v>523.78585813381073</v>
      </c>
      <c r="C14" t="s">
        <v>66</v>
      </c>
    </row>
    <row r="15" spans="1:7">
      <c r="A15" s="45" t="s">
        <v>59</v>
      </c>
      <c r="B15" s="36">
        <v>2581</v>
      </c>
      <c r="C15" t="s">
        <v>66</v>
      </c>
    </row>
    <row r="16" spans="1:7">
      <c r="A16" s="45" t="s">
        <v>60</v>
      </c>
      <c r="B16" s="55">
        <f>B15/B12</f>
        <v>59.178348570599333</v>
      </c>
    </row>
    <row r="17" spans="1:2">
      <c r="A17" s="45" t="s">
        <v>61</v>
      </c>
      <c r="B17" s="36">
        <v>344.55</v>
      </c>
    </row>
    <row r="18" spans="1:2">
      <c r="A18" s="45" t="s">
        <v>68</v>
      </c>
      <c r="B18" s="56">
        <v>7.9</v>
      </c>
    </row>
    <row r="19" spans="1:2">
      <c r="A19" s="45"/>
      <c r="B19" s="36"/>
    </row>
    <row r="20" spans="1:2">
      <c r="A20" s="57" t="s">
        <v>55</v>
      </c>
      <c r="B20" s="58">
        <f>F9*B13</f>
        <v>407.05642857142857</v>
      </c>
    </row>
    <row r="21" spans="1:2">
      <c r="A21" s="57" t="s">
        <v>62</v>
      </c>
      <c r="B21" s="58">
        <f>D9*B18</f>
        <v>590.75071428571437</v>
      </c>
    </row>
    <row r="22" spans="1:2">
      <c r="A22" s="57" t="s">
        <v>63</v>
      </c>
      <c r="B22" s="58">
        <f>E9*B16</f>
        <v>348.46780512739184</v>
      </c>
    </row>
    <row r="23" spans="1:2">
      <c r="A23" s="57" t="s">
        <v>72</v>
      </c>
      <c r="B23" s="36"/>
    </row>
    <row r="24" spans="1:2">
      <c r="A24" s="34" t="s">
        <v>69</v>
      </c>
      <c r="B24" s="55">
        <f>G9*B14</f>
        <v>21570.249903461947</v>
      </c>
    </row>
    <row r="25" spans="1:2">
      <c r="A25" s="59" t="s">
        <v>70</v>
      </c>
      <c r="B25" s="60">
        <v>1355</v>
      </c>
    </row>
    <row r="26" spans="1:2" ht="15" thickBot="1">
      <c r="A26" s="61" t="s">
        <v>71</v>
      </c>
      <c r="B26" s="62">
        <f>B24-B25</f>
        <v>20215.249903461947</v>
      </c>
    </row>
    <row r="27" spans="1:2" ht="15.5" thickTop="1" thickBot="1">
      <c r="A27" s="52" t="s">
        <v>219</v>
      </c>
      <c r="B27" s="63">
        <f>B26/B12</f>
        <v>463.50449640792158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0BA6-0DB4-4674-A39E-9629B7EEEE25}">
  <dimension ref="A1:D15"/>
  <sheetViews>
    <sheetView workbookViewId="0">
      <selection sqref="A1:C15"/>
    </sheetView>
  </sheetViews>
  <sheetFormatPr defaultRowHeight="14.5"/>
  <cols>
    <col min="1" max="1" width="17.1796875" customWidth="1"/>
    <col min="2" max="2" width="19.453125" customWidth="1"/>
    <col min="3" max="3" width="8.7265625" style="6"/>
    <col min="4" max="4" width="26.453125" customWidth="1"/>
  </cols>
  <sheetData>
    <row r="1" spans="1:4" ht="15" thickBot="1">
      <c r="A1" s="64" t="s">
        <v>80</v>
      </c>
      <c r="B1" s="65"/>
      <c r="C1" s="66"/>
    </row>
    <row r="2" spans="1:4">
      <c r="A2" s="34" t="s">
        <v>73</v>
      </c>
      <c r="B2" s="27"/>
      <c r="C2" s="67">
        <v>7.3649999999999993E-2</v>
      </c>
      <c r="D2" s="3" t="s">
        <v>87</v>
      </c>
    </row>
    <row r="3" spans="1:4">
      <c r="A3" s="34" t="s">
        <v>74</v>
      </c>
      <c r="B3" s="27"/>
      <c r="C3" s="67">
        <v>0.39</v>
      </c>
      <c r="D3" t="s">
        <v>88</v>
      </c>
    </row>
    <row r="4" spans="1:4">
      <c r="A4" s="34" t="s">
        <v>75</v>
      </c>
      <c r="B4" s="27"/>
      <c r="C4" s="67">
        <f>SUM(C5:C6)</f>
        <v>8.3330000000000001E-2</v>
      </c>
    </row>
    <row r="5" spans="1:4">
      <c r="A5" s="34"/>
      <c r="B5" s="27" t="s">
        <v>76</v>
      </c>
      <c r="C5" s="67">
        <v>0.05</v>
      </c>
      <c r="D5" s="3" t="s">
        <v>87</v>
      </c>
    </row>
    <row r="6" spans="1:4">
      <c r="A6" s="34"/>
      <c r="B6" s="27" t="s">
        <v>77</v>
      </c>
      <c r="C6" s="67">
        <v>3.3329999999999999E-2</v>
      </c>
      <c r="D6" s="3" t="s">
        <v>87</v>
      </c>
    </row>
    <row r="7" spans="1:4">
      <c r="A7" s="34" t="s">
        <v>78</v>
      </c>
      <c r="B7" s="27"/>
      <c r="C7" s="67">
        <f>C2+C4*C3</f>
        <v>0.10614869999999998</v>
      </c>
    </row>
    <row r="8" spans="1:4" ht="15" thickBot="1">
      <c r="A8" s="34" t="s">
        <v>79</v>
      </c>
      <c r="B8" s="27"/>
      <c r="C8" s="67">
        <f>1/(1+0.74)</f>
        <v>0.57471264367816088</v>
      </c>
      <c r="D8" t="s">
        <v>86</v>
      </c>
    </row>
    <row r="9" spans="1:4" ht="15" thickBot="1">
      <c r="A9" s="64" t="s">
        <v>81</v>
      </c>
      <c r="B9" s="65"/>
      <c r="C9" s="66"/>
    </row>
    <row r="10" spans="1:4">
      <c r="A10" s="34" t="s">
        <v>82</v>
      </c>
      <c r="B10" s="27"/>
      <c r="C10" s="67">
        <f>'Financial Statements'!J37/SUM('Financial Statements'!J67,'Financial Statements'!J64,'Financial Statements'!J63)*(-1)</f>
        <v>8.12953098482396E-2</v>
      </c>
      <c r="D10" t="s">
        <v>220</v>
      </c>
    </row>
    <row r="11" spans="1:4">
      <c r="A11" s="34" t="s">
        <v>83</v>
      </c>
      <c r="B11" s="27"/>
      <c r="C11" s="67">
        <f>AVERAGE('Financial Statements'!F16:J16)</f>
        <v>0.24125429913313257</v>
      </c>
      <c r="D11" t="s">
        <v>221</v>
      </c>
    </row>
    <row r="12" spans="1:4">
      <c r="A12" s="34" t="s">
        <v>84</v>
      </c>
      <c r="B12" s="27"/>
      <c r="C12" s="67">
        <f>C10*(1-C11)</f>
        <v>6.1682466847991703E-2</v>
      </c>
    </row>
    <row r="13" spans="1:4">
      <c r="A13" s="34" t="s">
        <v>85</v>
      </c>
      <c r="B13" s="27"/>
      <c r="C13" s="67">
        <f>1-C8</f>
        <v>0.42528735632183912</v>
      </c>
      <c r="D13" s="3" t="s">
        <v>86</v>
      </c>
    </row>
    <row r="14" spans="1:4" ht="15" thickBot="1">
      <c r="A14" s="69"/>
      <c r="B14" s="26"/>
      <c r="C14" s="70"/>
    </row>
    <row r="15" spans="1:4" ht="15.5" thickTop="1" thickBot="1">
      <c r="A15" s="37" t="s">
        <v>160</v>
      </c>
      <c r="B15" s="38"/>
      <c r="C15" s="68">
        <f>C13*C12+C7*C8</f>
        <v>8.723777325719187E-2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1376-7728-4065-9BA5-94DF1928786E}">
  <dimension ref="A1:W78"/>
  <sheetViews>
    <sheetView zoomScaleNormal="100" workbookViewId="0">
      <selection activeCell="A69" sqref="A69:J69"/>
    </sheetView>
  </sheetViews>
  <sheetFormatPr defaultRowHeight="14.5"/>
  <cols>
    <col min="1" max="1" width="18.81640625" customWidth="1"/>
    <col min="11" max="15" width="9.36328125" bestFit="1" customWidth="1"/>
  </cols>
  <sheetData>
    <row r="1" spans="1:16" ht="15" thickBot="1">
      <c r="A1" s="77" t="s">
        <v>104</v>
      </c>
      <c r="B1" s="78" t="s">
        <v>105</v>
      </c>
      <c r="C1" s="78" t="s">
        <v>106</v>
      </c>
      <c r="D1" s="78" t="s">
        <v>107</v>
      </c>
      <c r="E1" s="78" t="s">
        <v>108</v>
      </c>
      <c r="F1" s="78" t="s">
        <v>109</v>
      </c>
      <c r="G1" s="78" t="s">
        <v>110</v>
      </c>
      <c r="H1" s="78" t="s">
        <v>111</v>
      </c>
      <c r="I1" s="78" t="s">
        <v>112</v>
      </c>
      <c r="J1" s="78" t="s">
        <v>113</v>
      </c>
      <c r="K1" s="78" t="s">
        <v>202</v>
      </c>
      <c r="L1" s="78" t="s">
        <v>203</v>
      </c>
      <c r="M1" s="78" t="s">
        <v>204</v>
      </c>
      <c r="N1" s="78" t="s">
        <v>205</v>
      </c>
      <c r="O1" s="79" t="s">
        <v>206</v>
      </c>
      <c r="P1" s="3"/>
    </row>
    <row r="2" spans="1:16" ht="15" thickBot="1">
      <c r="A2" s="71" t="s">
        <v>92</v>
      </c>
      <c r="B2" s="8">
        <v>512</v>
      </c>
      <c r="C2" s="8">
        <v>567</v>
      </c>
      <c r="D2" s="8">
        <v>664</v>
      </c>
      <c r="E2" s="8">
        <v>918</v>
      </c>
      <c r="F2" s="9">
        <v>1123</v>
      </c>
      <c r="G2" s="9">
        <v>1330</v>
      </c>
      <c r="H2" s="9">
        <v>1651</v>
      </c>
      <c r="I2" s="9">
        <v>2198</v>
      </c>
      <c r="J2" s="9">
        <v>2498</v>
      </c>
      <c r="K2" s="27"/>
      <c r="L2" s="27"/>
      <c r="M2" s="27"/>
      <c r="N2" s="27"/>
      <c r="O2" s="36"/>
    </row>
    <row r="3" spans="1:16" ht="27.5" thickBot="1">
      <c r="A3" s="71" t="s">
        <v>93</v>
      </c>
      <c r="B3" s="8">
        <v>403</v>
      </c>
      <c r="C3" s="8">
        <v>508</v>
      </c>
      <c r="D3" s="8">
        <v>592</v>
      </c>
      <c r="E3" s="8">
        <v>833</v>
      </c>
      <c r="F3" s="8">
        <v>873</v>
      </c>
      <c r="G3" s="8">
        <v>954</v>
      </c>
      <c r="H3" s="9">
        <v>1129</v>
      </c>
      <c r="I3" s="9">
        <v>1598</v>
      </c>
      <c r="J3" s="9">
        <v>1853</v>
      </c>
      <c r="K3" s="27"/>
      <c r="L3" s="27"/>
      <c r="M3" s="27"/>
      <c r="N3" s="27"/>
      <c r="O3" s="36"/>
    </row>
    <row r="4" spans="1:16" ht="15" thickBot="1">
      <c r="A4" s="72" t="s">
        <v>94</v>
      </c>
      <c r="B4" s="11">
        <v>127</v>
      </c>
      <c r="C4" s="11">
        <v>138</v>
      </c>
      <c r="D4" s="11">
        <v>162</v>
      </c>
      <c r="E4" s="11">
        <v>217</v>
      </c>
      <c r="F4" s="11">
        <v>257</v>
      </c>
      <c r="G4" s="11">
        <v>283</v>
      </c>
      <c r="H4" s="11">
        <v>367</v>
      </c>
      <c r="I4" s="11">
        <v>474</v>
      </c>
      <c r="J4" s="11">
        <v>537</v>
      </c>
      <c r="K4" s="27"/>
      <c r="L4" s="27"/>
      <c r="M4" s="27"/>
      <c r="N4" s="27"/>
      <c r="O4" s="36"/>
    </row>
    <row r="5" spans="1:16" ht="15" thickBot="1">
      <c r="A5" s="72" t="s">
        <v>95</v>
      </c>
      <c r="B5" s="11">
        <v>24.58</v>
      </c>
      <c r="C5" s="11">
        <v>24.42</v>
      </c>
      <c r="D5" s="11">
        <v>24.34</v>
      </c>
      <c r="E5" s="11">
        <v>22.9</v>
      </c>
      <c r="F5" s="11">
        <v>22.64</v>
      </c>
      <c r="G5" s="11">
        <v>21.73</v>
      </c>
      <c r="H5" s="11">
        <v>21.51</v>
      </c>
      <c r="I5" s="11">
        <v>21.87</v>
      </c>
      <c r="J5" s="11">
        <v>21.23</v>
      </c>
      <c r="K5" s="27"/>
      <c r="L5" s="27"/>
      <c r="M5" s="27"/>
      <c r="N5" s="27"/>
      <c r="O5" s="36"/>
    </row>
    <row r="6" spans="1:16" ht="15" thickBot="1">
      <c r="A6" s="72" t="s">
        <v>96</v>
      </c>
      <c r="B6" s="11">
        <v>80.72</v>
      </c>
      <c r="C6" s="11">
        <v>98.11</v>
      </c>
      <c r="D6" s="11">
        <v>122</v>
      </c>
      <c r="E6" s="11">
        <v>163</v>
      </c>
      <c r="F6" s="11">
        <v>198</v>
      </c>
      <c r="G6" s="11">
        <v>220</v>
      </c>
      <c r="H6" s="11">
        <v>262</v>
      </c>
      <c r="I6" s="11">
        <v>346</v>
      </c>
      <c r="J6" s="11">
        <v>422</v>
      </c>
      <c r="K6" s="27"/>
      <c r="L6" s="27"/>
      <c r="M6" s="27"/>
      <c r="N6" s="27"/>
      <c r="O6" s="36"/>
    </row>
    <row r="7" spans="1:16" ht="15" thickBot="1">
      <c r="A7" s="72" t="s">
        <v>97</v>
      </c>
      <c r="B7" s="11">
        <v>13.68</v>
      </c>
      <c r="C7" s="11">
        <v>14.18</v>
      </c>
      <c r="D7" s="11">
        <v>16.649999999999999</v>
      </c>
      <c r="E7" s="11">
        <v>20.64</v>
      </c>
      <c r="F7" s="11">
        <v>24.29</v>
      </c>
      <c r="G7" s="11">
        <v>24.31</v>
      </c>
      <c r="H7" s="11">
        <v>25.83</v>
      </c>
      <c r="I7" s="11">
        <v>43.69</v>
      </c>
      <c r="J7" s="11">
        <v>49.03</v>
      </c>
      <c r="K7" s="27"/>
      <c r="L7" s="27"/>
      <c r="M7" s="27"/>
      <c r="N7" s="27"/>
      <c r="O7" s="36"/>
    </row>
    <row r="8" spans="1:16" ht="15" thickBot="1">
      <c r="A8" s="71" t="s">
        <v>89</v>
      </c>
      <c r="B8" s="8">
        <v>109</v>
      </c>
      <c r="C8" s="8">
        <v>59.52</v>
      </c>
      <c r="D8" s="8">
        <v>71.44</v>
      </c>
      <c r="E8" s="8">
        <v>84.61</v>
      </c>
      <c r="F8" s="8">
        <v>249</v>
      </c>
      <c r="G8" s="8">
        <v>376</v>
      </c>
      <c r="H8" s="8">
        <v>522</v>
      </c>
      <c r="I8" s="8">
        <v>599</v>
      </c>
      <c r="J8" s="8">
        <v>645</v>
      </c>
      <c r="K8" s="27"/>
      <c r="L8" s="27"/>
      <c r="M8" s="27"/>
      <c r="N8" s="27"/>
      <c r="O8" s="36"/>
    </row>
    <row r="9" spans="1:16" ht="15" thickBot="1">
      <c r="A9" s="71" t="s">
        <v>99</v>
      </c>
      <c r="B9" s="8">
        <v>4.57</v>
      </c>
      <c r="C9" s="8">
        <v>3.24</v>
      </c>
      <c r="D9" s="8">
        <v>34.35</v>
      </c>
      <c r="E9" s="8">
        <v>5.86</v>
      </c>
      <c r="F9" s="8">
        <v>6.08</v>
      </c>
      <c r="G9" s="8">
        <v>10.16</v>
      </c>
      <c r="H9" s="8">
        <v>20.260000000000002</v>
      </c>
      <c r="I9" s="8">
        <v>37.409999999999997</v>
      </c>
      <c r="J9" s="8">
        <v>16.16</v>
      </c>
      <c r="K9" s="27"/>
      <c r="L9" s="27"/>
      <c r="M9" s="27"/>
      <c r="N9" s="27"/>
      <c r="O9" s="36"/>
    </row>
    <row r="10" spans="1:16" ht="15" thickBot="1">
      <c r="A10" s="71" t="s">
        <v>100</v>
      </c>
      <c r="B10" s="8">
        <v>22.16</v>
      </c>
      <c r="C10" s="8">
        <v>11.07</v>
      </c>
      <c r="D10" s="8">
        <v>15.94</v>
      </c>
      <c r="E10" s="8">
        <v>9.86</v>
      </c>
      <c r="F10" s="8">
        <v>22.76</v>
      </c>
      <c r="G10" s="8">
        <v>29.01</v>
      </c>
      <c r="H10" s="8">
        <v>32.83</v>
      </c>
      <c r="I10" s="8">
        <v>28.97</v>
      </c>
      <c r="J10" s="8">
        <v>26.46</v>
      </c>
      <c r="K10" s="27"/>
      <c r="L10" s="27"/>
      <c r="M10" s="27"/>
      <c r="N10" s="27"/>
      <c r="O10" s="36"/>
    </row>
    <row r="11" spans="1:16" ht="27.5" thickBot="1">
      <c r="A11" s="71" t="s">
        <v>101</v>
      </c>
      <c r="B11" s="8">
        <v>35.5</v>
      </c>
      <c r="C11" s="8">
        <v>35.950000000000003</v>
      </c>
      <c r="D11" s="8">
        <v>39.65</v>
      </c>
      <c r="E11" s="8">
        <v>56.12</v>
      </c>
      <c r="F11" s="8">
        <v>70.61</v>
      </c>
      <c r="G11" s="8">
        <v>69.540000000000006</v>
      </c>
      <c r="H11" s="8">
        <v>72.67</v>
      </c>
      <c r="I11" s="8">
        <v>129</v>
      </c>
      <c r="J11" s="8">
        <v>147</v>
      </c>
      <c r="K11" s="27"/>
      <c r="L11" s="27"/>
      <c r="M11" s="27"/>
      <c r="N11" s="27"/>
      <c r="O11" s="36"/>
    </row>
    <row r="12" spans="1:16" ht="15" thickBot="1">
      <c r="A12" s="71" t="s">
        <v>90</v>
      </c>
      <c r="B12" s="8">
        <v>37.04</v>
      </c>
      <c r="C12" s="8">
        <v>79.72</v>
      </c>
      <c r="D12" s="8">
        <v>88.08</v>
      </c>
      <c r="E12" s="8">
        <v>49.4</v>
      </c>
      <c r="F12" s="8">
        <v>44.43</v>
      </c>
      <c r="G12" s="8">
        <v>37.33</v>
      </c>
      <c r="H12" s="8">
        <v>21.87</v>
      </c>
      <c r="I12" s="8">
        <v>37.28</v>
      </c>
      <c r="J12" s="8">
        <v>54.57</v>
      </c>
      <c r="K12" s="27"/>
      <c r="L12" s="27"/>
      <c r="M12" s="27"/>
      <c r="N12" s="27"/>
      <c r="O12" s="36"/>
    </row>
    <row r="13" spans="1:16" ht="15" thickBot="1">
      <c r="A13" s="71" t="s">
        <v>102</v>
      </c>
      <c r="B13" s="8">
        <v>40.9</v>
      </c>
      <c r="C13" s="8">
        <v>-52.92</v>
      </c>
      <c r="D13" s="8">
        <v>-21.95</v>
      </c>
      <c r="E13" s="8">
        <v>-15.04</v>
      </c>
      <c r="F13" s="8">
        <v>141</v>
      </c>
      <c r="G13" s="8">
        <v>279</v>
      </c>
      <c r="H13" s="8">
        <v>457</v>
      </c>
      <c r="I13" s="8">
        <v>485</v>
      </c>
      <c r="J13" s="8">
        <v>460</v>
      </c>
      <c r="K13" s="27"/>
      <c r="L13" s="27"/>
      <c r="M13" s="27"/>
      <c r="N13" s="27"/>
      <c r="O13" s="36"/>
    </row>
    <row r="14" spans="1:16" ht="15" thickBot="1">
      <c r="A14" s="71" t="s">
        <v>103</v>
      </c>
      <c r="B14" s="8">
        <v>12.93</v>
      </c>
      <c r="C14" s="8">
        <v>17.88</v>
      </c>
      <c r="D14" s="8">
        <v>25.85</v>
      </c>
      <c r="E14" s="8">
        <v>33.54</v>
      </c>
      <c r="F14" s="8">
        <v>25.45</v>
      </c>
      <c r="G14" s="8">
        <v>73.540000000000006</v>
      </c>
      <c r="H14" s="8">
        <v>113</v>
      </c>
      <c r="I14" s="8">
        <v>119</v>
      </c>
      <c r="J14" s="8">
        <v>124</v>
      </c>
      <c r="K14" s="27"/>
      <c r="L14" s="27"/>
      <c r="M14" s="27"/>
      <c r="N14" s="27"/>
      <c r="O14" s="36"/>
      <c r="P14" s="3"/>
    </row>
    <row r="15" spans="1:16" ht="15" thickBot="1">
      <c r="A15" s="73" t="s">
        <v>61</v>
      </c>
      <c r="B15" s="15">
        <v>26.61</v>
      </c>
      <c r="C15" s="15">
        <v>-71.28</v>
      </c>
      <c r="D15" s="15">
        <v>-47.17</v>
      </c>
      <c r="E15" s="15">
        <v>-47.66</v>
      </c>
      <c r="F15" s="15">
        <v>119</v>
      </c>
      <c r="G15" s="15">
        <v>201</v>
      </c>
      <c r="H15" s="15">
        <v>333</v>
      </c>
      <c r="I15" s="15">
        <v>336</v>
      </c>
      <c r="J15" s="15">
        <v>310</v>
      </c>
      <c r="K15" s="27"/>
      <c r="L15" s="27"/>
      <c r="M15" s="27"/>
      <c r="N15" s="27"/>
      <c r="O15" s="36"/>
    </row>
    <row r="16" spans="1:16" ht="15" thickBot="1">
      <c r="A16" s="74" t="s">
        <v>83</v>
      </c>
      <c r="B16" s="75"/>
      <c r="C16" s="75"/>
      <c r="D16" s="75"/>
      <c r="E16" s="75"/>
      <c r="F16" s="76">
        <f>F14/F13</f>
        <v>0.1804964539007092</v>
      </c>
      <c r="G16" s="76">
        <f t="shared" ref="G16:J16" si="0">G14/G13</f>
        <v>0.26358422939068105</v>
      </c>
      <c r="H16" s="76">
        <f t="shared" si="0"/>
        <v>0.24726477024070023</v>
      </c>
      <c r="I16" s="76">
        <f t="shared" si="0"/>
        <v>0.24536082474226803</v>
      </c>
      <c r="J16" s="76">
        <f t="shared" si="0"/>
        <v>0.26956521739130435</v>
      </c>
      <c r="K16" s="38"/>
      <c r="L16" s="38"/>
      <c r="M16" s="38"/>
      <c r="N16" s="38"/>
      <c r="O16" s="39"/>
    </row>
    <row r="17" spans="1:15" ht="14.5" customHeight="1" thickBot="1">
      <c r="A17" s="84" t="s">
        <v>192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6"/>
    </row>
    <row r="18" spans="1:15" ht="15" thickBot="1">
      <c r="A18" s="77" t="s">
        <v>104</v>
      </c>
      <c r="B18" s="78" t="s">
        <v>105</v>
      </c>
      <c r="C18" s="78" t="s">
        <v>106</v>
      </c>
      <c r="D18" s="78" t="s">
        <v>107</v>
      </c>
      <c r="E18" s="78" t="s">
        <v>108</v>
      </c>
      <c r="F18" s="78" t="s">
        <v>109</v>
      </c>
      <c r="G18" s="78" t="s">
        <v>110</v>
      </c>
      <c r="H18" s="78" t="s">
        <v>111</v>
      </c>
      <c r="I18" s="78" t="s">
        <v>112</v>
      </c>
      <c r="J18" s="87" t="s">
        <v>113</v>
      </c>
      <c r="K18" s="78" t="s">
        <v>202</v>
      </c>
      <c r="L18" s="78" t="s">
        <v>203</v>
      </c>
      <c r="M18" s="78" t="s">
        <v>204</v>
      </c>
      <c r="N18" s="78" t="s">
        <v>205</v>
      </c>
      <c r="O18" s="79" t="s">
        <v>206</v>
      </c>
    </row>
    <row r="19" spans="1:15" ht="41" thickBot="1">
      <c r="A19" s="71" t="s">
        <v>114</v>
      </c>
      <c r="B19" s="8">
        <v>95.45</v>
      </c>
      <c r="C19" s="8">
        <v>82.65</v>
      </c>
      <c r="D19" s="8">
        <v>106</v>
      </c>
      <c r="E19" s="8">
        <v>134</v>
      </c>
      <c r="F19" s="8">
        <v>202</v>
      </c>
      <c r="G19" s="8">
        <v>356</v>
      </c>
      <c r="H19" s="8">
        <v>324</v>
      </c>
      <c r="I19" s="8">
        <v>432</v>
      </c>
      <c r="J19" s="14">
        <v>521</v>
      </c>
      <c r="K19" s="27"/>
      <c r="L19" s="27"/>
      <c r="M19" s="27"/>
      <c r="N19" s="27"/>
      <c r="O19" s="36"/>
    </row>
    <row r="20" spans="1:15" ht="15" thickBot="1">
      <c r="A20" s="72" t="s">
        <v>102</v>
      </c>
      <c r="B20" s="11">
        <v>40.9</v>
      </c>
      <c r="C20" s="11">
        <v>-52.92</v>
      </c>
      <c r="D20" s="11">
        <v>-21.95</v>
      </c>
      <c r="E20" s="11">
        <v>-15.04</v>
      </c>
      <c r="F20" s="11">
        <v>141</v>
      </c>
      <c r="G20" s="11">
        <v>279</v>
      </c>
      <c r="H20" s="11">
        <v>457</v>
      </c>
      <c r="I20" s="11">
        <v>485</v>
      </c>
      <c r="J20" s="12">
        <v>460</v>
      </c>
      <c r="K20" s="27"/>
      <c r="L20" s="27"/>
      <c r="M20" s="27"/>
      <c r="N20" s="27"/>
      <c r="O20" s="36"/>
    </row>
    <row r="21" spans="1:15" ht="15" thickBot="1">
      <c r="A21" s="72" t="s">
        <v>115</v>
      </c>
      <c r="B21" s="11">
        <v>71.58</v>
      </c>
      <c r="C21" s="11">
        <v>168</v>
      </c>
      <c r="D21" s="11">
        <v>160</v>
      </c>
      <c r="E21" s="11">
        <v>204</v>
      </c>
      <c r="F21" s="11">
        <v>115</v>
      </c>
      <c r="G21" s="11">
        <v>101</v>
      </c>
      <c r="H21" s="11">
        <v>68.540000000000006</v>
      </c>
      <c r="I21" s="11">
        <v>114</v>
      </c>
      <c r="J21" s="12">
        <v>186</v>
      </c>
      <c r="K21" s="27"/>
      <c r="L21" s="27"/>
      <c r="M21" s="27"/>
      <c r="N21" s="27"/>
      <c r="O21" s="36"/>
    </row>
    <row r="22" spans="1:15" ht="27.5" thickBot="1">
      <c r="A22" s="72" t="s">
        <v>116</v>
      </c>
      <c r="B22" s="11">
        <v>112</v>
      </c>
      <c r="C22" s="11">
        <v>115</v>
      </c>
      <c r="D22" s="11">
        <v>138</v>
      </c>
      <c r="E22" s="11">
        <v>189</v>
      </c>
      <c r="F22" s="11">
        <v>255</v>
      </c>
      <c r="G22" s="11">
        <v>380</v>
      </c>
      <c r="H22" s="11">
        <v>525</v>
      </c>
      <c r="I22" s="11">
        <v>599</v>
      </c>
      <c r="J22" s="12">
        <v>646</v>
      </c>
      <c r="K22" s="27"/>
      <c r="L22" s="27"/>
      <c r="M22" s="27"/>
      <c r="N22" s="27"/>
      <c r="O22" s="36"/>
    </row>
    <row r="23" spans="1:15" ht="27.5" thickBot="1">
      <c r="A23" s="72" t="s">
        <v>117</v>
      </c>
      <c r="B23" s="11">
        <v>-16.53</v>
      </c>
      <c r="C23" s="11">
        <v>-18.72</v>
      </c>
      <c r="D23" s="11">
        <v>-2.38</v>
      </c>
      <c r="E23" s="11">
        <v>-23.34</v>
      </c>
      <c r="F23" s="11">
        <v>0.12</v>
      </c>
      <c r="G23" s="11">
        <v>14.15</v>
      </c>
      <c r="H23" s="11">
        <v>-74.47</v>
      </c>
      <c r="I23" s="11">
        <v>-69.28</v>
      </c>
      <c r="J23" s="12">
        <v>15.43</v>
      </c>
      <c r="K23" s="27"/>
      <c r="L23" s="27"/>
      <c r="M23" s="27"/>
      <c r="N23" s="27"/>
      <c r="O23" s="36"/>
    </row>
    <row r="24" spans="1:15" ht="15" thickBot="1">
      <c r="A24" s="72" t="s">
        <v>118</v>
      </c>
      <c r="B24" s="11">
        <v>-0.5</v>
      </c>
      <c r="C24" s="11">
        <v>-13.96</v>
      </c>
      <c r="D24" s="11">
        <v>-29.47</v>
      </c>
      <c r="E24" s="11">
        <v>-31.46</v>
      </c>
      <c r="F24" s="11">
        <v>-53.67</v>
      </c>
      <c r="G24" s="11">
        <v>-37.74</v>
      </c>
      <c r="H24" s="11">
        <v>-127</v>
      </c>
      <c r="I24" s="11">
        <v>-97.23</v>
      </c>
      <c r="J24" s="12">
        <v>-140</v>
      </c>
      <c r="K24" s="27"/>
      <c r="L24" s="27"/>
      <c r="M24" s="27"/>
      <c r="N24" s="27"/>
      <c r="O24" s="36"/>
    </row>
    <row r="25" spans="1:15" ht="27.5" thickBot="1">
      <c r="A25" s="71" t="s">
        <v>119</v>
      </c>
      <c r="B25" s="8">
        <v>-40.71</v>
      </c>
      <c r="C25" s="8">
        <v>-69.569999999999993</v>
      </c>
      <c r="D25" s="8">
        <v>-64.209999999999994</v>
      </c>
      <c r="E25" s="8">
        <v>-110</v>
      </c>
      <c r="F25" s="8">
        <v>-125</v>
      </c>
      <c r="G25" s="8">
        <v>-354</v>
      </c>
      <c r="H25" s="8">
        <v>-412</v>
      </c>
      <c r="I25" s="8">
        <v>-547</v>
      </c>
      <c r="J25" s="14">
        <v>-753</v>
      </c>
      <c r="K25" s="27"/>
      <c r="L25" s="27"/>
      <c r="M25" s="27"/>
      <c r="N25" s="27"/>
      <c r="O25" s="36"/>
    </row>
    <row r="26" spans="1:15" ht="27.5" thickBot="1">
      <c r="A26" s="72" t="s">
        <v>120</v>
      </c>
      <c r="B26" s="11">
        <v>-34.65</v>
      </c>
      <c r="C26" s="11">
        <v>-68.92</v>
      </c>
      <c r="D26" s="11">
        <v>-56.87</v>
      </c>
      <c r="E26" s="11">
        <v>-77.14</v>
      </c>
      <c r="F26" s="11">
        <v>-51.47</v>
      </c>
      <c r="G26" s="11">
        <v>-93.58</v>
      </c>
      <c r="H26" s="11">
        <v>-170</v>
      </c>
      <c r="I26" s="11">
        <v>-572</v>
      </c>
      <c r="J26" s="12">
        <v>-646</v>
      </c>
      <c r="K26" s="27"/>
      <c r="L26" s="27"/>
      <c r="M26" s="27"/>
      <c r="N26" s="27"/>
      <c r="O26" s="36"/>
    </row>
    <row r="27" spans="1:15" ht="27.5" thickBot="1">
      <c r="A27" s="72" t="s">
        <v>121</v>
      </c>
      <c r="B27" s="16" t="s">
        <v>98</v>
      </c>
      <c r="C27" s="16" t="s">
        <v>98</v>
      </c>
      <c r="D27" s="16" t="s">
        <v>98</v>
      </c>
      <c r="E27" s="11">
        <v>-54.22</v>
      </c>
      <c r="F27" s="11">
        <v>-88.07</v>
      </c>
      <c r="G27" s="11">
        <v>-241</v>
      </c>
      <c r="H27" s="11">
        <v>-906</v>
      </c>
      <c r="I27" s="11">
        <v>-541</v>
      </c>
      <c r="J27" s="12">
        <v>-366</v>
      </c>
      <c r="K27" s="27"/>
      <c r="L27" s="27"/>
      <c r="M27" s="27"/>
      <c r="N27" s="27"/>
      <c r="O27" s="36"/>
    </row>
    <row r="28" spans="1:15" ht="15" thickBot="1">
      <c r="A28" s="72" t="s">
        <v>122</v>
      </c>
      <c r="B28" s="16" t="s">
        <v>98</v>
      </c>
      <c r="C28" s="16" t="s">
        <v>98</v>
      </c>
      <c r="D28" s="11">
        <v>-8</v>
      </c>
      <c r="E28" s="11">
        <v>26.94</v>
      </c>
      <c r="F28" s="11">
        <v>14.64</v>
      </c>
      <c r="G28" s="11">
        <v>11.38</v>
      </c>
      <c r="H28" s="11">
        <v>652</v>
      </c>
      <c r="I28" s="11">
        <v>701</v>
      </c>
      <c r="J28" s="12">
        <v>284</v>
      </c>
      <c r="K28" s="27"/>
      <c r="L28" s="27"/>
      <c r="M28" s="27"/>
      <c r="N28" s="27"/>
      <c r="O28" s="36"/>
    </row>
    <row r="29" spans="1:15" ht="15" thickBot="1">
      <c r="A29" s="72" t="s">
        <v>123</v>
      </c>
      <c r="B29" s="11">
        <v>0.11</v>
      </c>
      <c r="C29" s="11">
        <v>0.75</v>
      </c>
      <c r="D29" s="11">
        <v>0.23</v>
      </c>
      <c r="E29" s="11">
        <v>0.55000000000000004</v>
      </c>
      <c r="F29" s="11">
        <v>1.1000000000000001</v>
      </c>
      <c r="G29" s="11">
        <v>3.55</v>
      </c>
      <c r="H29" s="11">
        <v>12.07</v>
      </c>
      <c r="I29" s="11">
        <v>11.98</v>
      </c>
      <c r="J29" s="12">
        <v>1.1299999999999999</v>
      </c>
      <c r="K29" s="27"/>
      <c r="L29" s="27"/>
      <c r="M29" s="27"/>
      <c r="N29" s="27"/>
      <c r="O29" s="36"/>
    </row>
    <row r="30" spans="1:15" ht="27.5" thickBot="1">
      <c r="A30" s="72" t="s">
        <v>124</v>
      </c>
      <c r="B30" s="16" t="s">
        <v>98</v>
      </c>
      <c r="C30" s="16" t="s">
        <v>98</v>
      </c>
      <c r="D30" s="16" t="s">
        <v>98</v>
      </c>
      <c r="E30" s="16" t="s">
        <v>98</v>
      </c>
      <c r="F30" s="16" t="s">
        <v>98</v>
      </c>
      <c r="G30" s="16" t="s">
        <v>98</v>
      </c>
      <c r="H30" s="16" t="s">
        <v>98</v>
      </c>
      <c r="I30" s="16" t="s">
        <v>98</v>
      </c>
      <c r="J30" s="13" t="s">
        <v>98</v>
      </c>
      <c r="K30" s="27"/>
      <c r="L30" s="27"/>
      <c r="M30" s="27"/>
      <c r="N30" s="27"/>
      <c r="O30" s="36"/>
    </row>
    <row r="31" spans="1:15" ht="27.5" thickBot="1">
      <c r="A31" s="72" t="s">
        <v>125</v>
      </c>
      <c r="B31" s="11">
        <v>-2.86</v>
      </c>
      <c r="C31" s="16" t="s">
        <v>98</v>
      </c>
      <c r="D31" s="16" t="s">
        <v>98</v>
      </c>
      <c r="E31" s="11">
        <v>-6.67</v>
      </c>
      <c r="F31" s="11">
        <v>-1.71</v>
      </c>
      <c r="G31" s="16" t="s">
        <v>98</v>
      </c>
      <c r="H31" s="11">
        <v>-1.1299999999999999</v>
      </c>
      <c r="I31" s="11">
        <v>-147</v>
      </c>
      <c r="J31" s="13" t="s">
        <v>98</v>
      </c>
      <c r="K31" s="27"/>
      <c r="L31" s="27"/>
      <c r="M31" s="27"/>
      <c r="N31" s="27"/>
      <c r="O31" s="36"/>
    </row>
    <row r="32" spans="1:15" ht="27.5" thickBot="1">
      <c r="A32" s="71" t="s">
        <v>126</v>
      </c>
      <c r="B32" s="8">
        <v>-65.48</v>
      </c>
      <c r="C32" s="8">
        <v>-8.0299999999999994</v>
      </c>
      <c r="D32" s="8">
        <v>-39.18</v>
      </c>
      <c r="E32" s="8">
        <v>-27.04</v>
      </c>
      <c r="F32" s="8">
        <v>-44.34</v>
      </c>
      <c r="G32" s="8">
        <v>9.82</v>
      </c>
      <c r="H32" s="8">
        <v>61</v>
      </c>
      <c r="I32" s="8">
        <v>19.64</v>
      </c>
      <c r="J32" s="14">
        <v>217</v>
      </c>
      <c r="K32" s="27"/>
      <c r="L32" s="27"/>
      <c r="M32" s="27"/>
      <c r="N32" s="27"/>
      <c r="O32" s="36"/>
    </row>
    <row r="33" spans="1:15" ht="27.5" thickBot="1">
      <c r="A33" s="72" t="s">
        <v>127</v>
      </c>
      <c r="B33" s="16" t="s">
        <v>98</v>
      </c>
      <c r="C33" s="16" t="s">
        <v>98</v>
      </c>
      <c r="D33" s="16" t="s">
        <v>98</v>
      </c>
      <c r="E33" s="11">
        <v>88</v>
      </c>
      <c r="F33" s="16" t="s">
        <v>98</v>
      </c>
      <c r="G33" s="11">
        <v>95.02</v>
      </c>
      <c r="H33" s="11">
        <v>192</v>
      </c>
      <c r="I33" s="16" t="s">
        <v>98</v>
      </c>
      <c r="J33" s="13" t="s">
        <v>98</v>
      </c>
      <c r="K33" s="27"/>
      <c r="L33" s="27"/>
      <c r="M33" s="27"/>
      <c r="N33" s="27"/>
      <c r="O33" s="36"/>
    </row>
    <row r="34" spans="1:15" ht="27.5" thickBot="1">
      <c r="A34" s="71" t="s">
        <v>128</v>
      </c>
      <c r="B34" s="8">
        <v>-12.18</v>
      </c>
      <c r="C34" s="8">
        <v>0</v>
      </c>
      <c r="D34" s="8">
        <v>0</v>
      </c>
      <c r="E34" s="8">
        <v>-56.11</v>
      </c>
      <c r="F34" s="8">
        <v>9.34</v>
      </c>
      <c r="G34" s="8">
        <v>-84.54</v>
      </c>
      <c r="H34" s="8">
        <v>-46.94</v>
      </c>
      <c r="I34" s="8">
        <v>188</v>
      </c>
      <c r="J34" s="14">
        <v>442</v>
      </c>
      <c r="K34" s="27"/>
      <c r="L34" s="27"/>
      <c r="M34" s="27"/>
      <c r="N34" s="27"/>
      <c r="O34" s="36"/>
    </row>
    <row r="35" spans="1:15" ht="27.5" thickBot="1">
      <c r="A35" s="72" t="s">
        <v>129</v>
      </c>
      <c r="B35" s="11">
        <v>42.01</v>
      </c>
      <c r="C35" s="16" t="s">
        <v>98</v>
      </c>
      <c r="D35" s="16" t="s">
        <v>98</v>
      </c>
      <c r="E35" s="11">
        <v>130</v>
      </c>
      <c r="F35" s="11">
        <v>80.88</v>
      </c>
      <c r="G35" s="11">
        <v>45.51</v>
      </c>
      <c r="H35" s="11">
        <v>124</v>
      </c>
      <c r="I35" s="11">
        <v>389</v>
      </c>
      <c r="J35" s="12">
        <v>459</v>
      </c>
      <c r="K35" s="27"/>
      <c r="L35" s="27"/>
      <c r="M35" s="27"/>
      <c r="N35" s="27"/>
      <c r="O35" s="36"/>
    </row>
    <row r="36" spans="1:15" ht="27.5" thickBot="1">
      <c r="A36" s="72" t="s">
        <v>130</v>
      </c>
      <c r="B36" s="11">
        <v>-54.19</v>
      </c>
      <c r="C36" s="16" t="s">
        <v>98</v>
      </c>
      <c r="D36" s="16" t="s">
        <v>98</v>
      </c>
      <c r="E36" s="11">
        <v>-186</v>
      </c>
      <c r="F36" s="11">
        <v>-71.540000000000006</v>
      </c>
      <c r="G36" s="11">
        <v>-130</v>
      </c>
      <c r="H36" s="11">
        <v>-171</v>
      </c>
      <c r="I36" s="11">
        <v>-201</v>
      </c>
      <c r="J36" s="12">
        <v>-17.7</v>
      </c>
      <c r="K36" s="27"/>
      <c r="L36" s="27"/>
      <c r="M36" s="27"/>
      <c r="N36" s="27"/>
      <c r="O36" s="36"/>
    </row>
    <row r="37" spans="1:15" ht="15" thickBot="1">
      <c r="A37" s="72" t="s">
        <v>131</v>
      </c>
      <c r="B37" s="11">
        <v>-35.200000000000003</v>
      </c>
      <c r="C37" s="11">
        <v>-32.299999999999997</v>
      </c>
      <c r="D37" s="11">
        <v>-31.11</v>
      </c>
      <c r="E37" s="11">
        <v>-26.09</v>
      </c>
      <c r="F37" s="11">
        <v>-33.01</v>
      </c>
      <c r="G37" s="11">
        <v>-27.16</v>
      </c>
      <c r="H37" s="11">
        <v>-11.67</v>
      </c>
      <c r="I37" s="11">
        <v>-33.74</v>
      </c>
      <c r="J37" s="12">
        <v>-82.87</v>
      </c>
      <c r="K37" s="27"/>
      <c r="L37" s="27"/>
      <c r="M37" s="27"/>
      <c r="N37" s="27"/>
      <c r="O37" s="36"/>
    </row>
    <row r="38" spans="1:15" ht="15" thickBot="1">
      <c r="A38" s="72" t="s">
        <v>132</v>
      </c>
      <c r="B38" s="16" t="s">
        <v>98</v>
      </c>
      <c r="C38" s="16" t="s">
        <v>98</v>
      </c>
      <c r="D38" s="16" t="s">
        <v>98</v>
      </c>
      <c r="E38" s="16" t="s">
        <v>98</v>
      </c>
      <c r="F38" s="16" t="s">
        <v>98</v>
      </c>
      <c r="G38" s="16" t="s">
        <v>98</v>
      </c>
      <c r="H38" s="16" t="s">
        <v>98</v>
      </c>
      <c r="I38" s="16" t="s">
        <v>98</v>
      </c>
      <c r="J38" s="13" t="s">
        <v>98</v>
      </c>
      <c r="K38" s="27"/>
      <c r="L38" s="27"/>
      <c r="M38" s="27"/>
      <c r="N38" s="27"/>
      <c r="O38" s="36"/>
    </row>
    <row r="39" spans="1:15" ht="15" thickBot="1">
      <c r="A39" s="71" t="s">
        <v>133</v>
      </c>
      <c r="B39" s="8">
        <v>-10.74</v>
      </c>
      <c r="C39" s="8">
        <v>5.05</v>
      </c>
      <c r="D39" s="8">
        <v>2.68</v>
      </c>
      <c r="E39" s="8">
        <v>-2.9</v>
      </c>
      <c r="F39" s="8">
        <v>32.450000000000003</v>
      </c>
      <c r="G39" s="8">
        <v>11.62</v>
      </c>
      <c r="H39" s="8">
        <v>-26.5</v>
      </c>
      <c r="I39" s="8">
        <v>-95.17</v>
      </c>
      <c r="J39" s="14">
        <v>-14.72</v>
      </c>
      <c r="K39" s="27"/>
      <c r="L39" s="27"/>
      <c r="M39" s="27"/>
      <c r="N39" s="27"/>
      <c r="O39" s="36"/>
    </row>
    <row r="40" spans="1:15" ht="27.5" thickBot="1">
      <c r="A40" s="71" t="s">
        <v>134</v>
      </c>
      <c r="B40" s="8">
        <v>13.96</v>
      </c>
      <c r="C40" s="8">
        <v>3.23</v>
      </c>
      <c r="D40" s="8">
        <v>8.2799999999999994</v>
      </c>
      <c r="E40" s="8">
        <v>10.96</v>
      </c>
      <c r="F40" s="8">
        <v>8.06</v>
      </c>
      <c r="G40" s="8">
        <v>40.51</v>
      </c>
      <c r="H40" s="8">
        <v>52.13</v>
      </c>
      <c r="I40" s="8">
        <v>25.63</v>
      </c>
      <c r="J40" s="14">
        <v>61.61</v>
      </c>
      <c r="K40" s="27"/>
      <c r="L40" s="27"/>
      <c r="M40" s="27"/>
      <c r="N40" s="27"/>
      <c r="O40" s="36"/>
    </row>
    <row r="41" spans="1:15" ht="15" thickBot="1">
      <c r="A41" s="71" t="s">
        <v>135</v>
      </c>
      <c r="B41" s="17" t="s">
        <v>98</v>
      </c>
      <c r="C41" s="17" t="s">
        <v>98</v>
      </c>
      <c r="D41" s="17" t="s">
        <v>98</v>
      </c>
      <c r="E41" s="17" t="s">
        <v>98</v>
      </c>
      <c r="F41" s="17" t="s">
        <v>98</v>
      </c>
      <c r="G41" s="17" t="s">
        <v>98</v>
      </c>
      <c r="H41" s="17" t="s">
        <v>98</v>
      </c>
      <c r="I41" s="17" t="s">
        <v>98</v>
      </c>
      <c r="J41" s="18" t="s">
        <v>98</v>
      </c>
      <c r="K41" s="27"/>
      <c r="L41" s="27"/>
      <c r="M41" s="27"/>
      <c r="N41" s="27"/>
      <c r="O41" s="36"/>
    </row>
    <row r="42" spans="1:15" ht="27.5" thickBot="1">
      <c r="A42" s="71" t="s">
        <v>136</v>
      </c>
      <c r="B42" s="8">
        <v>3.23</v>
      </c>
      <c r="C42" s="8">
        <v>8.2799999999999994</v>
      </c>
      <c r="D42" s="8">
        <v>10.96</v>
      </c>
      <c r="E42" s="8">
        <v>8.06</v>
      </c>
      <c r="F42" s="8">
        <v>40.51</v>
      </c>
      <c r="G42" s="8">
        <v>52.13</v>
      </c>
      <c r="H42" s="8">
        <v>25.63</v>
      </c>
      <c r="I42" s="8">
        <v>61.61</v>
      </c>
      <c r="J42" s="14">
        <v>46.89</v>
      </c>
      <c r="K42" s="27"/>
      <c r="L42" s="27"/>
      <c r="M42" s="27"/>
      <c r="N42" s="27"/>
      <c r="O42" s="36"/>
    </row>
    <row r="43" spans="1:15" ht="15" thickBot="1">
      <c r="A43" s="71" t="s">
        <v>137</v>
      </c>
      <c r="B43" s="8">
        <v>34.65</v>
      </c>
      <c r="C43" s="8">
        <v>68.92</v>
      </c>
      <c r="D43" s="8">
        <v>56.87</v>
      </c>
      <c r="E43" s="8">
        <v>77.14</v>
      </c>
      <c r="F43" s="8">
        <v>51.47</v>
      </c>
      <c r="G43" s="8">
        <v>93.58</v>
      </c>
      <c r="H43" s="8">
        <v>170</v>
      </c>
      <c r="I43" s="8">
        <v>572</v>
      </c>
      <c r="J43" s="14">
        <v>646</v>
      </c>
      <c r="K43" s="27"/>
      <c r="L43" s="27"/>
      <c r="M43" s="27"/>
      <c r="N43" s="27"/>
      <c r="O43" s="36"/>
    </row>
    <row r="44" spans="1:15" ht="27.5" thickBot="1">
      <c r="A44" s="81" t="s">
        <v>138</v>
      </c>
      <c r="B44" s="82">
        <v>60.81</v>
      </c>
      <c r="C44" s="82">
        <v>13.73</v>
      </c>
      <c r="D44" s="82">
        <v>49.19</v>
      </c>
      <c r="E44" s="82">
        <v>56.77</v>
      </c>
      <c r="F44" s="82">
        <v>150</v>
      </c>
      <c r="G44" s="82">
        <v>262</v>
      </c>
      <c r="H44" s="82">
        <v>154</v>
      </c>
      <c r="I44" s="82">
        <v>-140</v>
      </c>
      <c r="J44" s="83">
        <v>-125</v>
      </c>
      <c r="K44" s="38"/>
      <c r="L44" s="38"/>
      <c r="M44" s="38"/>
      <c r="N44" s="38"/>
      <c r="O44" s="39"/>
    </row>
    <row r="45" spans="1:15" ht="15" thickBot="1">
      <c r="A45" s="92" t="s">
        <v>139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4"/>
    </row>
    <row r="46" spans="1:15" ht="15" thickBot="1">
      <c r="A46" s="77" t="s">
        <v>104</v>
      </c>
      <c r="B46" s="78" t="s">
        <v>105</v>
      </c>
      <c r="C46" s="78" t="s">
        <v>106</v>
      </c>
      <c r="D46" s="78" t="s">
        <v>107</v>
      </c>
      <c r="E46" s="78" t="s">
        <v>108</v>
      </c>
      <c r="F46" s="78" t="s">
        <v>109</v>
      </c>
      <c r="G46" s="78" t="s">
        <v>110</v>
      </c>
      <c r="H46" s="78" t="s">
        <v>111</v>
      </c>
      <c r="I46" s="78" t="s">
        <v>112</v>
      </c>
      <c r="J46" s="87" t="s">
        <v>113</v>
      </c>
      <c r="K46" s="78" t="s">
        <v>202</v>
      </c>
      <c r="L46" s="78" t="s">
        <v>203</v>
      </c>
      <c r="M46" s="78" t="s">
        <v>204</v>
      </c>
      <c r="N46" s="78" t="s">
        <v>205</v>
      </c>
      <c r="O46" s="79" t="s">
        <v>206</v>
      </c>
    </row>
    <row r="47" spans="1:15" ht="15" thickBot="1">
      <c r="A47" s="71" t="s">
        <v>140</v>
      </c>
      <c r="B47" s="8">
        <v>665</v>
      </c>
      <c r="C47" s="8">
        <v>764</v>
      </c>
      <c r="D47" s="8">
        <v>910</v>
      </c>
      <c r="E47" s="9">
        <v>1114</v>
      </c>
      <c r="F47" s="9">
        <v>1194</v>
      </c>
      <c r="G47" s="9">
        <v>1433</v>
      </c>
      <c r="H47" s="9">
        <v>1904</v>
      </c>
      <c r="I47" s="9">
        <v>2901</v>
      </c>
      <c r="J47" s="10">
        <v>3820</v>
      </c>
      <c r="K47" s="27"/>
      <c r="L47" s="27"/>
      <c r="M47" s="27"/>
      <c r="N47" s="27"/>
      <c r="O47" s="36"/>
    </row>
    <row r="48" spans="1:15" ht="27.5" thickBot="1">
      <c r="A48" s="71" t="s">
        <v>141</v>
      </c>
      <c r="B48" s="8">
        <v>509</v>
      </c>
      <c r="C48" s="8">
        <v>582</v>
      </c>
      <c r="D48" s="8">
        <v>711</v>
      </c>
      <c r="E48" s="8">
        <v>893</v>
      </c>
      <c r="F48" s="8">
        <v>940</v>
      </c>
      <c r="G48" s="8">
        <v>949</v>
      </c>
      <c r="H48" s="9">
        <v>1476</v>
      </c>
      <c r="I48" s="9">
        <v>2414</v>
      </c>
      <c r="J48" s="10">
        <v>3258</v>
      </c>
      <c r="K48" s="27"/>
      <c r="L48" s="27"/>
      <c r="M48" s="27"/>
      <c r="N48" s="27"/>
      <c r="O48" s="36"/>
    </row>
    <row r="49" spans="1:23" ht="15" thickBot="1">
      <c r="A49" s="72" t="s">
        <v>142</v>
      </c>
      <c r="B49" s="11">
        <v>515</v>
      </c>
      <c r="C49" s="11">
        <v>523</v>
      </c>
      <c r="D49" s="11">
        <v>711</v>
      </c>
      <c r="E49" s="11">
        <v>863</v>
      </c>
      <c r="F49" s="11">
        <v>916</v>
      </c>
      <c r="G49" s="11">
        <v>931</v>
      </c>
      <c r="H49" s="19">
        <v>1005</v>
      </c>
      <c r="I49" s="19">
        <v>1766</v>
      </c>
      <c r="J49" s="20">
        <v>2434</v>
      </c>
      <c r="K49" s="27"/>
      <c r="L49" s="27"/>
      <c r="M49" s="27"/>
      <c r="N49" s="27"/>
      <c r="O49" s="36"/>
    </row>
    <row r="50" spans="1:23" ht="27.5" thickBot="1">
      <c r="A50" s="72" t="s">
        <v>143</v>
      </c>
      <c r="B50" s="11">
        <v>2.39</v>
      </c>
      <c r="C50" s="11">
        <v>63.6</v>
      </c>
      <c r="D50" s="11">
        <v>0</v>
      </c>
      <c r="E50" s="11">
        <v>0.23</v>
      </c>
      <c r="F50" s="11">
        <v>2.23</v>
      </c>
      <c r="G50" s="11">
        <v>9.24</v>
      </c>
      <c r="H50" s="11">
        <v>20.76</v>
      </c>
      <c r="I50" s="11">
        <v>477</v>
      </c>
      <c r="J50" s="12">
        <v>600</v>
      </c>
      <c r="K50" s="27"/>
      <c r="L50" s="27"/>
      <c r="M50" s="27"/>
      <c r="N50" s="27"/>
      <c r="O50" s="36"/>
    </row>
    <row r="51" spans="1:23" ht="27.5" thickBot="1">
      <c r="A51" s="72" t="s">
        <v>144</v>
      </c>
      <c r="B51" s="16" t="s">
        <v>98</v>
      </c>
      <c r="C51" s="16" t="s">
        <v>98</v>
      </c>
      <c r="D51" s="16" t="s">
        <v>98</v>
      </c>
      <c r="E51" s="16" t="s">
        <v>98</v>
      </c>
      <c r="F51" s="16" t="s">
        <v>98</v>
      </c>
      <c r="G51" s="16" t="s">
        <v>98</v>
      </c>
      <c r="H51" s="16" t="s">
        <v>98</v>
      </c>
      <c r="I51" s="16" t="s">
        <v>98</v>
      </c>
      <c r="J51" s="13" t="s">
        <v>98</v>
      </c>
      <c r="K51" s="27"/>
      <c r="L51" s="27"/>
      <c r="M51" s="27"/>
      <c r="N51" s="27"/>
      <c r="O51" s="36"/>
    </row>
    <row r="52" spans="1:23" ht="27.5" thickBot="1">
      <c r="A52" s="72" t="s">
        <v>145</v>
      </c>
      <c r="B52" s="11">
        <v>10.88</v>
      </c>
      <c r="C52" s="11">
        <v>15.15</v>
      </c>
      <c r="D52" s="16" t="s">
        <v>98</v>
      </c>
      <c r="E52" s="16" t="s">
        <v>98</v>
      </c>
      <c r="F52" s="16" t="s">
        <v>98</v>
      </c>
      <c r="G52" s="16" t="s">
        <v>98</v>
      </c>
      <c r="H52" s="11">
        <v>332</v>
      </c>
      <c r="I52" s="16" t="s">
        <v>98</v>
      </c>
      <c r="J52" s="12">
        <v>74.430000000000007</v>
      </c>
      <c r="K52" s="27"/>
      <c r="L52" s="27"/>
      <c r="M52" s="27"/>
      <c r="N52" s="27"/>
      <c r="O52" s="36"/>
    </row>
    <row r="53" spans="1:23" ht="15" thickBot="1">
      <c r="A53" s="71" t="s">
        <v>146</v>
      </c>
      <c r="B53" s="8">
        <v>115</v>
      </c>
      <c r="C53" s="8">
        <v>146</v>
      </c>
      <c r="D53" s="8">
        <v>156</v>
      </c>
      <c r="E53" s="8">
        <v>174</v>
      </c>
      <c r="F53" s="8">
        <v>220</v>
      </c>
      <c r="G53" s="8">
        <v>451</v>
      </c>
      <c r="H53" s="8">
        <v>393</v>
      </c>
      <c r="I53" s="8">
        <v>478</v>
      </c>
      <c r="J53" s="14">
        <v>547</v>
      </c>
      <c r="K53" s="27"/>
      <c r="L53" s="27"/>
      <c r="M53" s="27"/>
      <c r="N53" s="27"/>
      <c r="O53" s="36"/>
    </row>
    <row r="54" spans="1:23" ht="15" thickBot="1">
      <c r="A54" s="72" t="s">
        <v>147</v>
      </c>
      <c r="B54" s="11">
        <v>12.31</v>
      </c>
      <c r="C54" s="11">
        <v>16.41</v>
      </c>
      <c r="D54" s="11">
        <v>20.14</v>
      </c>
      <c r="E54" s="11">
        <v>26.86</v>
      </c>
      <c r="F54" s="11">
        <v>30.38</v>
      </c>
      <c r="G54" s="11">
        <v>24.09</v>
      </c>
      <c r="H54" s="11">
        <v>36.43</v>
      </c>
      <c r="I54" s="11">
        <v>42.87</v>
      </c>
      <c r="J54" s="12">
        <v>49.44</v>
      </c>
      <c r="K54" s="25">
        <f>J54*(1+$K$71)</f>
        <v>57.017005617164408</v>
      </c>
      <c r="L54" s="25">
        <f t="shared" ref="L54:O54" si="1">K54*(1+$K$71)</f>
        <v>65.755237248134264</v>
      </c>
      <c r="M54" s="25">
        <f t="shared" si="1"/>
        <v>75.832660427484825</v>
      </c>
      <c r="N54" s="25">
        <f t="shared" si="1"/>
        <v>87.454515080065207</v>
      </c>
      <c r="O54" s="88">
        <f t="shared" si="1"/>
        <v>100.85749550093988</v>
      </c>
      <c r="Q54" s="7" t="s">
        <v>198</v>
      </c>
      <c r="R54" s="7"/>
      <c r="S54" s="7"/>
      <c r="T54" s="7"/>
      <c r="U54" s="7"/>
      <c r="V54" s="7"/>
      <c r="W54" s="7"/>
    </row>
    <row r="55" spans="1:23" ht="27.5" thickBot="1">
      <c r="A55" s="72" t="s">
        <v>148</v>
      </c>
      <c r="B55" s="11">
        <v>66.47</v>
      </c>
      <c r="C55" s="11">
        <v>81.34</v>
      </c>
      <c r="D55" s="11">
        <v>108</v>
      </c>
      <c r="E55" s="11">
        <v>123</v>
      </c>
      <c r="F55" s="11">
        <v>132</v>
      </c>
      <c r="G55" s="11">
        <v>110</v>
      </c>
      <c r="H55" s="11">
        <v>129</v>
      </c>
      <c r="I55" s="11">
        <v>253</v>
      </c>
      <c r="J55" s="12">
        <v>294</v>
      </c>
      <c r="K55" s="25">
        <f>J55*(1+$J$70)</f>
        <v>341.64426877470356</v>
      </c>
      <c r="L55" s="25">
        <f t="shared" ref="L55:P55" si="2">K55*(1+$J$70)</f>
        <v>397.00954553265944</v>
      </c>
      <c r="M55" s="25">
        <f t="shared" si="2"/>
        <v>461.34706081660818</v>
      </c>
      <c r="N55" s="25">
        <f t="shared" si="2"/>
        <v>536.11081375526794</v>
      </c>
      <c r="O55" s="88">
        <f t="shared" si="2"/>
        <v>622.99043179465912</v>
      </c>
      <c r="P55" s="3"/>
      <c r="Q55" s="24" t="s">
        <v>196</v>
      </c>
      <c r="R55" s="24"/>
      <c r="S55" s="24"/>
      <c r="T55" s="24"/>
      <c r="U55" s="24"/>
      <c r="V55" s="24"/>
      <c r="W55" s="24"/>
    </row>
    <row r="56" spans="1:23" ht="27.5" thickBot="1">
      <c r="A56" s="72" t="s">
        <v>149</v>
      </c>
      <c r="B56" s="16" t="s">
        <v>98</v>
      </c>
      <c r="C56" s="16" t="s">
        <v>98</v>
      </c>
      <c r="D56" s="16" t="s">
        <v>98</v>
      </c>
      <c r="E56" s="16" t="s">
        <v>98</v>
      </c>
      <c r="F56" s="16" t="s">
        <v>98</v>
      </c>
      <c r="G56" s="16" t="s">
        <v>98</v>
      </c>
      <c r="H56" s="16" t="s">
        <v>98</v>
      </c>
      <c r="I56" s="11">
        <v>67.89</v>
      </c>
      <c r="J56" s="12">
        <v>82.97</v>
      </c>
      <c r="K56" s="27"/>
      <c r="L56" s="27"/>
      <c r="M56" s="27"/>
      <c r="N56" s="27"/>
      <c r="O56" s="36"/>
    </row>
    <row r="57" spans="1:23" ht="27.5" thickBot="1">
      <c r="A57" s="72" t="s">
        <v>150</v>
      </c>
      <c r="B57" s="11">
        <v>6.85</v>
      </c>
      <c r="C57" s="11">
        <v>8.41</v>
      </c>
      <c r="D57" s="11">
        <v>11.35</v>
      </c>
      <c r="E57" s="11">
        <v>10.199999999999999</v>
      </c>
      <c r="F57" s="11">
        <v>45.73</v>
      </c>
      <c r="G57" s="11">
        <v>284</v>
      </c>
      <c r="H57" s="11">
        <v>190</v>
      </c>
      <c r="I57" s="11">
        <v>66.37</v>
      </c>
      <c r="J57" s="12">
        <v>49.01</v>
      </c>
      <c r="K57" s="27"/>
      <c r="L57" s="27"/>
      <c r="M57" s="27"/>
      <c r="N57" s="27"/>
      <c r="O57" s="36"/>
    </row>
    <row r="58" spans="1:23" ht="15" thickBot="1">
      <c r="A58" s="71" t="s">
        <v>151</v>
      </c>
      <c r="B58" s="8">
        <v>665</v>
      </c>
      <c r="C58" s="8">
        <v>764</v>
      </c>
      <c r="D58" s="8">
        <v>910</v>
      </c>
      <c r="E58" s="9">
        <v>1114</v>
      </c>
      <c r="F58" s="9">
        <v>1194</v>
      </c>
      <c r="G58" s="9">
        <v>1433</v>
      </c>
      <c r="H58" s="9">
        <v>1904</v>
      </c>
      <c r="I58" s="9">
        <v>2901</v>
      </c>
      <c r="J58" s="10">
        <v>3820</v>
      </c>
      <c r="K58" s="27"/>
      <c r="L58" s="27"/>
      <c r="M58" s="27"/>
      <c r="N58" s="27"/>
      <c r="O58" s="36"/>
    </row>
    <row r="59" spans="1:23" ht="27.5" thickBot="1">
      <c r="A59" s="71" t="s">
        <v>152</v>
      </c>
      <c r="B59" s="8">
        <v>263</v>
      </c>
      <c r="C59" s="8">
        <v>-113</v>
      </c>
      <c r="D59" s="8">
        <v>-158</v>
      </c>
      <c r="E59" s="8">
        <v>541</v>
      </c>
      <c r="F59" s="8">
        <v>598</v>
      </c>
      <c r="G59" s="8">
        <v>864</v>
      </c>
      <c r="H59" s="9">
        <v>1387</v>
      </c>
      <c r="I59" s="9">
        <v>1670</v>
      </c>
      <c r="J59" s="10">
        <v>1828</v>
      </c>
      <c r="K59" s="27"/>
      <c r="L59" s="27"/>
      <c r="M59" s="27"/>
      <c r="N59" s="27"/>
      <c r="O59" s="36"/>
    </row>
    <row r="60" spans="1:23" ht="15" thickBot="1">
      <c r="A60" s="72" t="s">
        <v>153</v>
      </c>
      <c r="B60" s="11">
        <v>70.400000000000006</v>
      </c>
      <c r="C60" s="11">
        <v>50.15</v>
      </c>
      <c r="D60" s="11">
        <v>50.15</v>
      </c>
      <c r="E60" s="11">
        <v>74.489999999999995</v>
      </c>
      <c r="F60" s="11">
        <v>74.489999999999995</v>
      </c>
      <c r="G60" s="11">
        <v>77.59</v>
      </c>
      <c r="H60" s="11">
        <v>80.03</v>
      </c>
      <c r="I60" s="11">
        <v>80.03</v>
      </c>
      <c r="J60" s="12">
        <v>80.03</v>
      </c>
      <c r="K60" s="27"/>
      <c r="L60" s="27"/>
      <c r="M60" s="27"/>
      <c r="N60" s="27"/>
      <c r="O60" s="36"/>
    </row>
    <row r="61" spans="1:23" ht="15" thickBot="1">
      <c r="A61" s="72" t="s">
        <v>91</v>
      </c>
      <c r="B61" s="11">
        <v>193</v>
      </c>
      <c r="C61" s="11">
        <v>-163</v>
      </c>
      <c r="D61" s="11">
        <v>-208</v>
      </c>
      <c r="E61" s="11">
        <v>466</v>
      </c>
      <c r="F61" s="11">
        <v>523</v>
      </c>
      <c r="G61" s="11">
        <v>786</v>
      </c>
      <c r="H61" s="19">
        <v>1307</v>
      </c>
      <c r="I61" s="19">
        <v>1590</v>
      </c>
      <c r="J61" s="20">
        <v>1748</v>
      </c>
      <c r="K61" s="27"/>
      <c r="L61" s="27"/>
      <c r="M61" s="27"/>
      <c r="N61" s="27"/>
      <c r="O61" s="36"/>
    </row>
    <row r="62" spans="1:23" ht="27.5" thickBot="1">
      <c r="A62" s="71" t="s">
        <v>154</v>
      </c>
      <c r="B62" s="8">
        <v>221</v>
      </c>
      <c r="C62" s="8">
        <v>244</v>
      </c>
      <c r="D62" s="8">
        <v>302</v>
      </c>
      <c r="E62" s="8">
        <v>347</v>
      </c>
      <c r="F62" s="8">
        <v>364</v>
      </c>
      <c r="G62" s="8">
        <v>279</v>
      </c>
      <c r="H62" s="8">
        <v>278</v>
      </c>
      <c r="I62" s="8">
        <v>667</v>
      </c>
      <c r="J62" s="10">
        <v>1275</v>
      </c>
      <c r="K62" s="27"/>
      <c r="L62" s="27"/>
      <c r="M62" s="27"/>
      <c r="N62" s="27"/>
      <c r="O62" s="36"/>
    </row>
    <row r="63" spans="1:23" ht="15" thickBot="1">
      <c r="A63" s="72" t="s">
        <v>155</v>
      </c>
      <c r="B63" s="11">
        <v>168</v>
      </c>
      <c r="C63" s="11">
        <v>191</v>
      </c>
      <c r="D63" s="11">
        <v>246</v>
      </c>
      <c r="E63" s="11">
        <v>243</v>
      </c>
      <c r="F63" s="11">
        <v>269</v>
      </c>
      <c r="G63" s="11">
        <v>185</v>
      </c>
      <c r="H63" s="11">
        <v>138</v>
      </c>
      <c r="I63" s="11">
        <v>493</v>
      </c>
      <c r="J63" s="12">
        <v>923</v>
      </c>
      <c r="K63" s="27"/>
      <c r="L63" s="27"/>
      <c r="M63" s="27"/>
      <c r="N63" s="27"/>
      <c r="O63" s="36"/>
    </row>
    <row r="64" spans="1:23" ht="15" thickBot="1">
      <c r="A64" s="72" t="s">
        <v>156</v>
      </c>
      <c r="B64" s="11">
        <v>6.39</v>
      </c>
      <c r="C64" s="11">
        <v>7.88</v>
      </c>
      <c r="D64" s="11">
        <v>2.71</v>
      </c>
      <c r="E64" s="16" t="s">
        <v>98</v>
      </c>
      <c r="F64" s="16" t="s">
        <v>98</v>
      </c>
      <c r="G64" s="16" t="s">
        <v>98</v>
      </c>
      <c r="H64" s="16" t="s">
        <v>98</v>
      </c>
      <c r="I64" s="11">
        <v>4.9000000000000004</v>
      </c>
      <c r="J64" s="12">
        <v>4.9000000000000004</v>
      </c>
      <c r="K64" s="27"/>
      <c r="L64" s="27"/>
      <c r="M64" s="27"/>
      <c r="N64" s="27"/>
      <c r="O64" s="36"/>
    </row>
    <row r="65" spans="1:23" ht="27.5" thickBot="1">
      <c r="A65" s="71" t="s">
        <v>157</v>
      </c>
      <c r="B65" s="8">
        <v>174</v>
      </c>
      <c r="C65" s="8">
        <v>629</v>
      </c>
      <c r="D65" s="8">
        <v>745</v>
      </c>
      <c r="E65" s="8">
        <v>201</v>
      </c>
      <c r="F65" s="8">
        <v>219</v>
      </c>
      <c r="G65" s="8">
        <v>278</v>
      </c>
      <c r="H65" s="8">
        <v>215</v>
      </c>
      <c r="I65" s="8">
        <v>296</v>
      </c>
      <c r="J65" s="14">
        <v>452</v>
      </c>
      <c r="K65" s="27"/>
      <c r="L65" s="27"/>
      <c r="M65" s="27"/>
      <c r="N65" s="27"/>
      <c r="O65" s="36"/>
    </row>
    <row r="66" spans="1:23" ht="15" thickBot="1">
      <c r="A66" s="72" t="s">
        <v>158</v>
      </c>
      <c r="B66" s="11">
        <v>66.84</v>
      </c>
      <c r="C66" s="11">
        <v>79.16</v>
      </c>
      <c r="D66" s="11">
        <v>94.96</v>
      </c>
      <c r="E66" s="11">
        <v>104</v>
      </c>
      <c r="F66" s="11">
        <v>123</v>
      </c>
      <c r="G66" s="11">
        <v>132</v>
      </c>
      <c r="H66" s="11">
        <v>130</v>
      </c>
      <c r="I66" s="11">
        <v>174</v>
      </c>
      <c r="J66" s="12">
        <v>197</v>
      </c>
      <c r="K66" s="25">
        <f>197*(1+K72)</f>
        <v>225.02746464777164</v>
      </c>
      <c r="L66" s="25">
        <f t="shared" ref="L66:O66" si="3">197*(1+L72)</f>
        <v>197</v>
      </c>
      <c r="M66" s="25">
        <f t="shared" si="3"/>
        <v>197</v>
      </c>
      <c r="N66" s="25">
        <f t="shared" si="3"/>
        <v>197</v>
      </c>
      <c r="O66" s="88">
        <f t="shared" si="3"/>
        <v>197</v>
      </c>
      <c r="Q66" s="7" t="s">
        <v>200</v>
      </c>
      <c r="R66" s="7"/>
      <c r="S66" s="7"/>
      <c r="T66" s="7"/>
      <c r="U66" s="7"/>
      <c r="V66" s="7"/>
      <c r="W66" s="7"/>
    </row>
    <row r="67" spans="1:23" ht="15" thickBot="1">
      <c r="A67" s="89" t="s">
        <v>159</v>
      </c>
      <c r="B67" s="90">
        <v>16.62</v>
      </c>
      <c r="C67" s="90">
        <v>11.68</v>
      </c>
      <c r="D67" s="90">
        <v>30.51</v>
      </c>
      <c r="E67" s="90">
        <v>17.55</v>
      </c>
      <c r="F67" s="90">
        <v>10.11</v>
      </c>
      <c r="G67" s="90">
        <v>55.27</v>
      </c>
      <c r="H67" s="90">
        <v>1.76</v>
      </c>
      <c r="I67" s="90">
        <v>19.55</v>
      </c>
      <c r="J67" s="91">
        <v>91.47</v>
      </c>
      <c r="K67" s="38"/>
      <c r="L67" s="38"/>
      <c r="M67" s="38"/>
      <c r="N67" s="38"/>
      <c r="O67" s="39"/>
    </row>
    <row r="68" spans="1:23" ht="15" thickBot="1"/>
    <row r="69" spans="1:23">
      <c r="A69" s="92" t="s">
        <v>222</v>
      </c>
      <c r="B69" s="93"/>
      <c r="C69" s="93"/>
      <c r="D69" s="93"/>
      <c r="E69" s="93"/>
      <c r="F69" s="93"/>
      <c r="G69" s="93"/>
      <c r="H69" s="93"/>
      <c r="I69" s="93"/>
      <c r="J69" s="93"/>
      <c r="K69" s="41" t="s">
        <v>181</v>
      </c>
    </row>
    <row r="70" spans="1:23">
      <c r="A70" s="34" t="s">
        <v>195</v>
      </c>
      <c r="B70" s="28"/>
      <c r="C70" s="28"/>
      <c r="D70" s="28"/>
      <c r="E70" s="28"/>
      <c r="F70" s="28">
        <f>(F55-E55)/E55</f>
        <v>7.3170731707317069E-2</v>
      </c>
      <c r="G70" s="28">
        <f t="shared" ref="G70:J70" si="4">(G55-F55)/F55</f>
        <v>-0.16666666666666666</v>
      </c>
      <c r="H70" s="28">
        <f t="shared" si="4"/>
        <v>0.17272727272727273</v>
      </c>
      <c r="I70" s="28">
        <f t="shared" si="4"/>
        <v>0.96124031007751942</v>
      </c>
      <c r="J70" s="28">
        <f t="shared" si="4"/>
        <v>0.16205533596837945</v>
      </c>
      <c r="K70" s="95" t="s">
        <v>191</v>
      </c>
      <c r="L70" s="22"/>
      <c r="M70" s="22"/>
      <c r="N70" s="22"/>
      <c r="O70" s="22"/>
      <c r="P70" s="22"/>
      <c r="Q70" s="22"/>
    </row>
    <row r="71" spans="1:23">
      <c r="A71" s="34" t="s">
        <v>197</v>
      </c>
      <c r="B71" s="28"/>
      <c r="C71" s="28"/>
      <c r="D71" s="28"/>
      <c r="E71" s="28"/>
      <c r="F71" s="28">
        <f>(F54-E54)/E54</f>
        <v>0.13104988830975428</v>
      </c>
      <c r="G71" s="28">
        <f t="shared" ref="G71:J71" si="5">(G54-F54)/F54</f>
        <v>-0.20704410796576694</v>
      </c>
      <c r="H71" s="28">
        <f t="shared" si="5"/>
        <v>0.51224574512245746</v>
      </c>
      <c r="I71" s="28">
        <f t="shared" si="5"/>
        <v>0.17677738127916545</v>
      </c>
      <c r="J71" s="28">
        <f t="shared" si="5"/>
        <v>0.15325402379286215</v>
      </c>
      <c r="K71" s="95">
        <f>AVERAGE(F71:J71)</f>
        <v>0.15325658610769449</v>
      </c>
      <c r="L71" s="22"/>
      <c r="M71" s="22"/>
      <c r="N71" s="22"/>
      <c r="O71" s="22"/>
      <c r="P71" s="22"/>
      <c r="Q71" s="22"/>
    </row>
    <row r="72" spans="1:23" ht="15" thickBot="1">
      <c r="A72" s="34" t="s">
        <v>199</v>
      </c>
      <c r="B72" s="28"/>
      <c r="C72" s="28"/>
      <c r="D72" s="28"/>
      <c r="E72" s="28"/>
      <c r="F72" s="28">
        <f>(F66-E66)/E66</f>
        <v>0.18269230769230768</v>
      </c>
      <c r="G72" s="28">
        <f t="shared" ref="G72:J72" si="6">(G66-F66)/F66</f>
        <v>7.3170731707317069E-2</v>
      </c>
      <c r="H72" s="28">
        <f t="shared" si="6"/>
        <v>-1.5151515151515152E-2</v>
      </c>
      <c r="I72" s="28">
        <f t="shared" si="6"/>
        <v>0.33846153846153848</v>
      </c>
      <c r="J72" s="28">
        <f t="shared" si="6"/>
        <v>0.13218390804597702</v>
      </c>
      <c r="K72" s="95">
        <f>AVERAGE(F72:J72)</f>
        <v>0.14227139415112502</v>
      </c>
      <c r="L72" s="22"/>
      <c r="M72" s="22"/>
      <c r="N72" s="22"/>
      <c r="O72" s="22"/>
      <c r="P72" s="22"/>
      <c r="Q72" s="22"/>
    </row>
    <row r="73" spans="1:23">
      <c r="A73" s="40" t="s">
        <v>223</v>
      </c>
      <c r="B73" s="97"/>
      <c r="C73" s="97"/>
      <c r="D73" s="97"/>
      <c r="E73" s="97"/>
      <c r="F73" s="98">
        <f t="shared" ref="F73:J73" si="7">F54+F55-F66</f>
        <v>39.379999999999995</v>
      </c>
      <c r="G73" s="98">
        <f t="shared" si="7"/>
        <v>2.0900000000000034</v>
      </c>
      <c r="H73" s="98">
        <f t="shared" si="7"/>
        <v>35.430000000000007</v>
      </c>
      <c r="I73" s="98">
        <f t="shared" si="7"/>
        <v>121.87</v>
      </c>
      <c r="J73" s="98">
        <f t="shared" si="7"/>
        <v>146.44</v>
      </c>
      <c r="K73" s="98">
        <f>K54+K55-K66</f>
        <v>173.63380974409631</v>
      </c>
      <c r="L73" s="98">
        <f t="shared" ref="L73:O73" si="8">L54+L55-L66</f>
        <v>265.76478278079372</v>
      </c>
      <c r="M73" s="98">
        <f t="shared" si="8"/>
        <v>340.179721244093</v>
      </c>
      <c r="N73" s="98">
        <f t="shared" si="8"/>
        <v>426.56532883533316</v>
      </c>
      <c r="O73" s="99">
        <f t="shared" si="8"/>
        <v>526.84792729559899</v>
      </c>
      <c r="P73" s="22"/>
      <c r="Q73" s="22"/>
    </row>
    <row r="74" spans="1:23" ht="15" thickBot="1">
      <c r="A74" s="37" t="s">
        <v>194</v>
      </c>
      <c r="B74" s="76"/>
      <c r="C74" s="76"/>
      <c r="D74" s="76"/>
      <c r="E74" s="76"/>
      <c r="F74" s="76"/>
      <c r="G74" s="76"/>
      <c r="H74" s="76"/>
      <c r="I74" s="76"/>
      <c r="J74" s="76"/>
      <c r="K74" s="76">
        <f>(K73-J73)/J73</f>
        <v>0.18569932903644026</v>
      </c>
      <c r="L74" s="76">
        <f t="shared" ref="L74:O74" si="9">(L73-K73)/K73</f>
        <v>0.53060503120032443</v>
      </c>
      <c r="M74" s="76">
        <f t="shared" si="9"/>
        <v>0.2800030074890611</v>
      </c>
      <c r="N74" s="76">
        <f t="shared" si="9"/>
        <v>0.25394108524551035</v>
      </c>
      <c r="O74" s="96">
        <f t="shared" si="9"/>
        <v>0.2350931772492412</v>
      </c>
      <c r="P74" s="22"/>
      <c r="Q74" s="22"/>
    </row>
    <row r="75" spans="1:23">
      <c r="B75" s="22"/>
      <c r="C75" s="22"/>
      <c r="D75" s="22"/>
      <c r="E75" s="22"/>
      <c r="F75" s="100" t="s">
        <v>161</v>
      </c>
      <c r="G75" s="100" t="s">
        <v>162</v>
      </c>
      <c r="H75" s="100" t="s">
        <v>163</v>
      </c>
      <c r="I75" s="100" t="s">
        <v>164</v>
      </c>
      <c r="J75" s="100" t="s">
        <v>165</v>
      </c>
      <c r="K75" s="100" t="s">
        <v>166</v>
      </c>
      <c r="L75" s="100" t="s">
        <v>167</v>
      </c>
      <c r="M75" s="100" t="s">
        <v>168</v>
      </c>
      <c r="N75" s="100" t="s">
        <v>169</v>
      </c>
      <c r="O75" s="100" t="s">
        <v>170</v>
      </c>
      <c r="P75" s="22"/>
      <c r="Q75" s="22"/>
    </row>
    <row r="76" spans="1:2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</row>
    <row r="77" spans="1:2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</row>
    <row r="78" spans="1:2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</sheetData>
  <mergeCells count="6">
    <mergeCell ref="A69:J69"/>
    <mergeCell ref="Q55:W55"/>
    <mergeCell ref="Q54:W54"/>
    <mergeCell ref="Q66:W66"/>
    <mergeCell ref="A17:O17"/>
    <mergeCell ref="A45:O45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AFC2-9AA4-4489-9F21-7D68CA30F647}">
  <dimension ref="A1:M37"/>
  <sheetViews>
    <sheetView tabSelected="1" topLeftCell="A6" zoomScale="85" zoomScaleNormal="85" workbookViewId="0">
      <selection activeCell="A34" sqref="A34:B37"/>
    </sheetView>
  </sheetViews>
  <sheetFormatPr defaultRowHeight="14.5"/>
  <cols>
    <col min="1" max="1" width="26.81640625" style="23" customWidth="1"/>
    <col min="2" max="2" width="10.08984375" bestFit="1" customWidth="1"/>
    <col min="3" max="3" width="10.7265625" customWidth="1"/>
    <col min="4" max="4" width="11" customWidth="1"/>
    <col min="5" max="6" width="10.08984375" bestFit="1" customWidth="1"/>
    <col min="7" max="7" width="9.90625" bestFit="1" customWidth="1"/>
    <col min="8" max="8" width="12.81640625" customWidth="1"/>
    <col min="9" max="10" width="10.08984375" bestFit="1" customWidth="1"/>
    <col min="11" max="11" width="11" bestFit="1" customWidth="1"/>
    <col min="12" max="12" width="8.26953125" customWidth="1"/>
    <col min="13" max="13" width="99.90625" customWidth="1"/>
  </cols>
  <sheetData>
    <row r="1" spans="1:13" ht="15" thickBot="1">
      <c r="A1" s="141" t="s">
        <v>224</v>
      </c>
      <c r="B1" s="142"/>
      <c r="C1" s="142"/>
      <c r="D1" s="142"/>
      <c r="E1" s="142"/>
      <c r="F1" s="142"/>
      <c r="G1" s="142"/>
      <c r="H1" s="142"/>
      <c r="I1" s="142"/>
      <c r="J1" s="142"/>
      <c r="K1" s="143"/>
    </row>
    <row r="2" spans="1:13">
      <c r="A2" s="104" t="s">
        <v>171</v>
      </c>
      <c r="B2" s="105" t="s">
        <v>161</v>
      </c>
      <c r="C2" s="105" t="s">
        <v>162</v>
      </c>
      <c r="D2" s="105" t="s">
        <v>163</v>
      </c>
      <c r="E2" s="105" t="s">
        <v>164</v>
      </c>
      <c r="F2" s="106" t="s">
        <v>165</v>
      </c>
      <c r="G2" s="105" t="s">
        <v>166</v>
      </c>
      <c r="H2" s="105" t="s">
        <v>167</v>
      </c>
      <c r="I2" s="105" t="s">
        <v>168</v>
      </c>
      <c r="J2" s="105" t="s">
        <v>169</v>
      </c>
      <c r="K2" s="105" t="s">
        <v>170</v>
      </c>
      <c r="L2" s="148"/>
      <c r="M2" s="149" t="s">
        <v>180</v>
      </c>
    </row>
    <row r="3" spans="1:13" ht="15" thickBot="1">
      <c r="A3" s="107" t="s">
        <v>59</v>
      </c>
      <c r="B3" s="154">
        <f>'Financial Statements'!F2</f>
        <v>1123</v>
      </c>
      <c r="C3" s="154">
        <f>'Financial Statements'!G2</f>
        <v>1330</v>
      </c>
      <c r="D3" s="154">
        <f>'Financial Statements'!H2</f>
        <v>1651</v>
      </c>
      <c r="E3" s="154">
        <f>'Financial Statements'!I2</f>
        <v>2198</v>
      </c>
      <c r="F3" s="155">
        <f>'Financial Statements'!J2</f>
        <v>2498</v>
      </c>
      <c r="G3" s="156">
        <f>F3*(1+$G$20)*(1.1)</f>
        <v>3361.5782486410476</v>
      </c>
      <c r="H3" s="156">
        <f t="shared" ref="H3:K3" si="0">G3*(1+$G$20)*(1.1)</f>
        <v>4523.7022905270669</v>
      </c>
      <c r="I3" s="156">
        <f t="shared" si="0"/>
        <v>6087.5817546691251</v>
      </c>
      <c r="J3" s="156">
        <f t="shared" si="0"/>
        <v>8192.1066506484531</v>
      </c>
      <c r="K3" s="156">
        <f t="shared" si="0"/>
        <v>11024.182356832467</v>
      </c>
      <c r="L3" s="34"/>
      <c r="M3" s="36" t="s">
        <v>207</v>
      </c>
    </row>
    <row r="4" spans="1:13" ht="15" thickBot="1">
      <c r="A4" s="107" t="s">
        <v>172</v>
      </c>
      <c r="B4" s="154">
        <f>'Financial Statements'!F3</f>
        <v>873</v>
      </c>
      <c r="C4" s="154">
        <f>'Financial Statements'!G3</f>
        <v>954</v>
      </c>
      <c r="D4" s="154">
        <f>'Financial Statements'!H3</f>
        <v>1129</v>
      </c>
      <c r="E4" s="154">
        <f>'Financial Statements'!I3</f>
        <v>1598</v>
      </c>
      <c r="F4" s="155">
        <f>'Financial Statements'!J3</f>
        <v>1853</v>
      </c>
      <c r="G4" s="156">
        <f>G3*$G$21</f>
        <v>2452.1511432723682</v>
      </c>
      <c r="H4" s="156">
        <f t="shared" ref="H4:K4" si="1">H3*$G$21</f>
        <v>3299.8790815070738</v>
      </c>
      <c r="I4" s="156">
        <f t="shared" si="1"/>
        <v>4440.6732360047154</v>
      </c>
      <c r="J4" s="156">
        <f t="shared" si="1"/>
        <v>5975.8489029126931</v>
      </c>
      <c r="K4" s="156">
        <f t="shared" si="1"/>
        <v>8041.7468731772515</v>
      </c>
      <c r="L4" s="34"/>
      <c r="M4" s="36" t="s">
        <v>183</v>
      </c>
    </row>
    <row r="5" spans="1:13" ht="15" thickBot="1">
      <c r="A5" s="107" t="s">
        <v>89</v>
      </c>
      <c r="B5" s="154">
        <f>B3-B4</f>
        <v>250</v>
      </c>
      <c r="C5" s="154">
        <f t="shared" ref="C5:F5" si="2">C3-C4</f>
        <v>376</v>
      </c>
      <c r="D5" s="154">
        <f t="shared" si="2"/>
        <v>522</v>
      </c>
      <c r="E5" s="154">
        <f t="shared" si="2"/>
        <v>600</v>
      </c>
      <c r="F5" s="155">
        <f t="shared" si="2"/>
        <v>645</v>
      </c>
      <c r="G5" s="154">
        <f t="shared" ref="G5" si="3">G3-G4</f>
        <v>909.42710536867935</v>
      </c>
      <c r="H5" s="157">
        <f t="shared" ref="H5" si="4">H3-H4</f>
        <v>1223.8232090199931</v>
      </c>
      <c r="I5" s="157">
        <f t="shared" ref="I5" si="5">I3-I4</f>
        <v>1646.9085186644097</v>
      </c>
      <c r="J5" s="157">
        <f t="shared" ref="J5" si="6">J3-J4</f>
        <v>2216.2577477357599</v>
      </c>
      <c r="K5" s="157">
        <f t="shared" ref="K5" si="7">K3-K4</f>
        <v>2982.4354836552156</v>
      </c>
      <c r="L5" s="34"/>
      <c r="M5" s="36"/>
    </row>
    <row r="6" spans="1:13" ht="15" thickBot="1">
      <c r="A6" s="107" t="s">
        <v>99</v>
      </c>
      <c r="B6" s="154">
        <v>6.08</v>
      </c>
      <c r="C6" s="154">
        <v>10.16</v>
      </c>
      <c r="D6" s="154">
        <v>20.260000000000002</v>
      </c>
      <c r="E6" s="154">
        <v>37.409999999999997</v>
      </c>
      <c r="F6" s="155">
        <v>16.16</v>
      </c>
      <c r="G6" s="156">
        <f>F6*(1+H22)</f>
        <v>13.655618258823528</v>
      </c>
      <c r="H6" s="156">
        <f t="shared" ref="H6:K6" si="8">G6*(1+I22)</f>
        <v>31.526773281168062</v>
      </c>
      <c r="I6" s="156">
        <f t="shared" si="8"/>
        <v>20.343250705235672</v>
      </c>
      <c r="J6" s="156">
        <f t="shared" si="8"/>
        <v>48.303347443040764</v>
      </c>
      <c r="K6" s="156">
        <f t="shared" si="8"/>
        <v>20.425344607013578</v>
      </c>
      <c r="L6" s="34"/>
      <c r="M6" s="36" t="s">
        <v>185</v>
      </c>
    </row>
    <row r="7" spans="1:13">
      <c r="A7" s="107" t="s">
        <v>57</v>
      </c>
      <c r="B7" s="156">
        <f>SUM(B5:B6)</f>
        <v>256.08</v>
      </c>
      <c r="C7" s="156">
        <f t="shared" ref="C7:F7" si="9">SUM(C5:C6)</f>
        <v>386.16</v>
      </c>
      <c r="D7" s="156">
        <f t="shared" si="9"/>
        <v>542.26</v>
      </c>
      <c r="E7" s="156">
        <f t="shared" si="9"/>
        <v>637.41</v>
      </c>
      <c r="F7" s="158">
        <f t="shared" si="9"/>
        <v>661.16</v>
      </c>
      <c r="G7" s="156">
        <f t="shared" ref="G7" si="10">SUM(G5:G6)</f>
        <v>923.0827236275029</v>
      </c>
      <c r="H7" s="156">
        <f t="shared" ref="H7" si="11">SUM(H5:H6)</f>
        <v>1255.3499823011612</v>
      </c>
      <c r="I7" s="156">
        <f t="shared" ref="I7" si="12">SUM(I5:I6)</f>
        <v>1667.2517693696454</v>
      </c>
      <c r="J7" s="156">
        <f t="shared" ref="J7" si="13">SUM(J5:J6)</f>
        <v>2264.5610951788008</v>
      </c>
      <c r="K7" s="156">
        <f t="shared" ref="K7" si="14">SUM(K5:K6)</f>
        <v>3002.860828262229</v>
      </c>
      <c r="L7" s="34"/>
      <c r="M7" s="36"/>
    </row>
    <row r="8" spans="1:13" s="3" customFormat="1">
      <c r="A8" s="107" t="s">
        <v>177</v>
      </c>
      <c r="B8" s="156">
        <f>B7*(1-'Financial Statements'!F16)</f>
        <v>209.85846808510638</v>
      </c>
      <c r="C8" s="156">
        <f>C7*(1-'Financial Statements'!G16)</f>
        <v>284.37431397849463</v>
      </c>
      <c r="D8" s="156">
        <f>D7*(1-'Financial Statements'!H16)</f>
        <v>408.17820568927789</v>
      </c>
      <c r="E8" s="156">
        <f>E7*(1-'Financial Statements'!I16)</f>
        <v>481.01455670103087</v>
      </c>
      <c r="F8" s="158">
        <f>F7*(1-'Financial Statements'!J16)</f>
        <v>482.93426086956521</v>
      </c>
      <c r="G8" s="156">
        <f>G7*(1-AVERAGE('Financial Statements'!$F$16:$J$16))</f>
        <v>700.38504809684662</v>
      </c>
      <c r="H8" s="156">
        <f>H7*(1-AVERAGE('Financial Statements'!$F$16:$J$16))</f>
        <v>952.49140215430418</v>
      </c>
      <c r="I8" s="156">
        <f>I7*(1-AVERAGE('Financial Statements'!$F$16:$J$16))</f>
        <v>1265.0201122718966</v>
      </c>
      <c r="J8" s="156">
        <f>J7*(1-AVERAGE('Financial Statements'!$F$16:$J$16))</f>
        <v>1718.2259953172802</v>
      </c>
      <c r="K8" s="156">
        <f>K7*(1-AVERAGE('Financial Statements'!$F$16:$J$16))</f>
        <v>2278.4077437454871</v>
      </c>
      <c r="L8" s="34"/>
      <c r="M8" s="36" t="s">
        <v>188</v>
      </c>
    </row>
    <row r="9" spans="1:13" ht="44" thickBot="1">
      <c r="A9" s="107" t="s">
        <v>173</v>
      </c>
      <c r="B9" s="154">
        <f>'Financial Statements'!F11</f>
        <v>70.61</v>
      </c>
      <c r="C9" s="154">
        <f>'Financial Statements'!G11</f>
        <v>69.540000000000006</v>
      </c>
      <c r="D9" s="154">
        <f>'Financial Statements'!H11</f>
        <v>72.67</v>
      </c>
      <c r="E9" s="154">
        <f>'Financial Statements'!I11</f>
        <v>129</v>
      </c>
      <c r="F9" s="155">
        <f>'Financial Statements'!J11</f>
        <v>147</v>
      </c>
      <c r="G9" s="159">
        <f>F9*(1+H25)</f>
        <v>167.51162790697674</v>
      </c>
      <c r="H9" s="159">
        <f t="shared" ref="H9:K9" si="15">G9*(1+I25)</f>
        <v>190.88534342888047</v>
      </c>
      <c r="I9" s="159">
        <f t="shared" si="15"/>
        <v>217.52050762825914</v>
      </c>
      <c r="J9" s="159">
        <f t="shared" si="15"/>
        <v>247.87220636708599</v>
      </c>
      <c r="K9" s="159">
        <f t="shared" si="15"/>
        <v>282.45902586016774</v>
      </c>
      <c r="L9" s="34"/>
      <c r="M9" s="147" t="s">
        <v>190</v>
      </c>
    </row>
    <row r="10" spans="1:13">
      <c r="A10" s="107" t="s">
        <v>174</v>
      </c>
      <c r="B10" s="156">
        <f>-'Financial Statements'!F23</f>
        <v>-0.12</v>
      </c>
      <c r="C10" s="156">
        <f>-'Financial Statements'!G23</f>
        <v>-14.15</v>
      </c>
      <c r="D10" s="156">
        <f>-'Financial Statements'!H23</f>
        <v>74.47</v>
      </c>
      <c r="E10" s="156">
        <f>-'Financial Statements'!I23</f>
        <v>69.28</v>
      </c>
      <c r="F10" s="158">
        <f>-'Financial Statements'!J23</f>
        <v>-15.43</v>
      </c>
      <c r="G10" s="156">
        <f>F10*'Financial Statements'!K74+F10</f>
        <v>-18.295340647032273</v>
      </c>
      <c r="H10" s="156">
        <f>G10*'Financial Statements'!L74+G10</f>
        <v>-28.002940441871395</v>
      </c>
      <c r="I10" s="156">
        <f>H10*'Financial Statements'!M74+H10</f>
        <v>-35.843847984132445</v>
      </c>
      <c r="J10" s="156">
        <f>I10*'Financial Statements'!N74+I10</f>
        <v>-44.946073640598136</v>
      </c>
      <c r="K10" s="156">
        <f>J10*'Financial Statements'!O74+J10</f>
        <v>-55.512588897644719</v>
      </c>
      <c r="L10" s="34"/>
      <c r="M10" s="36" t="s">
        <v>201</v>
      </c>
    </row>
    <row r="11" spans="1:13" ht="15" thickBot="1">
      <c r="A11" s="108" t="s">
        <v>175</v>
      </c>
      <c r="B11" s="160">
        <f>-'Financial Statements'!F43</f>
        <v>-51.47</v>
      </c>
      <c r="C11" s="160">
        <f>-'Financial Statements'!G43</f>
        <v>-93.58</v>
      </c>
      <c r="D11" s="160">
        <f>-'Financial Statements'!H43</f>
        <v>-170</v>
      </c>
      <c r="E11" s="160">
        <f>-'Financial Statements'!I43</f>
        <v>-572</v>
      </c>
      <c r="F11" s="161">
        <f>-'Financial Statements'!J43</f>
        <v>-646</v>
      </c>
      <c r="G11" s="160">
        <f>F11*1.1</f>
        <v>-710.6</v>
      </c>
      <c r="H11" s="160">
        <f t="shared" ref="H11:K11" si="16">G11*1.1</f>
        <v>-781.66000000000008</v>
      </c>
      <c r="I11" s="160">
        <f t="shared" si="16"/>
        <v>-859.82600000000014</v>
      </c>
      <c r="J11" s="160">
        <f t="shared" si="16"/>
        <v>-945.80860000000018</v>
      </c>
      <c r="K11" s="160">
        <f t="shared" si="16"/>
        <v>-1040.3894600000003</v>
      </c>
      <c r="L11" s="37"/>
      <c r="M11" s="39" t="s">
        <v>227</v>
      </c>
    </row>
    <row r="12" spans="1:13" ht="15" thickTop="1">
      <c r="A12" s="103" t="s">
        <v>176</v>
      </c>
      <c r="B12" s="156">
        <f>SUM(B8:B11)</f>
        <v>228.87846808510639</v>
      </c>
      <c r="C12" s="156">
        <f>SUM(C8:C11)</f>
        <v>246.18431397849469</v>
      </c>
      <c r="D12" s="156">
        <f>SUM(D8:D11)</f>
        <v>385.31820568927787</v>
      </c>
      <c r="E12" s="156">
        <f>SUM(E8:E11)</f>
        <v>107.29455670103084</v>
      </c>
      <c r="F12" s="158">
        <f>SUM(F8:F11)</f>
        <v>-31.495739130434799</v>
      </c>
      <c r="G12" s="156">
        <f>SUM(G8:G11)</f>
        <v>139.00133535679106</v>
      </c>
      <c r="H12" s="156">
        <f>SUM(H8:H11)</f>
        <v>333.71380514131306</v>
      </c>
      <c r="I12" s="156">
        <f>SUM(I8:I11)</f>
        <v>586.87077191602305</v>
      </c>
      <c r="J12" s="156">
        <f>SUM(J8:J11)</f>
        <v>975.34352804376783</v>
      </c>
      <c r="K12" s="162">
        <f>SUM(K8:K11)</f>
        <v>1464.9647207080097</v>
      </c>
    </row>
    <row r="13" spans="1:13" ht="15" thickBot="1">
      <c r="A13" s="102" t="s">
        <v>209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4">
        <f>K12*(1+B16)/(B15-B16)</f>
        <v>41307.866238922586</v>
      </c>
    </row>
    <row r="14" spans="1:13" ht="15" thickBot="1"/>
    <row r="15" spans="1:13">
      <c r="A15" s="114" t="s">
        <v>160</v>
      </c>
      <c r="B15" s="115">
        <f>'WACC Calculation'!C15</f>
        <v>8.723777325719187E-2</v>
      </c>
      <c r="C15" s="146" t="s">
        <v>225</v>
      </c>
      <c r="D15" s="113"/>
      <c r="E15" s="113"/>
    </row>
    <row r="16" spans="1:13" ht="15" thickBot="1">
      <c r="A16" s="102" t="s">
        <v>178</v>
      </c>
      <c r="B16" s="116">
        <v>0.05</v>
      </c>
      <c r="C16" s="146" t="s">
        <v>228</v>
      </c>
      <c r="D16" s="113"/>
      <c r="E16" s="113"/>
    </row>
    <row r="17" spans="1:13" ht="15" thickBot="1">
      <c r="B17" s="4"/>
    </row>
    <row r="18" spans="1:13">
      <c r="A18" s="138" t="s">
        <v>193</v>
      </c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40"/>
    </row>
    <row r="19" spans="1:13">
      <c r="A19" s="109"/>
      <c r="B19" s="117" t="s">
        <v>161</v>
      </c>
      <c r="C19" s="117" t="s">
        <v>162</v>
      </c>
      <c r="D19" s="117" t="s">
        <v>163</v>
      </c>
      <c r="E19" s="117" t="s">
        <v>164</v>
      </c>
      <c r="F19" s="118" t="s">
        <v>165</v>
      </c>
      <c r="G19" s="117" t="s">
        <v>181</v>
      </c>
      <c r="H19" s="117" t="s">
        <v>166</v>
      </c>
      <c r="I19" s="117" t="s">
        <v>167</v>
      </c>
      <c r="J19" s="117" t="s">
        <v>168</v>
      </c>
      <c r="K19" s="117" t="s">
        <v>169</v>
      </c>
      <c r="L19" s="119" t="s">
        <v>170</v>
      </c>
    </row>
    <row r="20" spans="1:13">
      <c r="A20" s="101" t="s">
        <v>179</v>
      </c>
      <c r="B20" s="27" t="s">
        <v>187</v>
      </c>
      <c r="C20" s="28">
        <f>(C3-B3)/B3</f>
        <v>0.18432769367764915</v>
      </c>
      <c r="D20" s="28">
        <f t="shared" ref="D20:F20" si="17">(D3-C3)/C3</f>
        <v>0.24135338345864663</v>
      </c>
      <c r="E20" s="28">
        <f t="shared" si="17"/>
        <v>0.33131435493640216</v>
      </c>
      <c r="F20" s="28">
        <f t="shared" si="17"/>
        <v>0.13648771610555049</v>
      </c>
      <c r="G20" s="29">
        <f>AVERAGE(C20:F20)</f>
        <v>0.22337078704456209</v>
      </c>
      <c r="H20" s="29">
        <f>G20</f>
        <v>0.22337078704456209</v>
      </c>
      <c r="I20" s="29">
        <f t="shared" ref="I20:L20" si="18">H20</f>
        <v>0.22337078704456209</v>
      </c>
      <c r="J20" s="29">
        <f t="shared" si="18"/>
        <v>0.22337078704456209</v>
      </c>
      <c r="K20" s="29">
        <f t="shared" si="18"/>
        <v>0.22337078704456209</v>
      </c>
      <c r="L20" s="110">
        <f t="shared" si="18"/>
        <v>0.22337078704456209</v>
      </c>
    </row>
    <row r="21" spans="1:13">
      <c r="A21" s="101" t="s">
        <v>182</v>
      </c>
      <c r="B21" s="28">
        <f>B4/B3</f>
        <v>0.77738201246660732</v>
      </c>
      <c r="C21" s="28">
        <f t="shared" ref="C21:F21" si="19">C4/C3</f>
        <v>0.71729323308270676</v>
      </c>
      <c r="D21" s="28">
        <f t="shared" si="19"/>
        <v>0.68382798304058146</v>
      </c>
      <c r="E21" s="28">
        <f t="shared" si="19"/>
        <v>0.72702456778889901</v>
      </c>
      <c r="F21" s="28">
        <f t="shared" si="19"/>
        <v>0.74179343474779824</v>
      </c>
      <c r="G21" s="28">
        <f>AVERAGE(B21:F21)</f>
        <v>0.72946424622531858</v>
      </c>
      <c r="H21" s="28">
        <v>0.72946424622531858</v>
      </c>
      <c r="I21" s="28">
        <v>0.72946424622531858</v>
      </c>
      <c r="J21" s="28">
        <v>0.72946424622531858</v>
      </c>
      <c r="K21" s="28">
        <v>0.72946424622531858</v>
      </c>
      <c r="L21" s="95">
        <v>0.72946424622531858</v>
      </c>
    </row>
    <row r="22" spans="1:13">
      <c r="A22" s="101" t="s">
        <v>184</v>
      </c>
      <c r="B22" s="27" t="s">
        <v>187</v>
      </c>
      <c r="C22" s="30">
        <f>(C6-B6)/B6</f>
        <v>0.67105263157894735</v>
      </c>
      <c r="D22" s="30">
        <f t="shared" ref="D22:F22" si="20">(D6-C6)/C6</f>
        <v>0.9940944881889765</v>
      </c>
      <c r="E22" s="30">
        <f t="shared" si="20"/>
        <v>0.84649555774925933</v>
      </c>
      <c r="F22" s="30">
        <f t="shared" si="20"/>
        <v>-0.56802993851911254</v>
      </c>
      <c r="G22" s="29">
        <f>AVERAGE(C22:F22)</f>
        <v>0.4859031847495176</v>
      </c>
      <c r="H22" s="29">
        <f>(F22+H23)/ABS(F22)</f>
        <v>-0.15497411764705887</v>
      </c>
      <c r="I22" s="29">
        <f t="shared" ref="I22:L22" si="21">(G22+I23)/ABS(G22)</f>
        <v>1.3087034716130226</v>
      </c>
      <c r="J22" s="29">
        <f t="shared" si="21"/>
        <v>-0.3547309607676426</v>
      </c>
      <c r="K22" s="29">
        <f t="shared" si="21"/>
        <v>1.3744163675183485</v>
      </c>
      <c r="L22" s="110">
        <f t="shared" si="21"/>
        <v>-0.57714432460195197</v>
      </c>
      <c r="M22" s="21"/>
    </row>
    <row r="23" spans="1:13" ht="29">
      <c r="A23" s="101" t="s">
        <v>186</v>
      </c>
      <c r="B23" s="27" t="s">
        <v>187</v>
      </c>
      <c r="C23" s="27"/>
      <c r="D23" s="29">
        <f>ABS(D22-C22)/C22</f>
        <v>0.48139570788945524</v>
      </c>
      <c r="E23" s="29">
        <f t="shared" ref="E23:F23" si="22">ABS(E22-D22)/D22</f>
        <v>0.148475755769062</v>
      </c>
      <c r="F23" s="29">
        <f t="shared" si="22"/>
        <v>1.6710371168744738</v>
      </c>
      <c r="G23" s="29">
        <f>AVERAGE(D23:F23)</f>
        <v>0.7669695268443304</v>
      </c>
      <c r="H23" s="29">
        <v>0.48</v>
      </c>
      <c r="I23" s="29">
        <v>0.15</v>
      </c>
      <c r="J23" s="29">
        <v>0.1</v>
      </c>
      <c r="K23" s="29">
        <v>0.49</v>
      </c>
      <c r="L23" s="110">
        <v>0.15</v>
      </c>
    </row>
    <row r="24" spans="1:13">
      <c r="A24" s="101" t="s">
        <v>83</v>
      </c>
      <c r="B24" s="28">
        <f>'Financial Statements'!F16</f>
        <v>0.1804964539007092</v>
      </c>
      <c r="C24" s="28">
        <f>'Financial Statements'!G16</f>
        <v>0.26358422939068105</v>
      </c>
      <c r="D24" s="28">
        <f>'Financial Statements'!H16</f>
        <v>0.24726477024070023</v>
      </c>
      <c r="E24" s="28">
        <f>'Financial Statements'!I16</f>
        <v>0.24536082474226803</v>
      </c>
      <c r="F24" s="28">
        <f>'Financial Statements'!J16</f>
        <v>0.26956521739130435</v>
      </c>
      <c r="G24" s="29">
        <f>AVERAGE(B24:F24)</f>
        <v>0.24125429913313257</v>
      </c>
      <c r="H24" s="29">
        <f>G24</f>
        <v>0.24125429913313257</v>
      </c>
      <c r="I24" s="29">
        <f t="shared" ref="I24:L24" si="23">H24</f>
        <v>0.24125429913313257</v>
      </c>
      <c r="J24" s="29">
        <f t="shared" si="23"/>
        <v>0.24125429913313257</v>
      </c>
      <c r="K24" s="29">
        <f t="shared" si="23"/>
        <v>0.24125429913313257</v>
      </c>
      <c r="L24" s="110">
        <f t="shared" si="23"/>
        <v>0.24125429913313257</v>
      </c>
    </row>
    <row r="25" spans="1:13">
      <c r="A25" s="101" t="s">
        <v>189</v>
      </c>
      <c r="B25" s="27" t="s">
        <v>187</v>
      </c>
      <c r="C25" s="28">
        <f>(C9-B9)/B9</f>
        <v>-1.5153660954538921E-2</v>
      </c>
      <c r="D25" s="28">
        <f t="shared" ref="D25:F25" si="24">(D9-C9)/C9</f>
        <v>4.5010066148978935E-2</v>
      </c>
      <c r="E25" s="28">
        <f t="shared" si="24"/>
        <v>0.7751479289940828</v>
      </c>
      <c r="F25" s="28">
        <f t="shared" si="24"/>
        <v>0.13953488372093023</v>
      </c>
      <c r="G25" s="120" t="s">
        <v>191</v>
      </c>
      <c r="H25" s="29">
        <f>F25</f>
        <v>0.13953488372093023</v>
      </c>
      <c r="I25" s="29">
        <f>H25</f>
        <v>0.13953488372093023</v>
      </c>
      <c r="J25" s="29">
        <f t="shared" ref="I25:L25" si="25">H25</f>
        <v>0.13953488372093023</v>
      </c>
      <c r="K25" s="29">
        <f t="shared" si="25"/>
        <v>0.13953488372093023</v>
      </c>
      <c r="L25" s="110">
        <f t="shared" si="25"/>
        <v>0.13953488372093023</v>
      </c>
    </row>
    <row r="26" spans="1:13" ht="15" thickBot="1">
      <c r="A26" s="102" t="s">
        <v>208</v>
      </c>
      <c r="B26" s="38" t="s">
        <v>187</v>
      </c>
      <c r="C26" s="76">
        <f>ABS(B11)/B3</f>
        <v>4.5832591273374891E-2</v>
      </c>
      <c r="D26" s="76">
        <f t="shared" ref="D26:F26" si="26">ABS(C11)/C3</f>
        <v>7.0360902255639096E-2</v>
      </c>
      <c r="E26" s="76">
        <f t="shared" si="26"/>
        <v>0.1029678982434888</v>
      </c>
      <c r="F26" s="76">
        <f t="shared" si="26"/>
        <v>0.26023657870791628</v>
      </c>
      <c r="G26" s="121" t="s">
        <v>191</v>
      </c>
      <c r="H26" s="111">
        <f>F26</f>
        <v>0.26023657870791628</v>
      </c>
      <c r="I26" s="111">
        <f>H26</f>
        <v>0.26023657870791628</v>
      </c>
      <c r="J26" s="111">
        <f t="shared" ref="J26:L26" si="27">I26</f>
        <v>0.26023657870791628</v>
      </c>
      <c r="K26" s="111">
        <f t="shared" si="27"/>
        <v>0.26023657870791628</v>
      </c>
      <c r="L26" s="112">
        <f t="shared" si="27"/>
        <v>0.26023657870791628</v>
      </c>
    </row>
    <row r="27" spans="1:13" ht="15" thickBot="1"/>
    <row r="28" spans="1:13" ht="15" thickBot="1">
      <c r="A28" s="114" t="s">
        <v>210</v>
      </c>
      <c r="B28" s="122">
        <f>F12+NPV(B15,G12:K12)</f>
        <v>2497.585831711518</v>
      </c>
      <c r="D28" s="135" t="s">
        <v>226</v>
      </c>
      <c r="E28" s="136"/>
      <c r="F28" s="136"/>
      <c r="G28" s="136"/>
      <c r="H28" s="136"/>
      <c r="I28" s="136"/>
      <c r="J28" s="136"/>
      <c r="K28" s="137"/>
    </row>
    <row r="29" spans="1:13" ht="15" thickBot="1">
      <c r="A29" s="101" t="s">
        <v>211</v>
      </c>
      <c r="B29" s="36">
        <f>K13/((1+B15)^5)</f>
        <v>27190.05586716763</v>
      </c>
      <c r="D29" s="40"/>
      <c r="E29" s="80"/>
      <c r="F29" s="131" t="s">
        <v>160</v>
      </c>
      <c r="G29" s="132"/>
      <c r="H29" s="132"/>
      <c r="I29" s="132"/>
      <c r="J29" s="132"/>
      <c r="K29" s="133"/>
    </row>
    <row r="30" spans="1:13" ht="15" thickBot="1">
      <c r="A30" s="101" t="s">
        <v>212</v>
      </c>
      <c r="B30" s="88">
        <f>SUM(B28:B29)</f>
        <v>29687.641698879146</v>
      </c>
      <c r="D30" s="34"/>
      <c r="E30" s="134">
        <f>B35</f>
        <v>658.44297031242274</v>
      </c>
      <c r="F30" s="123">
        <v>8.3199999999999996E-2</v>
      </c>
      <c r="G30" s="123">
        <v>8.5199999999999998E-2</v>
      </c>
      <c r="H30" s="123">
        <v>8.72E-2</v>
      </c>
      <c r="I30" s="123">
        <v>8.9200000000000002E-2</v>
      </c>
      <c r="J30" s="123">
        <v>9.1200000000000003E-2</v>
      </c>
      <c r="K30" s="124">
        <v>9.3200000000000005E-2</v>
      </c>
    </row>
    <row r="31" spans="1:13">
      <c r="A31" s="101" t="s">
        <v>213</v>
      </c>
      <c r="B31" s="36">
        <f>-SUM('Financial Statements'!J63,'Financial Statements'!J64,'Financial Statements'!J67)</f>
        <v>-1019.37</v>
      </c>
      <c r="D31" s="128" t="s">
        <v>178</v>
      </c>
      <c r="E31" s="125">
        <v>5.3999999999999999E-2</v>
      </c>
      <c r="F31" s="25">
        <f t="dataTable" ref="F31:K35" dt2D="1" dtr="1" r1="B15" r2="B16"/>
        <v>848.89746078597284</v>
      </c>
      <c r="G31" s="25">
        <v>789.37878469490602</v>
      </c>
      <c r="H31" s="25">
        <v>737.05729246364444</v>
      </c>
      <c r="I31" s="25">
        <v>690.70594663801535</v>
      </c>
      <c r="J31" s="25">
        <v>649.36159154385143</v>
      </c>
      <c r="K31" s="88">
        <v>612.25763647012741</v>
      </c>
    </row>
    <row r="32" spans="1:13">
      <c r="A32" s="101" t="s">
        <v>214</v>
      </c>
      <c r="B32" s="36">
        <f>'Financial Statements'!J57</f>
        <v>49.01</v>
      </c>
      <c r="D32" s="129"/>
      <c r="E32" s="126">
        <v>5.1999999999999998E-2</v>
      </c>
      <c r="F32" s="25">
        <v>795.33507070714904</v>
      </c>
      <c r="G32" s="25">
        <v>742.6160198630439</v>
      </c>
      <c r="H32" s="25">
        <v>695.91263256920706</v>
      </c>
      <c r="I32" s="25">
        <v>654.2544080022941</v>
      </c>
      <c r="J32" s="25">
        <v>616.86890935894269</v>
      </c>
      <c r="K32" s="88">
        <v>583.13369002988304</v>
      </c>
    </row>
    <row r="33" spans="1:11">
      <c r="A33" s="101" t="s">
        <v>71</v>
      </c>
      <c r="B33" s="88">
        <f>SUM(B30:B32)</f>
        <v>28717.281698879146</v>
      </c>
      <c r="D33" s="129"/>
      <c r="E33" s="126">
        <v>0.05</v>
      </c>
      <c r="F33" s="25">
        <v>748.22598063782232</v>
      </c>
      <c r="G33" s="25">
        <v>701.16720558025736</v>
      </c>
      <c r="H33" s="25">
        <v>659.19212965266638</v>
      </c>
      <c r="I33" s="25">
        <v>621.5224141253201</v>
      </c>
      <c r="J33" s="25">
        <v>587.53085651237473</v>
      </c>
      <c r="K33" s="88">
        <v>556.70640529706884</v>
      </c>
    </row>
    <row r="34" spans="1:11">
      <c r="A34" s="101" t="s">
        <v>215</v>
      </c>
      <c r="B34" s="55">
        <f>Comparables!B12</f>
        <v>43.61392405063291</v>
      </c>
      <c r="D34" s="129"/>
      <c r="E34" s="126">
        <v>4.8000000000000001E-2</v>
      </c>
      <c r="F34" s="25">
        <v>706.47019625819155</v>
      </c>
      <c r="G34" s="25">
        <v>664.17525304830781</v>
      </c>
      <c r="H34" s="25">
        <v>626.21861682965005</v>
      </c>
      <c r="I34" s="25">
        <v>591.96828373154744</v>
      </c>
      <c r="J34" s="25">
        <v>560.90929004048871</v>
      </c>
      <c r="K34" s="88">
        <v>532.61781832822021</v>
      </c>
    </row>
    <row r="35" spans="1:11" ht="15" thickBot="1">
      <c r="A35" s="101" t="s">
        <v>216</v>
      </c>
      <c r="B35" s="145">
        <f>B33/B34</f>
        <v>658.44297031242274</v>
      </c>
      <c r="D35" s="130"/>
      <c r="E35" s="127">
        <v>4.5999999999999999E-2</v>
      </c>
      <c r="F35" s="165">
        <v>669.20428116669325</v>
      </c>
      <c r="G35" s="165">
        <v>630.95798955023065</v>
      </c>
      <c r="H35" s="165">
        <v>596.44641593119854</v>
      </c>
      <c r="I35" s="165">
        <v>565.15064689275357</v>
      </c>
      <c r="J35" s="165">
        <v>536.64361440682285</v>
      </c>
      <c r="K35" s="166">
        <v>510.57063703469788</v>
      </c>
    </row>
    <row r="36" spans="1:11">
      <c r="A36" s="101" t="s">
        <v>218</v>
      </c>
      <c r="B36" s="36">
        <v>552</v>
      </c>
    </row>
    <row r="37" spans="1:11" ht="15" thickBot="1">
      <c r="A37" s="102" t="s">
        <v>217</v>
      </c>
      <c r="B37" s="144">
        <f>(B35-B36)/B36</f>
        <v>0.19283146795728759</v>
      </c>
    </row>
  </sheetData>
  <mergeCells count="7">
    <mergeCell ref="D31:D35"/>
    <mergeCell ref="F29:K29"/>
    <mergeCell ref="A1:K1"/>
    <mergeCell ref="A18:L18"/>
    <mergeCell ref="D28:K28"/>
    <mergeCell ref="C16:E16"/>
    <mergeCell ref="C15:E15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Broker Price</vt:lpstr>
      <vt:lpstr>Comparables</vt:lpstr>
      <vt:lpstr>WACC Calculation</vt:lpstr>
      <vt:lpstr>Financial Statements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Rastogi</dc:creator>
  <cp:lastModifiedBy>Aryan Rastogi</cp:lastModifiedBy>
  <dcterms:created xsi:type="dcterms:W3CDTF">2024-09-15T11:58:07Z</dcterms:created>
  <dcterms:modified xsi:type="dcterms:W3CDTF">2024-09-15T20:33:19Z</dcterms:modified>
</cp:coreProperties>
</file>