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yan\Desktop\financial projects\"/>
    </mc:Choice>
  </mc:AlternateContent>
  <workbookProtection workbookAlgorithmName="SHA-512" workbookHashValue="EF/cOC1+IGU3lMwz3jWu9PauyI+HjiEwLEHkZ/ra8bc8CrnMp9PoPG6byASLH7jAv+JJ0DyuR7eHmb105A9stA==" workbookSaltValue="LHsuNJ9wzDqKQPxXidZU2g==" workbookSpinCount="100000" lockStructure="1"/>
  <bookViews>
    <workbookView xWindow="0" yWindow="0" windowWidth="20490" windowHeight="7620" tabRatio="783" activeTab="1"/>
  </bookViews>
  <sheets>
    <sheet name="Financial Statement&gt;" sheetId="2" r:id="rId1"/>
    <sheet name="HistoricalFS" sheetId="5" r:id="rId2"/>
    <sheet name="Common Size Statement" sheetId="10" r:id="rId3"/>
    <sheet name="Ratio Analysis" sheetId="7" r:id="rId4"/>
    <sheet name="Forecasting" sheetId="8" r:id="rId5"/>
    <sheet name="Intrinsic Growth" sheetId="16" r:id="rId6"/>
    <sheet name="DCF&gt;" sheetId="19" r:id="rId7"/>
    <sheet name="WACC" sheetId="18" r:id="rId8"/>
    <sheet name="Beta Regression" sheetId="17" r:id="rId9"/>
    <sheet name="Rm" sheetId="21" r:id="rId10"/>
    <sheet name="Comps Valuation " sheetId="32" r:id="rId11"/>
    <sheet name="Data Room&gt;" sheetId="13" r:id="rId12"/>
    <sheet name="Data Sheet" sheetId="1" r:id="rId13"/>
    <sheet name="Cash Flow Data" sheetId="6" r:id="rId14"/>
    <sheet name="Raw FS" sheetId="15" r:id="rId15"/>
    <sheet name="Comps" sheetId="20" r:id="rId16"/>
    <sheet name="Comps Data" sheetId="33" r:id="rId17"/>
    <sheet name="Nifty Returns" sheetId="31" r:id="rId18"/>
  </sheets>
  <externalReferences>
    <externalReference r:id="rId19"/>
  </externalReferences>
  <definedNames>
    <definedName name="UPDATE" localSheetId="12">'Data Sheet'!#REF!</definedName>
    <definedName name="UPDATE">'[1]Data Sheet'!$E$1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7" i="32" l="1"/>
  <c r="P28" i="32"/>
  <c r="P29" i="32"/>
  <c r="P30" i="32"/>
  <c r="O30" i="32"/>
  <c r="O29" i="32"/>
  <c r="O28" i="32"/>
  <c r="O27" i="32"/>
  <c r="L16" i="32"/>
  <c r="L15" i="32"/>
  <c r="L14" i="32"/>
  <c r="L13" i="32"/>
  <c r="L12" i="32"/>
  <c r="L11" i="32"/>
  <c r="L10" i="32"/>
  <c r="L9" i="32"/>
  <c r="K16" i="32"/>
  <c r="K15" i="32"/>
  <c r="K14" i="32"/>
  <c r="K13" i="32"/>
  <c r="K12" i="32"/>
  <c r="K11" i="32"/>
  <c r="K10" i="32"/>
  <c r="K9" i="32"/>
  <c r="J16" i="32"/>
  <c r="J15" i="32"/>
  <c r="J14" i="32"/>
  <c r="J13" i="32"/>
  <c r="J12" i="32"/>
  <c r="J11" i="32"/>
  <c r="J10" i="32"/>
  <c r="J9" i="32"/>
  <c r="G16" i="32"/>
  <c r="G15" i="32"/>
  <c r="G14" i="32"/>
  <c r="G13" i="32"/>
  <c r="G12" i="32"/>
  <c r="H12" i="32" s="1"/>
  <c r="G11" i="32"/>
  <c r="G10" i="32"/>
  <c r="G9" i="32"/>
  <c r="F16" i="32"/>
  <c r="H16" i="32" s="1"/>
  <c r="E16" i="32"/>
  <c r="E15" i="32"/>
  <c r="E14" i="32"/>
  <c r="E13" i="32"/>
  <c r="E12" i="32"/>
  <c r="E11" i="32"/>
  <c r="F11" i="32" s="1"/>
  <c r="H11" i="32" s="1"/>
  <c r="E10" i="32"/>
  <c r="F12" i="32"/>
  <c r="E9" i="32"/>
  <c r="N30" i="32" s="1"/>
  <c r="B16" i="32"/>
  <c r="B15" i="32"/>
  <c r="B14" i="32"/>
  <c r="B13" i="32"/>
  <c r="B12" i="32"/>
  <c r="B11" i="32"/>
  <c r="B10" i="32"/>
  <c r="B9" i="32"/>
  <c r="D16" i="32"/>
  <c r="D15" i="32"/>
  <c r="D14" i="32"/>
  <c r="D13" i="32"/>
  <c r="D12" i="32"/>
  <c r="D11" i="32"/>
  <c r="D10" i="32"/>
  <c r="F10" i="32" s="1"/>
  <c r="D9" i="32"/>
  <c r="K10" i="33"/>
  <c r="K9" i="33"/>
  <c r="K8" i="33"/>
  <c r="K7" i="33"/>
  <c r="K6" i="33"/>
  <c r="K5" i="33"/>
  <c r="K4" i="33"/>
  <c r="K3" i="33"/>
  <c r="I10" i="33"/>
  <c r="I9" i="33"/>
  <c r="I8" i="33"/>
  <c r="I7" i="33"/>
  <c r="I6" i="33"/>
  <c r="I5" i="33"/>
  <c r="I4" i="33"/>
  <c r="I3" i="33"/>
  <c r="F10" i="33"/>
  <c r="F9" i="33"/>
  <c r="F8" i="33"/>
  <c r="F7" i="33"/>
  <c r="F6" i="33"/>
  <c r="F5" i="33"/>
  <c r="F4" i="33"/>
  <c r="F3" i="33"/>
  <c r="O10" i="33"/>
  <c r="O9" i="33"/>
  <c r="O8" i="33"/>
  <c r="O7" i="33"/>
  <c r="O6" i="33"/>
  <c r="O5" i="33"/>
  <c r="O4" i="33"/>
  <c r="O3" i="33"/>
  <c r="F14" i="32"/>
  <c r="H14" i="32" s="1"/>
  <c r="N28" i="32"/>
  <c r="H10" i="32" l="1"/>
  <c r="P10" i="32"/>
  <c r="F9" i="32"/>
  <c r="N16" i="32"/>
  <c r="O12" i="32"/>
  <c r="F13" i="32"/>
  <c r="H13" i="32" s="1"/>
  <c r="F15" i="32"/>
  <c r="H15" i="32" s="1"/>
  <c r="N15" i="32" s="1"/>
  <c r="P16" i="32"/>
  <c r="P12" i="32"/>
  <c r="P14" i="32"/>
  <c r="N11" i="32"/>
  <c r="P11" i="32"/>
  <c r="N10" i="32"/>
  <c r="O16" i="32"/>
  <c r="N12" i="32"/>
  <c r="N14" i="32"/>
  <c r="O14" i="32"/>
  <c r="H9" i="32" l="1"/>
  <c r="P9" i="32"/>
  <c r="P15" i="32"/>
  <c r="O15" i="32"/>
  <c r="N13" i="32"/>
  <c r="O13" i="32"/>
  <c r="P13" i="32"/>
  <c r="O10" i="32"/>
  <c r="O11" i="32"/>
  <c r="P23" i="32"/>
  <c r="N18" i="32" l="1"/>
  <c r="O9" i="32"/>
  <c r="O22" i="32" s="1"/>
  <c r="N9" i="32"/>
  <c r="P22" i="32"/>
  <c r="P21" i="32"/>
  <c r="P18" i="32"/>
  <c r="P19" i="32"/>
  <c r="N19" i="32"/>
  <c r="N22" i="32"/>
  <c r="N20" i="32"/>
  <c r="N21" i="32"/>
  <c r="N27" i="32" s="1"/>
  <c r="N29" i="32" s="1"/>
  <c r="N32" i="32" s="1"/>
  <c r="N35" i="32" s="1"/>
  <c r="N23" i="32"/>
  <c r="P20" i="32"/>
  <c r="O23" i="32"/>
  <c r="O21" i="32" l="1"/>
  <c r="O32" i="32" s="1"/>
  <c r="O35" i="32" s="1"/>
  <c r="O18" i="32"/>
  <c r="P32" i="32"/>
  <c r="P35" i="32" s="1"/>
  <c r="O19" i="32"/>
  <c r="O20" i="32"/>
  <c r="D25" i="19" l="1"/>
  <c r="D26" i="19"/>
  <c r="D33" i="19"/>
  <c r="D41" i="19" l="1"/>
  <c r="D38" i="19"/>
  <c r="D37" i="19"/>
  <c r="D8" i="19"/>
  <c r="D10" i="19" s="1"/>
  <c r="F13" i="19"/>
  <c r="G13" i="19" s="1"/>
  <c r="H13" i="19" s="1"/>
  <c r="I13" i="19" s="1"/>
  <c r="D20" i="19"/>
  <c r="D18" i="19"/>
  <c r="D11" i="19"/>
  <c r="E11" i="19" s="1"/>
  <c r="F11" i="19" s="1"/>
  <c r="G11" i="19" s="1"/>
  <c r="H11" i="19" s="1"/>
  <c r="I11" i="19" s="1"/>
  <c r="E9" i="19"/>
  <c r="F9" i="19" s="1"/>
  <c r="G9" i="19" s="1"/>
  <c r="H9" i="19" s="1"/>
  <c r="I9" i="19" s="1"/>
  <c r="D6" i="19"/>
  <c r="E6" i="19" s="1"/>
  <c r="F6" i="19" s="1"/>
  <c r="G6" i="19" s="1"/>
  <c r="H6" i="19" s="1"/>
  <c r="I6" i="19" s="1"/>
  <c r="J31" i="18"/>
  <c r="J30" i="18"/>
  <c r="J24" i="18"/>
  <c r="J25" i="18"/>
  <c r="J23" i="18"/>
  <c r="G7" i="21"/>
  <c r="G4" i="21"/>
  <c r="D33" i="18"/>
  <c r="D32" i="18"/>
  <c r="D31" i="18"/>
  <c r="E23" i="18"/>
  <c r="E31" i="18"/>
  <c r="C32" i="18"/>
  <c r="C31" i="18"/>
  <c r="J16" i="18"/>
  <c r="J17" i="18"/>
  <c r="H17" i="18"/>
  <c r="I17" i="18"/>
  <c r="I16" i="18"/>
  <c r="H16" i="18"/>
  <c r="G17" i="18"/>
  <c r="G16" i="18"/>
  <c r="F17" i="18"/>
  <c r="F16" i="18"/>
  <c r="J14" i="18"/>
  <c r="J13" i="18"/>
  <c r="J12" i="18"/>
  <c r="J11" i="18"/>
  <c r="J10" i="18"/>
  <c r="I14" i="18"/>
  <c r="I13" i="18"/>
  <c r="I12" i="18"/>
  <c r="I11" i="18"/>
  <c r="I10" i="18"/>
  <c r="J455" i="17"/>
  <c r="G562" i="17"/>
  <c r="G561" i="17"/>
  <c r="G560" i="17"/>
  <c r="G559" i="17"/>
  <c r="G558" i="17"/>
  <c r="G557" i="17"/>
  <c r="G556" i="17"/>
  <c r="G555" i="17"/>
  <c r="G554" i="17"/>
  <c r="G553" i="17"/>
  <c r="G552" i="17"/>
  <c r="G551" i="17"/>
  <c r="G550" i="17"/>
  <c r="G549" i="17"/>
  <c r="G548" i="17"/>
  <c r="G547" i="17"/>
  <c r="G546" i="17"/>
  <c r="G545" i="17"/>
  <c r="G544" i="17"/>
  <c r="G543" i="17"/>
  <c r="G542" i="17"/>
  <c r="G541" i="17"/>
  <c r="G540" i="17"/>
  <c r="G539" i="17"/>
  <c r="G538" i="17"/>
  <c r="G537" i="17"/>
  <c r="G536" i="17"/>
  <c r="G535" i="17"/>
  <c r="G534" i="17"/>
  <c r="G533" i="17"/>
  <c r="G532" i="17"/>
  <c r="G531" i="17"/>
  <c r="G530" i="17"/>
  <c r="G529" i="17"/>
  <c r="G528" i="17"/>
  <c r="G527" i="17"/>
  <c r="G526" i="17"/>
  <c r="G525" i="17"/>
  <c r="G524" i="17"/>
  <c r="G523" i="17"/>
  <c r="G522" i="17"/>
  <c r="G521" i="17"/>
  <c r="G520" i="17"/>
  <c r="G519" i="17"/>
  <c r="G518" i="17"/>
  <c r="G517" i="17"/>
  <c r="G516" i="17"/>
  <c r="G515" i="17"/>
  <c r="G514" i="17"/>
  <c r="G513" i="17"/>
  <c r="G512" i="17"/>
  <c r="G511" i="17"/>
  <c r="G510" i="17"/>
  <c r="G509" i="17"/>
  <c r="G508" i="17"/>
  <c r="G507" i="17"/>
  <c r="G506" i="17"/>
  <c r="G505" i="17"/>
  <c r="G504" i="17"/>
  <c r="G503" i="17"/>
  <c r="G502" i="17"/>
  <c r="G501" i="17"/>
  <c r="G500" i="17"/>
  <c r="G499" i="17"/>
  <c r="G498" i="17"/>
  <c r="G497" i="17"/>
  <c r="G496" i="17"/>
  <c r="G495" i="17"/>
  <c r="G494" i="17"/>
  <c r="G493" i="17"/>
  <c r="G492" i="17"/>
  <c r="G491" i="17"/>
  <c r="G490" i="17"/>
  <c r="G489" i="17"/>
  <c r="G488" i="17"/>
  <c r="G487" i="17"/>
  <c r="G486" i="17"/>
  <c r="G485" i="17"/>
  <c r="G484" i="17"/>
  <c r="G483" i="17"/>
  <c r="G482" i="17"/>
  <c r="G481" i="17"/>
  <c r="G480" i="17"/>
  <c r="G479" i="17"/>
  <c r="G478" i="17"/>
  <c r="G477" i="17"/>
  <c r="G476" i="17"/>
  <c r="G475" i="17"/>
  <c r="G474" i="17"/>
  <c r="G473" i="17"/>
  <c r="G472" i="17"/>
  <c r="G471" i="17"/>
  <c r="G470" i="17"/>
  <c r="G469" i="17"/>
  <c r="G468" i="17"/>
  <c r="G467" i="17"/>
  <c r="G466" i="17"/>
  <c r="G465" i="17"/>
  <c r="G464" i="17"/>
  <c r="G463" i="17"/>
  <c r="G462" i="17"/>
  <c r="G461" i="17"/>
  <c r="G460" i="17"/>
  <c r="G459" i="17"/>
  <c r="G458" i="17"/>
  <c r="D562" i="17"/>
  <c r="D561" i="17"/>
  <c r="D560" i="17"/>
  <c r="D559" i="17"/>
  <c r="D558" i="17"/>
  <c r="D557" i="17"/>
  <c r="D556" i="17"/>
  <c r="D555" i="17"/>
  <c r="D554" i="17"/>
  <c r="D553" i="17"/>
  <c r="D552" i="17"/>
  <c r="D551" i="17"/>
  <c r="D550" i="17"/>
  <c r="D549" i="17"/>
  <c r="D548" i="17"/>
  <c r="D547" i="17"/>
  <c r="D546" i="17"/>
  <c r="D545" i="17"/>
  <c r="D544" i="17"/>
  <c r="D543" i="17"/>
  <c r="D542" i="17"/>
  <c r="D541" i="17"/>
  <c r="D540" i="17"/>
  <c r="D539" i="17"/>
  <c r="D538" i="17"/>
  <c r="D537" i="17"/>
  <c r="D536" i="17"/>
  <c r="D535" i="17"/>
  <c r="D534" i="17"/>
  <c r="D533" i="17"/>
  <c r="D532" i="17"/>
  <c r="D531" i="17"/>
  <c r="D530" i="17"/>
  <c r="D529" i="17"/>
  <c r="D528" i="17"/>
  <c r="D527" i="17"/>
  <c r="D526" i="17"/>
  <c r="D525" i="17"/>
  <c r="D524" i="17"/>
  <c r="D523" i="17"/>
  <c r="D522" i="17"/>
  <c r="D521" i="17"/>
  <c r="D520" i="17"/>
  <c r="D519" i="17"/>
  <c r="D518" i="17"/>
  <c r="D517" i="17"/>
  <c r="D516" i="17"/>
  <c r="D515" i="17"/>
  <c r="D514" i="17"/>
  <c r="D513" i="17"/>
  <c r="D512" i="17"/>
  <c r="D511" i="17"/>
  <c r="D510" i="17"/>
  <c r="D509" i="17"/>
  <c r="D508" i="17"/>
  <c r="D507" i="17"/>
  <c r="D506" i="17"/>
  <c r="D505" i="17"/>
  <c r="D504" i="17"/>
  <c r="D503" i="17"/>
  <c r="D502" i="17"/>
  <c r="D501" i="17"/>
  <c r="D500" i="17"/>
  <c r="D499" i="17"/>
  <c r="D498" i="17"/>
  <c r="D497" i="17"/>
  <c r="D496" i="17"/>
  <c r="D495" i="17"/>
  <c r="D494" i="17"/>
  <c r="D493" i="17"/>
  <c r="D492" i="17"/>
  <c r="D491" i="17"/>
  <c r="D490" i="17"/>
  <c r="D489" i="17"/>
  <c r="D488" i="17"/>
  <c r="D487" i="17"/>
  <c r="D486" i="17"/>
  <c r="D485" i="17"/>
  <c r="D484" i="17"/>
  <c r="D483" i="17"/>
  <c r="D482" i="17"/>
  <c r="D481" i="17"/>
  <c r="D480" i="17"/>
  <c r="D479" i="17"/>
  <c r="D478" i="17"/>
  <c r="D477" i="17"/>
  <c r="D476" i="17"/>
  <c r="D475" i="17"/>
  <c r="D474" i="17"/>
  <c r="D473" i="17"/>
  <c r="D472" i="17"/>
  <c r="D471" i="17"/>
  <c r="D470" i="17"/>
  <c r="D469" i="17"/>
  <c r="D468" i="17"/>
  <c r="D467" i="17"/>
  <c r="D466" i="17"/>
  <c r="D465" i="17"/>
  <c r="D464" i="17"/>
  <c r="D463" i="17"/>
  <c r="D462" i="17"/>
  <c r="D461" i="17"/>
  <c r="D460" i="17"/>
  <c r="D459" i="17"/>
  <c r="D458" i="17"/>
  <c r="J343" i="17"/>
  <c r="G450" i="17"/>
  <c r="G449" i="17"/>
  <c r="G448" i="17"/>
  <c r="G447" i="17"/>
  <c r="G446" i="17"/>
  <c r="G445" i="17"/>
  <c r="G444" i="17"/>
  <c r="G443" i="17"/>
  <c r="G442" i="17"/>
  <c r="G441" i="17"/>
  <c r="G440" i="17"/>
  <c r="G439" i="17"/>
  <c r="G438" i="17"/>
  <c r="G437" i="17"/>
  <c r="G436" i="17"/>
  <c r="G435" i="17"/>
  <c r="G434" i="17"/>
  <c r="G433" i="17"/>
  <c r="G432" i="17"/>
  <c r="G431" i="17"/>
  <c r="G430" i="17"/>
  <c r="G429" i="17"/>
  <c r="G428" i="17"/>
  <c r="G427" i="17"/>
  <c r="G426" i="17"/>
  <c r="G425" i="17"/>
  <c r="G424" i="17"/>
  <c r="G423" i="17"/>
  <c r="G422" i="17"/>
  <c r="G421" i="17"/>
  <c r="G420" i="17"/>
  <c r="G419" i="17"/>
  <c r="G418" i="17"/>
  <c r="G417" i="17"/>
  <c r="G416" i="17"/>
  <c r="G415" i="17"/>
  <c r="G414" i="17"/>
  <c r="G413" i="17"/>
  <c r="G412" i="17"/>
  <c r="G411" i="17"/>
  <c r="G410" i="17"/>
  <c r="G409" i="17"/>
  <c r="G408" i="17"/>
  <c r="G407" i="17"/>
  <c r="G406" i="17"/>
  <c r="G405" i="17"/>
  <c r="G404" i="17"/>
  <c r="G403" i="17"/>
  <c r="G402" i="17"/>
  <c r="G401" i="17"/>
  <c r="G400" i="17"/>
  <c r="G399" i="17"/>
  <c r="G398" i="17"/>
  <c r="G397" i="17"/>
  <c r="G396" i="17"/>
  <c r="G395" i="17"/>
  <c r="G394" i="17"/>
  <c r="G393" i="17"/>
  <c r="G392" i="17"/>
  <c r="G391" i="17"/>
  <c r="G390" i="17"/>
  <c r="G389" i="17"/>
  <c r="G388" i="17"/>
  <c r="G387" i="17"/>
  <c r="G386" i="17"/>
  <c r="G385" i="17"/>
  <c r="G384" i="17"/>
  <c r="G383" i="17"/>
  <c r="G382" i="17"/>
  <c r="G381" i="17"/>
  <c r="G380" i="17"/>
  <c r="G379" i="17"/>
  <c r="G378" i="17"/>
  <c r="G377" i="17"/>
  <c r="G376" i="17"/>
  <c r="G375" i="17"/>
  <c r="G374" i="17"/>
  <c r="G373" i="17"/>
  <c r="G372" i="17"/>
  <c r="G371" i="17"/>
  <c r="G370" i="17"/>
  <c r="G369" i="17"/>
  <c r="G368" i="17"/>
  <c r="G367" i="17"/>
  <c r="G366" i="17"/>
  <c r="G365" i="17"/>
  <c r="G364" i="17"/>
  <c r="G363" i="17"/>
  <c r="G362" i="17"/>
  <c r="G361" i="17"/>
  <c r="G360" i="17"/>
  <c r="G359" i="17"/>
  <c r="G358" i="17"/>
  <c r="G357" i="17"/>
  <c r="G356" i="17"/>
  <c r="G355" i="17"/>
  <c r="G354" i="17"/>
  <c r="G353" i="17"/>
  <c r="G352" i="17"/>
  <c r="G351" i="17"/>
  <c r="G350" i="17"/>
  <c r="G349" i="17"/>
  <c r="G348" i="17"/>
  <c r="G347" i="17"/>
  <c r="G346" i="17"/>
  <c r="D450" i="17"/>
  <c r="D449" i="17"/>
  <c r="D448" i="17"/>
  <c r="D447" i="17"/>
  <c r="D446" i="17"/>
  <c r="D445" i="17"/>
  <c r="D444" i="17"/>
  <c r="D443" i="17"/>
  <c r="D442" i="17"/>
  <c r="D441" i="17"/>
  <c r="D440" i="17"/>
  <c r="D439" i="17"/>
  <c r="D438" i="17"/>
  <c r="D437" i="17"/>
  <c r="D436" i="17"/>
  <c r="D435" i="17"/>
  <c r="D434" i="17"/>
  <c r="D433" i="17"/>
  <c r="D432" i="17"/>
  <c r="D431" i="17"/>
  <c r="D430" i="17"/>
  <c r="D429" i="17"/>
  <c r="D428" i="17"/>
  <c r="D427" i="17"/>
  <c r="D426" i="17"/>
  <c r="D425" i="17"/>
  <c r="D424" i="17"/>
  <c r="D423" i="17"/>
  <c r="D422" i="17"/>
  <c r="D421" i="17"/>
  <c r="D420" i="17"/>
  <c r="D419" i="17"/>
  <c r="D418" i="17"/>
  <c r="D417" i="17"/>
  <c r="D416" i="17"/>
  <c r="D415" i="17"/>
  <c r="D414" i="17"/>
  <c r="D413" i="17"/>
  <c r="D412" i="17"/>
  <c r="D411" i="17"/>
  <c r="D410" i="17"/>
  <c r="D409" i="17"/>
  <c r="D408" i="17"/>
  <c r="D407" i="17"/>
  <c r="D406" i="17"/>
  <c r="D405" i="17"/>
  <c r="D404" i="17"/>
  <c r="D403" i="17"/>
  <c r="D402" i="17"/>
  <c r="D401" i="17"/>
  <c r="D400" i="17"/>
  <c r="D399" i="17"/>
  <c r="D398" i="17"/>
  <c r="D397" i="17"/>
  <c r="D396" i="17"/>
  <c r="D395" i="17"/>
  <c r="D394" i="17"/>
  <c r="D393" i="17"/>
  <c r="D392" i="17"/>
  <c r="D391" i="17"/>
  <c r="D390" i="17"/>
  <c r="D389" i="17"/>
  <c r="D388" i="17"/>
  <c r="D387" i="17"/>
  <c r="D386" i="17"/>
  <c r="D385" i="17"/>
  <c r="D384" i="17"/>
  <c r="D383" i="17"/>
  <c r="D382" i="17"/>
  <c r="D381" i="17"/>
  <c r="D380" i="17"/>
  <c r="D379" i="17"/>
  <c r="D378" i="17"/>
  <c r="D377" i="17"/>
  <c r="D376" i="17"/>
  <c r="D375" i="17"/>
  <c r="D374" i="17"/>
  <c r="D373" i="17"/>
  <c r="D372" i="17"/>
  <c r="D371" i="17"/>
  <c r="D370" i="17"/>
  <c r="D369" i="17"/>
  <c r="D368" i="17"/>
  <c r="D367" i="17"/>
  <c r="D366" i="17"/>
  <c r="D365" i="17"/>
  <c r="D364" i="17"/>
  <c r="D363" i="17"/>
  <c r="D362" i="17"/>
  <c r="D361" i="17"/>
  <c r="D360" i="17"/>
  <c r="D359" i="17"/>
  <c r="D358" i="17"/>
  <c r="D357" i="17"/>
  <c r="D356" i="17"/>
  <c r="D355" i="17"/>
  <c r="D354" i="17"/>
  <c r="D353" i="17"/>
  <c r="D352" i="17"/>
  <c r="D351" i="17"/>
  <c r="D350" i="17"/>
  <c r="D349" i="17"/>
  <c r="D348" i="17"/>
  <c r="D347" i="17"/>
  <c r="D346" i="17"/>
  <c r="J231" i="17"/>
  <c r="G338" i="17"/>
  <c r="G337" i="17"/>
  <c r="G336" i="17"/>
  <c r="G335" i="17"/>
  <c r="G334" i="17"/>
  <c r="G333" i="17"/>
  <c r="G332" i="17"/>
  <c r="G331" i="17"/>
  <c r="G330" i="17"/>
  <c r="G329" i="17"/>
  <c r="G328" i="17"/>
  <c r="G327" i="17"/>
  <c r="G326" i="17"/>
  <c r="G325" i="17"/>
  <c r="G324" i="17"/>
  <c r="G323" i="17"/>
  <c r="G322" i="17"/>
  <c r="G321" i="17"/>
  <c r="G320" i="17"/>
  <c r="G319" i="17"/>
  <c r="G318" i="17"/>
  <c r="G317" i="17"/>
  <c r="G316" i="17"/>
  <c r="G315" i="17"/>
  <c r="G314" i="17"/>
  <c r="G313" i="17"/>
  <c r="G312" i="17"/>
  <c r="G311" i="17"/>
  <c r="G310" i="17"/>
  <c r="G309" i="17"/>
  <c r="G308" i="17"/>
  <c r="G307" i="17"/>
  <c r="G306" i="17"/>
  <c r="G305" i="17"/>
  <c r="G304" i="17"/>
  <c r="G303" i="17"/>
  <c r="G302" i="17"/>
  <c r="G301" i="17"/>
  <c r="G300" i="17"/>
  <c r="G299" i="17"/>
  <c r="G298" i="17"/>
  <c r="G297" i="17"/>
  <c r="G296" i="17"/>
  <c r="G295" i="17"/>
  <c r="G294" i="17"/>
  <c r="G293" i="17"/>
  <c r="G292" i="17"/>
  <c r="G291" i="17"/>
  <c r="G290" i="17"/>
  <c r="G289" i="17"/>
  <c r="G288" i="17"/>
  <c r="G287" i="17"/>
  <c r="G286" i="17"/>
  <c r="G285" i="17"/>
  <c r="G284" i="17"/>
  <c r="G283" i="17"/>
  <c r="G282" i="17"/>
  <c r="G281" i="17"/>
  <c r="G280" i="17"/>
  <c r="G279" i="17"/>
  <c r="G278" i="17"/>
  <c r="G277" i="17"/>
  <c r="G276" i="17"/>
  <c r="G275" i="17"/>
  <c r="G274" i="17"/>
  <c r="G273" i="17"/>
  <c r="G272" i="17"/>
  <c r="G271" i="17"/>
  <c r="G270" i="17"/>
  <c r="G269" i="17"/>
  <c r="G268" i="17"/>
  <c r="G267" i="17"/>
  <c r="G266" i="17"/>
  <c r="G265" i="17"/>
  <c r="G264" i="17"/>
  <c r="G263" i="17"/>
  <c r="G262" i="17"/>
  <c r="G261" i="17"/>
  <c r="G260" i="17"/>
  <c r="G259" i="17"/>
  <c r="G258" i="17"/>
  <c r="G257" i="17"/>
  <c r="G256" i="17"/>
  <c r="G255" i="17"/>
  <c r="G254" i="17"/>
  <c r="G253" i="17"/>
  <c r="G252" i="17"/>
  <c r="G251" i="17"/>
  <c r="G250" i="17"/>
  <c r="G249" i="17"/>
  <c r="G248" i="17"/>
  <c r="G247" i="17"/>
  <c r="G246" i="17"/>
  <c r="G245" i="17"/>
  <c r="G244" i="17"/>
  <c r="G243" i="17"/>
  <c r="G242" i="17"/>
  <c r="G241" i="17"/>
  <c r="G240" i="17"/>
  <c r="G239" i="17"/>
  <c r="G238" i="17"/>
  <c r="G237" i="17"/>
  <c r="G236" i="17"/>
  <c r="G235" i="17"/>
  <c r="G234" i="17"/>
  <c r="D338" i="17"/>
  <c r="D329" i="17"/>
  <c r="D336" i="17"/>
  <c r="D337" i="17"/>
  <c r="D335" i="17"/>
  <c r="D334" i="17"/>
  <c r="D333" i="17"/>
  <c r="D332" i="17"/>
  <c r="D331" i="17"/>
  <c r="D330" i="17"/>
  <c r="D328" i="17"/>
  <c r="D327" i="17"/>
  <c r="D326" i="17"/>
  <c r="D325" i="17"/>
  <c r="D324" i="17"/>
  <c r="D323" i="17"/>
  <c r="D322" i="17"/>
  <c r="D321" i="17"/>
  <c r="D320" i="17"/>
  <c r="D319" i="17"/>
  <c r="D318" i="17"/>
  <c r="D317" i="17"/>
  <c r="D316" i="17"/>
  <c r="D315" i="17"/>
  <c r="D314" i="17"/>
  <c r="D313" i="17"/>
  <c r="D312" i="17"/>
  <c r="D311" i="17"/>
  <c r="D310" i="17"/>
  <c r="D309" i="17"/>
  <c r="D308" i="17"/>
  <c r="D307" i="17"/>
  <c r="D306" i="17"/>
  <c r="D305" i="17"/>
  <c r="D304" i="17"/>
  <c r="D303" i="17"/>
  <c r="D302" i="17"/>
  <c r="D301" i="17"/>
  <c r="D300" i="17"/>
  <c r="D299" i="17"/>
  <c r="D298" i="17"/>
  <c r="D297" i="17"/>
  <c r="D296" i="17"/>
  <c r="D295" i="17"/>
  <c r="D294" i="17"/>
  <c r="D293" i="17"/>
  <c r="D292" i="17"/>
  <c r="D291" i="17"/>
  <c r="D290" i="17"/>
  <c r="D289" i="17"/>
  <c r="D288" i="17"/>
  <c r="D287" i="17"/>
  <c r="D286" i="17"/>
  <c r="D285" i="17"/>
  <c r="D284" i="17"/>
  <c r="D283" i="17"/>
  <c r="D282" i="17"/>
  <c r="D281" i="17"/>
  <c r="D280" i="17"/>
  <c r="D279" i="17"/>
  <c r="D278" i="17"/>
  <c r="D277" i="17"/>
  <c r="D276" i="17"/>
  <c r="D275" i="17"/>
  <c r="D274" i="17"/>
  <c r="D273" i="17"/>
  <c r="D272" i="17"/>
  <c r="D271" i="17"/>
  <c r="D270" i="17"/>
  <c r="D269" i="17"/>
  <c r="D268" i="17"/>
  <c r="D267" i="17"/>
  <c r="D266" i="17"/>
  <c r="D265" i="17"/>
  <c r="D264" i="17"/>
  <c r="D263" i="17"/>
  <c r="D262" i="17"/>
  <c r="D261" i="17"/>
  <c r="D260" i="17"/>
  <c r="D259" i="17"/>
  <c r="D258" i="17"/>
  <c r="D257" i="17"/>
  <c r="D256" i="17"/>
  <c r="D255" i="17"/>
  <c r="D254" i="17"/>
  <c r="D253" i="17"/>
  <c r="D252" i="17"/>
  <c r="D251" i="17"/>
  <c r="D250" i="17"/>
  <c r="D249" i="17"/>
  <c r="D248" i="17"/>
  <c r="D247" i="17"/>
  <c r="D246" i="17"/>
  <c r="D245" i="17"/>
  <c r="D244" i="17"/>
  <c r="D243" i="17"/>
  <c r="D242" i="17"/>
  <c r="D241" i="17"/>
  <c r="D240" i="17"/>
  <c r="D239" i="17"/>
  <c r="D238" i="17"/>
  <c r="D237" i="17"/>
  <c r="D236" i="17"/>
  <c r="D235" i="17"/>
  <c r="D234" i="17"/>
  <c r="J121" i="17"/>
  <c r="J119" i="17"/>
  <c r="G218" i="17"/>
  <c r="G226" i="17"/>
  <c r="G225" i="17"/>
  <c r="G224" i="17"/>
  <c r="G223" i="17"/>
  <c r="G222" i="17"/>
  <c r="G221" i="17"/>
  <c r="G220" i="17"/>
  <c r="G219" i="17"/>
  <c r="G217" i="17"/>
  <c r="G216" i="17"/>
  <c r="G215" i="17"/>
  <c r="G214" i="17"/>
  <c r="G213" i="17"/>
  <c r="G212" i="17"/>
  <c r="G211" i="17"/>
  <c r="G210" i="17"/>
  <c r="G209" i="17"/>
  <c r="G208" i="17"/>
  <c r="G207" i="17"/>
  <c r="G206" i="17"/>
  <c r="G205" i="17"/>
  <c r="G204" i="17"/>
  <c r="G203" i="17"/>
  <c r="G202" i="17"/>
  <c r="G201" i="17"/>
  <c r="G200" i="17"/>
  <c r="G199" i="17"/>
  <c r="G198" i="17"/>
  <c r="G197" i="17"/>
  <c r="G196" i="17"/>
  <c r="G195" i="17"/>
  <c r="G194" i="17"/>
  <c r="G193" i="17"/>
  <c r="G192" i="17"/>
  <c r="G191" i="17"/>
  <c r="G190" i="17"/>
  <c r="G189" i="17"/>
  <c r="G188" i="17"/>
  <c r="G187" i="17"/>
  <c r="G186" i="17"/>
  <c r="G185" i="17"/>
  <c r="G184" i="17"/>
  <c r="G183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G153" i="17"/>
  <c r="G152" i="17"/>
  <c r="G151" i="17"/>
  <c r="G150" i="17"/>
  <c r="G149" i="17"/>
  <c r="G148" i="17"/>
  <c r="G147" i="17"/>
  <c r="G146" i="17"/>
  <c r="G145" i="17"/>
  <c r="G144" i="17"/>
  <c r="G143" i="17"/>
  <c r="G142" i="17"/>
  <c r="G141" i="17"/>
  <c r="G140" i="17"/>
  <c r="G139" i="17"/>
  <c r="G138" i="17"/>
  <c r="G137" i="17"/>
  <c r="G136" i="17"/>
  <c r="G135" i="17"/>
  <c r="G134" i="17"/>
  <c r="G133" i="17"/>
  <c r="G132" i="17"/>
  <c r="G131" i="17"/>
  <c r="G130" i="17"/>
  <c r="G129" i="17"/>
  <c r="G128" i="17"/>
  <c r="G127" i="17"/>
  <c r="G126" i="17"/>
  <c r="G125" i="17"/>
  <c r="G124" i="17"/>
  <c r="G123" i="17"/>
  <c r="G122" i="17"/>
  <c r="D169" i="17"/>
  <c r="D123" i="17"/>
  <c r="G83" i="17"/>
  <c r="D226" i="17"/>
  <c r="D225" i="17"/>
  <c r="D224" i="17"/>
  <c r="D223" i="17"/>
  <c r="D222" i="17"/>
  <c r="D221" i="17"/>
  <c r="D220" i="17"/>
  <c r="D219" i="17"/>
  <c r="D218" i="17"/>
  <c r="D217" i="17"/>
  <c r="D216" i="17"/>
  <c r="D215" i="17"/>
  <c r="D214" i="17"/>
  <c r="D213" i="17"/>
  <c r="D212" i="17"/>
  <c r="D211" i="17"/>
  <c r="D210" i="17"/>
  <c r="D209" i="17"/>
  <c r="D208" i="17"/>
  <c r="D207" i="17"/>
  <c r="D206" i="17"/>
  <c r="D205" i="17"/>
  <c r="D204" i="17"/>
  <c r="D203" i="17"/>
  <c r="D202" i="17"/>
  <c r="D201" i="17"/>
  <c r="D200" i="17"/>
  <c r="D199" i="17"/>
  <c r="D198" i="17"/>
  <c r="D197" i="17"/>
  <c r="D196" i="17"/>
  <c r="D195" i="17"/>
  <c r="D194" i="17"/>
  <c r="D193" i="17"/>
  <c r="D192" i="17"/>
  <c r="D191" i="17"/>
  <c r="D190" i="17"/>
  <c r="D189" i="17"/>
  <c r="D188" i="17"/>
  <c r="D187" i="17"/>
  <c r="D186" i="17"/>
  <c r="D185" i="17"/>
  <c r="D184" i="17"/>
  <c r="D183" i="17"/>
  <c r="D182" i="17"/>
  <c r="D181" i="17"/>
  <c r="D180" i="17"/>
  <c r="D179" i="17"/>
  <c r="D178" i="17"/>
  <c r="D177" i="17"/>
  <c r="D176" i="17"/>
  <c r="D175" i="17"/>
  <c r="D174" i="17"/>
  <c r="D173" i="17"/>
  <c r="D172" i="17"/>
  <c r="D171" i="17"/>
  <c r="D170" i="17"/>
  <c r="D168" i="17"/>
  <c r="D167" i="17"/>
  <c r="D166" i="17"/>
  <c r="D165" i="17"/>
  <c r="D164" i="17"/>
  <c r="D163" i="17"/>
  <c r="D162" i="17"/>
  <c r="D161" i="17"/>
  <c r="D160" i="17"/>
  <c r="D159" i="17"/>
  <c r="D158" i="17"/>
  <c r="D157" i="17"/>
  <c r="D156" i="17"/>
  <c r="D155" i="17"/>
  <c r="D154" i="17"/>
  <c r="D153" i="17"/>
  <c r="D152" i="17"/>
  <c r="D151" i="17"/>
  <c r="D150" i="17"/>
  <c r="D149" i="17"/>
  <c r="D148" i="17"/>
  <c r="D147" i="17"/>
  <c r="D146" i="17"/>
  <c r="D145" i="17"/>
  <c r="D144" i="17"/>
  <c r="D143" i="17"/>
  <c r="D142" i="17"/>
  <c r="D141" i="17"/>
  <c r="D140" i="17"/>
  <c r="D139" i="17"/>
  <c r="D138" i="17"/>
  <c r="D137" i="17"/>
  <c r="D136" i="17"/>
  <c r="D135" i="17"/>
  <c r="D134" i="17"/>
  <c r="D133" i="17"/>
  <c r="D132" i="17"/>
  <c r="D131" i="17"/>
  <c r="D130" i="17"/>
  <c r="D129" i="17"/>
  <c r="D128" i="17"/>
  <c r="D127" i="17"/>
  <c r="D126" i="17"/>
  <c r="D125" i="17"/>
  <c r="D124" i="17"/>
  <c r="D122" i="17"/>
  <c r="J7" i="17"/>
  <c r="F14" i="19" l="1"/>
  <c r="D12" i="19"/>
  <c r="G14" i="19"/>
  <c r="E8" i="19"/>
  <c r="E10" i="19" s="1"/>
  <c r="E12" i="19" s="1"/>
  <c r="E14" i="19"/>
  <c r="I14" i="19"/>
  <c r="H14" i="19"/>
  <c r="F8" i="19" l="1"/>
  <c r="G8" i="19" s="1"/>
  <c r="H8" i="19" s="1"/>
  <c r="I8" i="19" s="1"/>
  <c r="I10" i="19" s="1"/>
  <c r="I12" i="19" s="1"/>
  <c r="I16" i="19" s="1"/>
  <c r="E16" i="19"/>
  <c r="G10" i="19" l="1"/>
  <c r="G12" i="19" s="1"/>
  <c r="G16" i="19" s="1"/>
  <c r="H10" i="19"/>
  <c r="H12" i="19" s="1"/>
  <c r="H16" i="19" s="1"/>
  <c r="D24" i="19"/>
  <c r="D28" i="19" s="1"/>
  <c r="F10" i="19"/>
  <c r="F12" i="19" s="1"/>
  <c r="F16" i="19" s="1"/>
  <c r="D34" i="19" l="1"/>
  <c r="D35" i="19" s="1"/>
  <c r="F23" i="19" s="1"/>
  <c r="G11" i="17"/>
  <c r="G98" i="17"/>
  <c r="G114" i="17"/>
  <c r="G113" i="17"/>
  <c r="G112" i="17"/>
  <c r="G111" i="17"/>
  <c r="G110" i="17"/>
  <c r="G109" i="17"/>
  <c r="G108" i="17"/>
  <c r="G107" i="17"/>
  <c r="G106" i="17"/>
  <c r="G105" i="17"/>
  <c r="G104" i="17"/>
  <c r="G103" i="17"/>
  <c r="G102" i="17"/>
  <c r="G101" i="17"/>
  <c r="G100" i="17"/>
  <c r="G99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G61" i="17"/>
  <c r="G60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0" i="17"/>
  <c r="D114" i="17"/>
  <c r="D113" i="17"/>
  <c r="D112" i="17"/>
  <c r="D111" i="17"/>
  <c r="D110" i="17"/>
  <c r="D109" i="17"/>
  <c r="D108" i="17"/>
  <c r="D107" i="17"/>
  <c r="D106" i="17"/>
  <c r="D105" i="17"/>
  <c r="D104" i="17"/>
  <c r="D103" i="17"/>
  <c r="D102" i="17"/>
  <c r="D101" i="17"/>
  <c r="D100" i="17"/>
  <c r="D99" i="17"/>
  <c r="D98" i="17"/>
  <c r="D97" i="17"/>
  <c r="D96" i="17"/>
  <c r="D95" i="17"/>
  <c r="D94" i="17"/>
  <c r="D93" i="17"/>
  <c r="D92" i="17"/>
  <c r="D91" i="17"/>
  <c r="D90" i="17"/>
  <c r="D89" i="17"/>
  <c r="D88" i="17"/>
  <c r="D87" i="17"/>
  <c r="D86" i="17"/>
  <c r="D85" i="17"/>
  <c r="D84" i="17"/>
  <c r="D83" i="17"/>
  <c r="D82" i="17"/>
  <c r="D81" i="17"/>
  <c r="D80" i="17"/>
  <c r="D79" i="17"/>
  <c r="D78" i="17"/>
  <c r="D77" i="17"/>
  <c r="D76" i="17"/>
  <c r="D75" i="17"/>
  <c r="D74" i="17"/>
  <c r="D73" i="17"/>
  <c r="D72" i="17"/>
  <c r="D71" i="17"/>
  <c r="D70" i="17"/>
  <c r="D69" i="17"/>
  <c r="D68" i="17"/>
  <c r="D67" i="17"/>
  <c r="D66" i="17"/>
  <c r="D65" i="17"/>
  <c r="D64" i="17"/>
  <c r="D63" i="17"/>
  <c r="D62" i="17"/>
  <c r="D61" i="17"/>
  <c r="D60" i="17"/>
  <c r="D59" i="17"/>
  <c r="D58" i="17"/>
  <c r="D57" i="17"/>
  <c r="D56" i="17"/>
  <c r="D55" i="17"/>
  <c r="D54" i="17"/>
  <c r="D53" i="17"/>
  <c r="D52" i="17"/>
  <c r="D51" i="17"/>
  <c r="D50" i="17"/>
  <c r="D49" i="17"/>
  <c r="D48" i="17"/>
  <c r="D47" i="17"/>
  <c r="D46" i="17"/>
  <c r="D45" i="17"/>
  <c r="D44" i="17"/>
  <c r="D43" i="17"/>
  <c r="D42" i="17"/>
  <c r="D41" i="17"/>
  <c r="D40" i="17"/>
  <c r="D39" i="17"/>
  <c r="D38" i="17"/>
  <c r="D37" i="17"/>
  <c r="D36" i="17"/>
  <c r="D35" i="17"/>
  <c r="D34" i="17"/>
  <c r="D33" i="17"/>
  <c r="D32" i="17"/>
  <c r="D31" i="17"/>
  <c r="D30" i="17"/>
  <c r="D29" i="17"/>
  <c r="D28" i="17"/>
  <c r="D27" i="17"/>
  <c r="D26" i="17"/>
  <c r="D25" i="17"/>
  <c r="D24" i="17"/>
  <c r="D23" i="17"/>
  <c r="D22" i="17"/>
  <c r="D21" i="17"/>
  <c r="D20" i="17"/>
  <c r="D19" i="17"/>
  <c r="D18" i="17"/>
  <c r="D17" i="17"/>
  <c r="D16" i="17"/>
  <c r="D15" i="17"/>
  <c r="D14" i="17"/>
  <c r="D13" i="17"/>
  <c r="D12" i="17"/>
  <c r="D11" i="17"/>
  <c r="D10" i="17"/>
  <c r="J38" i="18"/>
  <c r="D35" i="18"/>
  <c r="C33" i="18"/>
  <c r="E33" i="18" s="1"/>
  <c r="E32" i="18" s="1"/>
  <c r="J32" i="18"/>
  <c r="E22" i="18"/>
  <c r="E24" i="18" s="1"/>
  <c r="I38" i="18" s="1"/>
  <c r="H14" i="18"/>
  <c r="H13" i="18"/>
  <c r="H12" i="18"/>
  <c r="H11" i="18"/>
  <c r="H10" i="18"/>
  <c r="G10" i="18"/>
  <c r="G14" i="18"/>
  <c r="G13" i="18"/>
  <c r="G12" i="18"/>
  <c r="G11" i="18"/>
  <c r="F13" i="18"/>
  <c r="F14" i="18" s="1"/>
  <c r="F12" i="18"/>
  <c r="F11" i="18"/>
  <c r="D40" i="19" l="1"/>
  <c r="D43" i="19" s="1"/>
  <c r="D46" i="19" s="1"/>
  <c r="J39" i="18"/>
  <c r="E35" i="18"/>
  <c r="J33" i="18" s="1"/>
  <c r="I39" i="18" l="1"/>
  <c r="J41" i="18" s="1"/>
  <c r="H65" i="16" l="1"/>
  <c r="H64" i="16"/>
  <c r="H57" i="16" l="1"/>
  <c r="G57" i="16"/>
  <c r="F57" i="16"/>
  <c r="E57" i="16"/>
  <c r="D57" i="16"/>
  <c r="H40" i="16"/>
  <c r="G40" i="16"/>
  <c r="F40" i="16"/>
  <c r="E40" i="16"/>
  <c r="D40" i="16"/>
  <c r="H4" i="16"/>
  <c r="G4" i="16"/>
  <c r="F4" i="16"/>
  <c r="E4" i="16"/>
  <c r="D4" i="16"/>
  <c r="D42" i="16"/>
  <c r="H42" i="16"/>
  <c r="G42" i="16"/>
  <c r="F42" i="16"/>
  <c r="E42" i="16"/>
  <c r="H35" i="16"/>
  <c r="H45" i="16" s="1"/>
  <c r="H47" i="16" s="1"/>
  <c r="G35" i="16"/>
  <c r="G45" i="16" s="1"/>
  <c r="G47" i="16" s="1"/>
  <c r="F35" i="16"/>
  <c r="F45" i="16" s="1"/>
  <c r="F47" i="16" s="1"/>
  <c r="E35" i="16"/>
  <c r="E45" i="16" s="1"/>
  <c r="E47" i="16" s="1"/>
  <c r="D35" i="16"/>
  <c r="D45" i="16" s="1"/>
  <c r="D47" i="16" s="1"/>
  <c r="H31" i="16"/>
  <c r="G31" i="16"/>
  <c r="F31" i="16"/>
  <c r="E31" i="16"/>
  <c r="D31" i="16"/>
  <c r="H29" i="16"/>
  <c r="G29" i="16"/>
  <c r="F29" i="16"/>
  <c r="E29" i="16"/>
  <c r="D29" i="16"/>
  <c r="H28" i="16"/>
  <c r="G28" i="16"/>
  <c r="F28" i="16"/>
  <c r="E28" i="16"/>
  <c r="D28" i="16"/>
  <c r="H27" i="16"/>
  <c r="G27" i="16"/>
  <c r="F27" i="16"/>
  <c r="E27" i="16"/>
  <c r="D27" i="16"/>
  <c r="H26" i="16"/>
  <c r="G26" i="16"/>
  <c r="F26" i="16"/>
  <c r="E26" i="16"/>
  <c r="D26" i="16"/>
  <c r="H25" i="16"/>
  <c r="G25" i="16"/>
  <c r="F25" i="16"/>
  <c r="E25" i="16"/>
  <c r="D25" i="16"/>
  <c r="H24" i="16"/>
  <c r="G24" i="16"/>
  <c r="F24" i="16"/>
  <c r="E24" i="16"/>
  <c r="D24" i="16"/>
  <c r="H23" i="16"/>
  <c r="G23" i="16"/>
  <c r="F23" i="16"/>
  <c r="E23" i="16"/>
  <c r="D23" i="16"/>
  <c r="H22" i="16"/>
  <c r="G22" i="16"/>
  <c r="F22" i="16"/>
  <c r="E22" i="16"/>
  <c r="D22" i="16"/>
  <c r="B29" i="16"/>
  <c r="B26" i="16"/>
  <c r="B27" i="16"/>
  <c r="B28" i="16"/>
  <c r="B23" i="16"/>
  <c r="B24" i="16"/>
  <c r="B25" i="16"/>
  <c r="B22" i="16"/>
  <c r="H16" i="16"/>
  <c r="G16" i="16"/>
  <c r="F16" i="16"/>
  <c r="E16" i="16"/>
  <c r="D16" i="16"/>
  <c r="H15" i="16"/>
  <c r="G15" i="16"/>
  <c r="F15" i="16"/>
  <c r="E15" i="16"/>
  <c r="D15" i="16"/>
  <c r="H14" i="16"/>
  <c r="G14" i="16"/>
  <c r="F14" i="16"/>
  <c r="E14" i="16"/>
  <c r="D14" i="16"/>
  <c r="B16" i="16"/>
  <c r="B15" i="16"/>
  <c r="B14" i="16"/>
  <c r="H10" i="16"/>
  <c r="G10" i="16"/>
  <c r="F10" i="16"/>
  <c r="E10" i="16"/>
  <c r="D10" i="16"/>
  <c r="H9" i="16"/>
  <c r="G9" i="16"/>
  <c r="F9" i="16"/>
  <c r="E9" i="16"/>
  <c r="D9" i="16"/>
  <c r="H8" i="16"/>
  <c r="G8" i="16"/>
  <c r="F8" i="16"/>
  <c r="E8" i="16"/>
  <c r="D8" i="16"/>
  <c r="H7" i="16"/>
  <c r="G7" i="16"/>
  <c r="F7" i="16"/>
  <c r="E7" i="16"/>
  <c r="D7" i="16"/>
  <c r="B10" i="16"/>
  <c r="B9" i="16"/>
  <c r="B8" i="16"/>
  <c r="B7" i="16"/>
  <c r="L30" i="15"/>
  <c r="K30" i="15"/>
  <c r="J30" i="15"/>
  <c r="I30" i="15"/>
  <c r="H30" i="15"/>
  <c r="G30" i="15"/>
  <c r="F30" i="15"/>
  <c r="E30" i="15"/>
  <c r="D30" i="15"/>
  <c r="C30" i="15"/>
  <c r="E10" i="10"/>
  <c r="I17" i="8"/>
  <c r="I19" i="8"/>
  <c r="C104" i="5"/>
  <c r="D104" i="5"/>
  <c r="L101" i="5"/>
  <c r="K101" i="5"/>
  <c r="J101" i="5"/>
  <c r="I101" i="5"/>
  <c r="H101" i="5"/>
  <c r="G101" i="5"/>
  <c r="F101" i="5"/>
  <c r="E101" i="5"/>
  <c r="D101" i="5"/>
  <c r="C101" i="5"/>
  <c r="L100" i="5"/>
  <c r="K100" i="5"/>
  <c r="J100" i="5"/>
  <c r="I100" i="5"/>
  <c r="H100" i="5"/>
  <c r="G100" i="5"/>
  <c r="F100" i="5"/>
  <c r="E100" i="5"/>
  <c r="D100" i="5"/>
  <c r="C100" i="5"/>
  <c r="L99" i="5"/>
  <c r="K99" i="5"/>
  <c r="J99" i="5"/>
  <c r="I99" i="5"/>
  <c r="H99" i="5"/>
  <c r="G99" i="5"/>
  <c r="F99" i="5"/>
  <c r="E99" i="5"/>
  <c r="D99" i="5"/>
  <c r="C99" i="5"/>
  <c r="L98" i="5"/>
  <c r="K98" i="5"/>
  <c r="J98" i="5"/>
  <c r="I98" i="5"/>
  <c r="H98" i="5"/>
  <c r="G98" i="5"/>
  <c r="F98" i="5"/>
  <c r="E98" i="5"/>
  <c r="D98" i="5"/>
  <c r="C98" i="5"/>
  <c r="L97" i="5"/>
  <c r="K97" i="5"/>
  <c r="J97" i="5"/>
  <c r="I97" i="5"/>
  <c r="H97" i="5"/>
  <c r="G97" i="5"/>
  <c r="F97" i="5"/>
  <c r="E97" i="5"/>
  <c r="D97" i="5"/>
  <c r="C97" i="5"/>
  <c r="L96" i="5"/>
  <c r="K96" i="5"/>
  <c r="J96" i="5"/>
  <c r="I96" i="5"/>
  <c r="H96" i="5"/>
  <c r="G96" i="5"/>
  <c r="F96" i="5"/>
  <c r="E96" i="5"/>
  <c r="D96" i="5"/>
  <c r="C96" i="5"/>
  <c r="L92" i="5"/>
  <c r="K92" i="5"/>
  <c r="J92" i="5"/>
  <c r="I92" i="5"/>
  <c r="H92" i="5"/>
  <c r="G92" i="5"/>
  <c r="F92" i="5"/>
  <c r="E92" i="5"/>
  <c r="D92" i="5"/>
  <c r="C92" i="5"/>
  <c r="L91" i="5"/>
  <c r="K91" i="5"/>
  <c r="J91" i="5"/>
  <c r="I91" i="5"/>
  <c r="H91" i="5"/>
  <c r="G91" i="5"/>
  <c r="F91" i="5"/>
  <c r="E91" i="5"/>
  <c r="D91" i="5"/>
  <c r="C91" i="5"/>
  <c r="L90" i="5"/>
  <c r="K90" i="5"/>
  <c r="J90" i="5"/>
  <c r="I90" i="5"/>
  <c r="H90" i="5"/>
  <c r="G90" i="5"/>
  <c r="F90" i="5"/>
  <c r="E90" i="5"/>
  <c r="D90" i="5"/>
  <c r="C90" i="5"/>
  <c r="L89" i="5"/>
  <c r="K89" i="5"/>
  <c r="J89" i="5"/>
  <c r="I89" i="5"/>
  <c r="H89" i="5"/>
  <c r="G89" i="5"/>
  <c r="F89" i="5"/>
  <c r="E89" i="5"/>
  <c r="D89" i="5"/>
  <c r="C89" i="5"/>
  <c r="L88" i="5"/>
  <c r="K88" i="5"/>
  <c r="J88" i="5"/>
  <c r="I88" i="5"/>
  <c r="H88" i="5"/>
  <c r="G88" i="5"/>
  <c r="F88" i="5"/>
  <c r="E88" i="5"/>
  <c r="D88" i="5"/>
  <c r="C88" i="5"/>
  <c r="L87" i="5"/>
  <c r="K87" i="5"/>
  <c r="J87" i="5"/>
  <c r="I87" i="5"/>
  <c r="H87" i="5"/>
  <c r="G87" i="5"/>
  <c r="F87" i="5"/>
  <c r="E87" i="5"/>
  <c r="D87" i="5"/>
  <c r="C87" i="5"/>
  <c r="L86" i="5"/>
  <c r="K86" i="5"/>
  <c r="J86" i="5"/>
  <c r="I86" i="5"/>
  <c r="H86" i="5"/>
  <c r="G86" i="5"/>
  <c r="F86" i="5"/>
  <c r="E86" i="5"/>
  <c r="D86" i="5"/>
  <c r="C86" i="5"/>
  <c r="L85" i="5"/>
  <c r="K85" i="5"/>
  <c r="J85" i="5"/>
  <c r="I85" i="5"/>
  <c r="H85" i="5"/>
  <c r="G85" i="5"/>
  <c r="F85" i="5"/>
  <c r="E85" i="5"/>
  <c r="D85" i="5"/>
  <c r="C85" i="5"/>
  <c r="L84" i="5"/>
  <c r="K84" i="5"/>
  <c r="J84" i="5"/>
  <c r="I84" i="5"/>
  <c r="H84" i="5"/>
  <c r="G84" i="5"/>
  <c r="F84" i="5"/>
  <c r="E84" i="5"/>
  <c r="D84" i="5"/>
  <c r="C84" i="5"/>
  <c r="L83" i="5"/>
  <c r="K83" i="5"/>
  <c r="J83" i="5"/>
  <c r="I83" i="5"/>
  <c r="H83" i="5"/>
  <c r="G83" i="5"/>
  <c r="F83" i="5"/>
  <c r="E83" i="5"/>
  <c r="D83" i="5"/>
  <c r="C83" i="5"/>
  <c r="L82" i="5"/>
  <c r="K82" i="5"/>
  <c r="J82" i="5"/>
  <c r="I82" i="5"/>
  <c r="H82" i="5"/>
  <c r="G82" i="5"/>
  <c r="F82" i="5"/>
  <c r="E82" i="5"/>
  <c r="D82" i="5"/>
  <c r="C82" i="5"/>
  <c r="L81" i="5"/>
  <c r="K81" i="5"/>
  <c r="J81" i="5"/>
  <c r="I81" i="5"/>
  <c r="H81" i="5"/>
  <c r="G81" i="5"/>
  <c r="F81" i="5"/>
  <c r="E81" i="5"/>
  <c r="D81" i="5"/>
  <c r="C81" i="5"/>
  <c r="L70" i="5"/>
  <c r="L76" i="5"/>
  <c r="K76" i="5"/>
  <c r="J76" i="5"/>
  <c r="I76" i="5"/>
  <c r="H76" i="5"/>
  <c r="G76" i="5"/>
  <c r="F76" i="5"/>
  <c r="E76" i="5"/>
  <c r="D76" i="5"/>
  <c r="C76" i="5"/>
  <c r="L75" i="5"/>
  <c r="K75" i="5"/>
  <c r="J75" i="5"/>
  <c r="I75" i="5"/>
  <c r="H75" i="5"/>
  <c r="G75" i="5"/>
  <c r="F75" i="5"/>
  <c r="E75" i="5"/>
  <c r="D75" i="5"/>
  <c r="C75" i="5"/>
  <c r="L74" i="5"/>
  <c r="K74" i="5"/>
  <c r="J74" i="5"/>
  <c r="I74" i="5"/>
  <c r="H74" i="5"/>
  <c r="G74" i="5"/>
  <c r="F74" i="5"/>
  <c r="E74" i="5"/>
  <c r="D74" i="5"/>
  <c r="C74" i="5"/>
  <c r="L73" i="5"/>
  <c r="K73" i="5"/>
  <c r="J73" i="5"/>
  <c r="I73" i="5"/>
  <c r="H73" i="5"/>
  <c r="G73" i="5"/>
  <c r="F73" i="5"/>
  <c r="E73" i="5"/>
  <c r="D73" i="5"/>
  <c r="C73" i="5"/>
  <c r="L72" i="5"/>
  <c r="K72" i="5"/>
  <c r="J72" i="5"/>
  <c r="I72" i="5"/>
  <c r="H72" i="5"/>
  <c r="G72" i="5"/>
  <c r="F72" i="5"/>
  <c r="E72" i="5"/>
  <c r="D72" i="5"/>
  <c r="C72" i="5"/>
  <c r="L71" i="5"/>
  <c r="K71" i="5"/>
  <c r="J71" i="5"/>
  <c r="I71" i="5"/>
  <c r="H71" i="5"/>
  <c r="G71" i="5"/>
  <c r="F71" i="5"/>
  <c r="E71" i="5"/>
  <c r="D71" i="5"/>
  <c r="C71" i="5"/>
  <c r="K70" i="5"/>
  <c r="J70" i="5"/>
  <c r="I70" i="5"/>
  <c r="H70" i="5"/>
  <c r="G70" i="5"/>
  <c r="F70" i="5"/>
  <c r="E70" i="5"/>
  <c r="D70" i="5"/>
  <c r="C70" i="5"/>
  <c r="D30" i="16" l="1"/>
  <c r="D32" i="16" s="1"/>
  <c r="F17" i="16"/>
  <c r="H30" i="16"/>
  <c r="H32" i="16" s="1"/>
  <c r="D17" i="16"/>
  <c r="H17" i="16"/>
  <c r="F30" i="16"/>
  <c r="F32" i="16" s="1"/>
  <c r="G17" i="16"/>
  <c r="E30" i="16"/>
  <c r="E32" i="16" s="1"/>
  <c r="E17" i="16"/>
  <c r="G30" i="16"/>
  <c r="G32" i="16" s="1"/>
  <c r="G11" i="16"/>
  <c r="G19" i="16" s="1"/>
  <c r="D11" i="16"/>
  <c r="D19" i="16" s="1"/>
  <c r="D34" i="16" s="1"/>
  <c r="D37" i="16" s="1"/>
  <c r="E11" i="16"/>
  <c r="E19" i="16" s="1"/>
  <c r="H11" i="16"/>
  <c r="F11" i="16"/>
  <c r="L43" i="10"/>
  <c r="K43" i="10"/>
  <c r="H43" i="10"/>
  <c r="G43" i="10"/>
  <c r="D43" i="10"/>
  <c r="C43" i="10"/>
  <c r="L41" i="10"/>
  <c r="K41" i="10"/>
  <c r="H41" i="10"/>
  <c r="G41" i="10"/>
  <c r="D41" i="10"/>
  <c r="C41" i="10"/>
  <c r="L39" i="10"/>
  <c r="K39" i="10"/>
  <c r="H39" i="10"/>
  <c r="G39" i="10"/>
  <c r="D39" i="10"/>
  <c r="C39" i="10"/>
  <c r="L37" i="10"/>
  <c r="K37" i="10"/>
  <c r="H37" i="10"/>
  <c r="G37" i="10"/>
  <c r="D37" i="10"/>
  <c r="C37" i="10"/>
  <c r="L34" i="10"/>
  <c r="K34" i="10"/>
  <c r="J34" i="10"/>
  <c r="I34" i="10"/>
  <c r="H34" i="10"/>
  <c r="G34" i="10"/>
  <c r="F34" i="10"/>
  <c r="E34" i="10"/>
  <c r="D34" i="10"/>
  <c r="C34" i="10"/>
  <c r="L33" i="10"/>
  <c r="K33" i="10"/>
  <c r="J33" i="10"/>
  <c r="I33" i="10"/>
  <c r="H33" i="10"/>
  <c r="G33" i="10"/>
  <c r="F33" i="10"/>
  <c r="E33" i="10"/>
  <c r="D33" i="10"/>
  <c r="C33" i="10"/>
  <c r="L32" i="10"/>
  <c r="K32" i="10"/>
  <c r="J32" i="10"/>
  <c r="I32" i="10"/>
  <c r="H32" i="10"/>
  <c r="G32" i="10"/>
  <c r="F32" i="10"/>
  <c r="E32" i="10"/>
  <c r="D32" i="10"/>
  <c r="C32" i="10"/>
  <c r="L31" i="10"/>
  <c r="K31" i="10"/>
  <c r="J31" i="10"/>
  <c r="I31" i="10"/>
  <c r="H31" i="10"/>
  <c r="G31" i="10"/>
  <c r="F31" i="10"/>
  <c r="E31" i="10"/>
  <c r="D31" i="10"/>
  <c r="C31" i="10"/>
  <c r="D30" i="10"/>
  <c r="E30" i="10"/>
  <c r="F30" i="10"/>
  <c r="G30" i="10"/>
  <c r="H30" i="10"/>
  <c r="I30" i="10"/>
  <c r="J30" i="10"/>
  <c r="K30" i="10"/>
  <c r="L30" i="10"/>
  <c r="I28" i="10"/>
  <c r="E28" i="10"/>
  <c r="C30" i="10"/>
  <c r="K74" i="1"/>
  <c r="L40" i="10" s="1"/>
  <c r="J74" i="1"/>
  <c r="K40" i="10" s="1"/>
  <c r="I74" i="1"/>
  <c r="H74" i="1"/>
  <c r="G74" i="1"/>
  <c r="H40" i="10" s="1"/>
  <c r="F74" i="1"/>
  <c r="G40" i="10" s="1"/>
  <c r="E74" i="1"/>
  <c r="D74" i="1"/>
  <c r="C74" i="1"/>
  <c r="D40" i="10" s="1"/>
  <c r="B74" i="1"/>
  <c r="C40" i="10" s="1"/>
  <c r="K76" i="1"/>
  <c r="L42" i="10" s="1"/>
  <c r="J76" i="1"/>
  <c r="K42" i="10" s="1"/>
  <c r="I76" i="1"/>
  <c r="J43" i="10" s="1"/>
  <c r="H76" i="1"/>
  <c r="I38" i="10" s="1"/>
  <c r="G76" i="1"/>
  <c r="H42" i="10" s="1"/>
  <c r="F76" i="1"/>
  <c r="G42" i="10" s="1"/>
  <c r="E76" i="1"/>
  <c r="F43" i="10" s="1"/>
  <c r="D76" i="1"/>
  <c r="E42" i="10" s="1"/>
  <c r="C76" i="1"/>
  <c r="D42" i="10" s="1"/>
  <c r="B76" i="1"/>
  <c r="C42" i="10" s="1"/>
  <c r="B43" i="10"/>
  <c r="B42" i="10"/>
  <c r="B41" i="10"/>
  <c r="B40" i="10"/>
  <c r="B39" i="10"/>
  <c r="B38" i="10"/>
  <c r="B37" i="10"/>
  <c r="B34" i="10"/>
  <c r="B33" i="10"/>
  <c r="B32" i="10"/>
  <c r="B31" i="10"/>
  <c r="B26" i="10"/>
  <c r="B4" i="10"/>
  <c r="C10" i="10"/>
  <c r="D10" i="10"/>
  <c r="F10" i="10"/>
  <c r="G10" i="10"/>
  <c r="H10" i="10"/>
  <c r="I10" i="10"/>
  <c r="J10" i="10"/>
  <c r="K10" i="10"/>
  <c r="L10" i="10"/>
  <c r="C11" i="10"/>
  <c r="D11" i="10"/>
  <c r="E11" i="10"/>
  <c r="F11" i="10"/>
  <c r="G11" i="10"/>
  <c r="H11" i="10"/>
  <c r="I11" i="10"/>
  <c r="J11" i="10"/>
  <c r="K11" i="10"/>
  <c r="L11" i="10"/>
  <c r="C12" i="10"/>
  <c r="D12" i="10"/>
  <c r="E12" i="10"/>
  <c r="F12" i="10"/>
  <c r="G12" i="10"/>
  <c r="H12" i="10"/>
  <c r="I12" i="10"/>
  <c r="J12" i="10"/>
  <c r="K12" i="10"/>
  <c r="L12" i="10"/>
  <c r="C13" i="10"/>
  <c r="D13" i="10"/>
  <c r="E13" i="10"/>
  <c r="F13" i="10"/>
  <c r="G13" i="10"/>
  <c r="H13" i="10"/>
  <c r="I13" i="10"/>
  <c r="J13" i="10"/>
  <c r="K13" i="10"/>
  <c r="L13" i="10"/>
  <c r="C14" i="10"/>
  <c r="D14" i="10"/>
  <c r="E14" i="10"/>
  <c r="F14" i="10"/>
  <c r="G14" i="10"/>
  <c r="H14" i="10"/>
  <c r="I14" i="10"/>
  <c r="J14" i="10"/>
  <c r="K14" i="10"/>
  <c r="L14" i="10"/>
  <c r="C15" i="10"/>
  <c r="D15" i="10"/>
  <c r="E15" i="10"/>
  <c r="F15" i="10"/>
  <c r="G15" i="10"/>
  <c r="H15" i="10"/>
  <c r="I15" i="10"/>
  <c r="J15" i="10"/>
  <c r="K15" i="10"/>
  <c r="L15" i="10"/>
  <c r="C16" i="10"/>
  <c r="D16" i="10"/>
  <c r="E16" i="10"/>
  <c r="F16" i="10"/>
  <c r="G16" i="10"/>
  <c r="H16" i="10"/>
  <c r="I16" i="10"/>
  <c r="J16" i="10"/>
  <c r="K16" i="10"/>
  <c r="L16" i="10"/>
  <c r="C17" i="10"/>
  <c r="D17" i="10"/>
  <c r="E17" i="10"/>
  <c r="F17" i="10"/>
  <c r="G17" i="10"/>
  <c r="H17" i="10"/>
  <c r="I17" i="10"/>
  <c r="J17" i="10"/>
  <c r="K17" i="10"/>
  <c r="L17" i="10"/>
  <c r="C18" i="10"/>
  <c r="D18" i="10"/>
  <c r="E18" i="10"/>
  <c r="F18" i="10"/>
  <c r="G18" i="10"/>
  <c r="H18" i="10"/>
  <c r="I18" i="10"/>
  <c r="J18" i="10"/>
  <c r="K18" i="10"/>
  <c r="L18" i="10"/>
  <c r="C19" i="10"/>
  <c r="D19" i="10"/>
  <c r="E19" i="10"/>
  <c r="F19" i="10"/>
  <c r="G19" i="10"/>
  <c r="H19" i="10"/>
  <c r="I19" i="10"/>
  <c r="J19" i="10"/>
  <c r="K19" i="10"/>
  <c r="L19" i="10"/>
  <c r="C20" i="10"/>
  <c r="D20" i="10"/>
  <c r="E20" i="10"/>
  <c r="F20" i="10"/>
  <c r="G20" i="10"/>
  <c r="H20" i="10"/>
  <c r="I20" i="10"/>
  <c r="J20" i="10"/>
  <c r="K20" i="10"/>
  <c r="L20" i="10"/>
  <c r="C21" i="10"/>
  <c r="D21" i="10"/>
  <c r="E21" i="10"/>
  <c r="F21" i="10"/>
  <c r="G21" i="10"/>
  <c r="H21" i="10"/>
  <c r="I21" i="10"/>
  <c r="J21" i="10"/>
  <c r="K21" i="10"/>
  <c r="L21" i="10"/>
  <c r="C22" i="10"/>
  <c r="D22" i="10"/>
  <c r="E22" i="10"/>
  <c r="F22" i="10"/>
  <c r="G22" i="10"/>
  <c r="H22" i="10"/>
  <c r="I22" i="10"/>
  <c r="J22" i="10"/>
  <c r="K22" i="10"/>
  <c r="L22" i="10"/>
  <c r="D9" i="10"/>
  <c r="E9" i="10"/>
  <c r="F9" i="10"/>
  <c r="G9" i="10"/>
  <c r="H9" i="10"/>
  <c r="I9" i="10"/>
  <c r="J9" i="10"/>
  <c r="K9" i="10"/>
  <c r="L9" i="10"/>
  <c r="C9" i="10"/>
  <c r="D8" i="10"/>
  <c r="E8" i="10"/>
  <c r="F8" i="10"/>
  <c r="G8" i="10"/>
  <c r="H8" i="10"/>
  <c r="I8" i="10"/>
  <c r="J8" i="10"/>
  <c r="K8" i="10"/>
  <c r="L8" i="10"/>
  <c r="C8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D6" i="10"/>
  <c r="D28" i="10" s="1"/>
  <c r="E6" i="10"/>
  <c r="F6" i="10"/>
  <c r="F28" i="10" s="1"/>
  <c r="G6" i="10"/>
  <c r="G28" i="10" s="1"/>
  <c r="H6" i="10"/>
  <c r="H28" i="10" s="1"/>
  <c r="I6" i="10"/>
  <c r="J6" i="10"/>
  <c r="J28" i="10" s="1"/>
  <c r="K6" i="10"/>
  <c r="K28" i="10" s="1"/>
  <c r="L6" i="10"/>
  <c r="L28" i="10" s="1"/>
  <c r="C6" i="10"/>
  <c r="C28" i="10" s="1"/>
  <c r="G34" i="16" l="1"/>
  <c r="G37" i="16" s="1"/>
  <c r="G60" i="16" s="1"/>
  <c r="E43" i="16"/>
  <c r="E50" i="16" s="1"/>
  <c r="E52" i="16" s="1"/>
  <c r="E59" i="16" s="1"/>
  <c r="E34" i="16"/>
  <c r="E37" i="16" s="1"/>
  <c r="E60" i="16" s="1"/>
  <c r="F19" i="16"/>
  <c r="F43" i="16" s="1"/>
  <c r="F50" i="16" s="1"/>
  <c r="F52" i="16" s="1"/>
  <c r="F59" i="16" s="1"/>
  <c r="H19" i="16"/>
  <c r="H43" i="16" s="1"/>
  <c r="H50" i="16" s="1"/>
  <c r="H52" i="16" s="1"/>
  <c r="E36" i="10"/>
  <c r="I36" i="10"/>
  <c r="E38" i="10"/>
  <c r="I40" i="10"/>
  <c r="I42" i="10"/>
  <c r="C36" i="10"/>
  <c r="G36" i="10"/>
  <c r="K36" i="10"/>
  <c r="E37" i="10"/>
  <c r="I37" i="10"/>
  <c r="C38" i="10"/>
  <c r="G38" i="10"/>
  <c r="K38" i="10"/>
  <c r="E39" i="10"/>
  <c r="I39" i="10"/>
  <c r="E41" i="10"/>
  <c r="I41" i="10"/>
  <c r="E43" i="10"/>
  <c r="I43" i="10"/>
  <c r="E40" i="10"/>
  <c r="F36" i="10"/>
  <c r="J36" i="10"/>
  <c r="F38" i="10"/>
  <c r="J38" i="10"/>
  <c r="F40" i="10"/>
  <c r="J40" i="10"/>
  <c r="F42" i="10"/>
  <c r="J42" i="10"/>
  <c r="D36" i="10"/>
  <c r="H36" i="10"/>
  <c r="L36" i="10"/>
  <c r="F37" i="10"/>
  <c r="J37" i="10"/>
  <c r="D38" i="10"/>
  <c r="H38" i="10"/>
  <c r="L38" i="10"/>
  <c r="F39" i="10"/>
  <c r="J39" i="10"/>
  <c r="F41" i="10"/>
  <c r="J41" i="10"/>
  <c r="L4" i="8"/>
  <c r="M16" i="8"/>
  <c r="M17" i="8" s="1"/>
  <c r="M18" i="8" s="1"/>
  <c r="M19" i="8" s="1"/>
  <c r="M20" i="8" s="1"/>
  <c r="M6" i="8" a="1"/>
  <c r="M9" i="8" s="1"/>
  <c r="L7" i="8"/>
  <c r="L8" i="8" s="1"/>
  <c r="L9" i="8" s="1"/>
  <c r="L10" i="8" s="1"/>
  <c r="L11" i="8" s="1"/>
  <c r="L12" i="8" s="1"/>
  <c r="L13" i="8" s="1"/>
  <c r="L14" i="8" s="1"/>
  <c r="L15" i="8" s="1"/>
  <c r="L16" i="8" s="1"/>
  <c r="K34" i="1"/>
  <c r="L23" i="10" s="1"/>
  <c r="J34" i="1"/>
  <c r="K23" i="10" s="1"/>
  <c r="I34" i="1"/>
  <c r="J23" i="10" s="1"/>
  <c r="H34" i="1"/>
  <c r="I23" i="10" s="1"/>
  <c r="G34" i="1"/>
  <c r="H23" i="10" s="1"/>
  <c r="F34" i="1"/>
  <c r="G23" i="10" s="1"/>
  <c r="E34" i="1"/>
  <c r="F23" i="10" s="1"/>
  <c r="D34" i="1"/>
  <c r="E23" i="10" s="1"/>
  <c r="C34" i="1"/>
  <c r="D23" i="10" s="1"/>
  <c r="B34" i="1"/>
  <c r="C23" i="10" s="1"/>
  <c r="H6" i="8" a="1"/>
  <c r="H6" i="8" s="1"/>
  <c r="G7" i="8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4" i="8"/>
  <c r="B4" i="8"/>
  <c r="D6" i="8" a="1"/>
  <c r="D6" i="8" s="1"/>
  <c r="C6" i="8" a="1"/>
  <c r="C9" i="8" s="1"/>
  <c r="B7" i="8"/>
  <c r="B8" i="8" s="1"/>
  <c r="B9" i="8" s="1"/>
  <c r="B10" i="8" s="1"/>
  <c r="B11" i="8" s="1"/>
  <c r="B12" i="8" s="1"/>
  <c r="B13" i="8" s="1"/>
  <c r="B14" i="8" s="1"/>
  <c r="B15" i="8" s="1"/>
  <c r="B16" i="8" s="1"/>
  <c r="E62" i="16" l="1"/>
  <c r="H54" i="16"/>
  <c r="H59" i="16"/>
  <c r="F34" i="16"/>
  <c r="F37" i="16" s="1"/>
  <c r="F60" i="16" s="1"/>
  <c r="F62" i="16" s="1"/>
  <c r="G43" i="16"/>
  <c r="G50" i="16" s="1"/>
  <c r="G52" i="16" s="1"/>
  <c r="H34" i="16"/>
  <c r="H37" i="16" s="1"/>
  <c r="H60" i="16" s="1"/>
  <c r="H62" i="16" s="1"/>
  <c r="L17" i="8"/>
  <c r="M12" i="8"/>
  <c r="M8" i="8"/>
  <c r="M15" i="8"/>
  <c r="M11" i="8"/>
  <c r="M7" i="8"/>
  <c r="M14" i="8"/>
  <c r="M10" i="8"/>
  <c r="M6" i="8"/>
  <c r="M13" i="8"/>
  <c r="H12" i="8"/>
  <c r="H8" i="8"/>
  <c r="H7" i="8"/>
  <c r="H13" i="8"/>
  <c r="H9" i="8"/>
  <c r="H15" i="8"/>
  <c r="H16" i="8" s="1"/>
  <c r="H17" i="8" s="1"/>
  <c r="H18" i="8" s="1"/>
  <c r="H19" i="8" s="1"/>
  <c r="H20" i="8" s="1"/>
  <c r="H11" i="8"/>
  <c r="H14" i="8"/>
  <c r="H10" i="8"/>
  <c r="B17" i="8"/>
  <c r="D9" i="8"/>
  <c r="D12" i="8"/>
  <c r="D15" i="8"/>
  <c r="D11" i="8"/>
  <c r="D7" i="8"/>
  <c r="E7" i="8" s="1"/>
  <c r="D13" i="8"/>
  <c r="E13" i="8" s="1"/>
  <c r="D8" i="8"/>
  <c r="E8" i="8" s="1"/>
  <c r="D14" i="8"/>
  <c r="D10" i="8"/>
  <c r="E10" i="8" s="1"/>
  <c r="C12" i="8"/>
  <c r="C8" i="8"/>
  <c r="C15" i="8"/>
  <c r="C16" i="8" s="1"/>
  <c r="C17" i="8" s="1"/>
  <c r="C18" i="8" s="1"/>
  <c r="C19" i="8" s="1"/>
  <c r="C20" i="8" s="1"/>
  <c r="C11" i="8"/>
  <c r="C7" i="8"/>
  <c r="C14" i="8"/>
  <c r="C10" i="8"/>
  <c r="C6" i="8"/>
  <c r="C13" i="8"/>
  <c r="B2" i="7"/>
  <c r="L3" i="7"/>
  <c r="K3" i="7"/>
  <c r="J3" i="7"/>
  <c r="I3" i="7"/>
  <c r="H3" i="7"/>
  <c r="G3" i="7"/>
  <c r="F3" i="7"/>
  <c r="E3" i="7"/>
  <c r="D3" i="7"/>
  <c r="C3" i="7"/>
  <c r="H55" i="16" l="1"/>
  <c r="G59" i="16"/>
  <c r="G62" i="16" s="1"/>
  <c r="L18" i="8"/>
  <c r="E14" i="8"/>
  <c r="E11" i="8"/>
  <c r="D16" i="8"/>
  <c r="E16" i="8" s="1"/>
  <c r="E15" i="8"/>
  <c r="E12" i="8"/>
  <c r="E9" i="8"/>
  <c r="B18" i="8"/>
  <c r="D17" i="8"/>
  <c r="B2" i="5"/>
  <c r="L19" i="8" l="1"/>
  <c r="E17" i="8"/>
  <c r="B19" i="8"/>
  <c r="D18" i="8"/>
  <c r="E18" i="8" s="1"/>
  <c r="C77" i="5"/>
  <c r="D77" i="5"/>
  <c r="E77" i="5"/>
  <c r="F77" i="5"/>
  <c r="G77" i="5"/>
  <c r="H77" i="5"/>
  <c r="I77" i="5"/>
  <c r="J77" i="5"/>
  <c r="K77" i="5"/>
  <c r="L77" i="5"/>
  <c r="L56" i="5"/>
  <c r="K56" i="5"/>
  <c r="J56" i="5"/>
  <c r="I56" i="5"/>
  <c r="H56" i="5"/>
  <c r="G56" i="5"/>
  <c r="F56" i="5"/>
  <c r="E56" i="5"/>
  <c r="D56" i="5"/>
  <c r="C56" i="5"/>
  <c r="D59" i="5"/>
  <c r="E59" i="5"/>
  <c r="F59" i="5"/>
  <c r="G59" i="5"/>
  <c r="H59" i="5"/>
  <c r="I59" i="5"/>
  <c r="J59" i="5"/>
  <c r="K59" i="5"/>
  <c r="L59" i="5"/>
  <c r="D60" i="5"/>
  <c r="E60" i="5"/>
  <c r="F60" i="5"/>
  <c r="G60" i="5"/>
  <c r="H60" i="5"/>
  <c r="I60" i="5"/>
  <c r="J60" i="5"/>
  <c r="K60" i="5"/>
  <c r="L60" i="5"/>
  <c r="D61" i="5"/>
  <c r="E61" i="5"/>
  <c r="F61" i="5"/>
  <c r="G61" i="5"/>
  <c r="H61" i="5"/>
  <c r="I61" i="5"/>
  <c r="J61" i="5"/>
  <c r="K61" i="5"/>
  <c r="L61" i="5"/>
  <c r="C60" i="5"/>
  <c r="C61" i="5"/>
  <c r="C59" i="5"/>
  <c r="C54" i="5"/>
  <c r="D54" i="5"/>
  <c r="E54" i="5"/>
  <c r="F54" i="5"/>
  <c r="G54" i="5"/>
  <c r="H54" i="5"/>
  <c r="I54" i="5"/>
  <c r="J54" i="5"/>
  <c r="K54" i="5"/>
  <c r="L54" i="5"/>
  <c r="C55" i="5"/>
  <c r="D55" i="5"/>
  <c r="E55" i="5"/>
  <c r="F55" i="5"/>
  <c r="G55" i="5"/>
  <c r="H55" i="5"/>
  <c r="I55" i="5"/>
  <c r="J55" i="5"/>
  <c r="K55" i="5"/>
  <c r="L55" i="5"/>
  <c r="D53" i="5"/>
  <c r="E53" i="5"/>
  <c r="F53" i="5"/>
  <c r="G53" i="5"/>
  <c r="H53" i="5"/>
  <c r="I53" i="5"/>
  <c r="J53" i="5"/>
  <c r="K53" i="5"/>
  <c r="L53" i="5"/>
  <c r="C53" i="5"/>
  <c r="D51" i="5"/>
  <c r="E51" i="5"/>
  <c r="F51" i="5"/>
  <c r="G51" i="5"/>
  <c r="H51" i="5"/>
  <c r="I51" i="5"/>
  <c r="J51" i="5"/>
  <c r="K51" i="5"/>
  <c r="L51" i="5"/>
  <c r="C51" i="5"/>
  <c r="L50" i="5"/>
  <c r="K50" i="5"/>
  <c r="J50" i="5"/>
  <c r="I50" i="5"/>
  <c r="H50" i="5"/>
  <c r="G50" i="5"/>
  <c r="F50" i="5"/>
  <c r="E50" i="5"/>
  <c r="D50" i="5"/>
  <c r="C50" i="5"/>
  <c r="L49" i="5"/>
  <c r="K49" i="5"/>
  <c r="J49" i="5"/>
  <c r="I49" i="5"/>
  <c r="H49" i="5"/>
  <c r="G49" i="5"/>
  <c r="F49" i="5"/>
  <c r="E49" i="5"/>
  <c r="D49" i="5"/>
  <c r="C49" i="5"/>
  <c r="L48" i="5"/>
  <c r="K48" i="5"/>
  <c r="J48" i="5"/>
  <c r="I48" i="5"/>
  <c r="H48" i="5"/>
  <c r="G48" i="5"/>
  <c r="F48" i="5"/>
  <c r="E48" i="5"/>
  <c r="D48" i="5"/>
  <c r="C48" i="5"/>
  <c r="L47" i="5"/>
  <c r="K47" i="5"/>
  <c r="J47" i="5"/>
  <c r="I47" i="5"/>
  <c r="H47" i="5"/>
  <c r="G47" i="5"/>
  <c r="F47" i="5"/>
  <c r="E47" i="5"/>
  <c r="D47" i="5"/>
  <c r="C47" i="5"/>
  <c r="C57" i="5" l="1"/>
  <c r="C64" i="5" s="1"/>
  <c r="I57" i="5"/>
  <c r="E57" i="5"/>
  <c r="J57" i="5"/>
  <c r="J64" i="5" s="1"/>
  <c r="F57" i="5"/>
  <c r="C62" i="5"/>
  <c r="K62" i="5"/>
  <c r="G62" i="5"/>
  <c r="L62" i="5"/>
  <c r="H62" i="5"/>
  <c r="D62" i="5"/>
  <c r="C78" i="5"/>
  <c r="C41" i="7" s="1"/>
  <c r="C93" i="5"/>
  <c r="I93" i="5"/>
  <c r="E93" i="5"/>
  <c r="F102" i="5"/>
  <c r="J102" i="5"/>
  <c r="L78" i="5"/>
  <c r="L41" i="7" s="1"/>
  <c r="I78" i="5"/>
  <c r="I41" i="7" s="1"/>
  <c r="H93" i="5"/>
  <c r="D93" i="5"/>
  <c r="H78" i="5"/>
  <c r="E78" i="5"/>
  <c r="E41" i="7" s="1"/>
  <c r="K78" i="5"/>
  <c r="K41" i="7" s="1"/>
  <c r="G78" i="5"/>
  <c r="C102" i="5"/>
  <c r="G102" i="5"/>
  <c r="K102" i="5"/>
  <c r="E102" i="5"/>
  <c r="I102" i="5"/>
  <c r="D78" i="5"/>
  <c r="D41" i="7" s="1"/>
  <c r="L93" i="5"/>
  <c r="J78" i="5"/>
  <c r="F78" i="5"/>
  <c r="J93" i="5"/>
  <c r="F93" i="5"/>
  <c r="K93" i="5"/>
  <c r="G93" i="5"/>
  <c r="D102" i="5"/>
  <c r="H102" i="5"/>
  <c r="L102" i="5"/>
  <c r="L20" i="8"/>
  <c r="L57" i="5"/>
  <c r="L64" i="5" s="1"/>
  <c r="H57" i="5"/>
  <c r="D57" i="5"/>
  <c r="K57" i="5"/>
  <c r="K64" i="5" s="1"/>
  <c r="G57" i="5"/>
  <c r="J62" i="5"/>
  <c r="F62" i="5"/>
  <c r="I62" i="5"/>
  <c r="I64" i="5" s="1"/>
  <c r="E62" i="5"/>
  <c r="E64" i="5" s="1"/>
  <c r="B20" i="8"/>
  <c r="D20" i="8" s="1"/>
  <c r="D19" i="8"/>
  <c r="E19" i="8" s="1"/>
  <c r="H64" i="5"/>
  <c r="D64" i="5"/>
  <c r="E36" i="5"/>
  <c r="E41" i="5" s="1"/>
  <c r="D36" i="5"/>
  <c r="D41" i="5" s="1"/>
  <c r="C36" i="5"/>
  <c r="C41" i="5" s="1"/>
  <c r="E30" i="5"/>
  <c r="D30" i="5"/>
  <c r="C30" i="5"/>
  <c r="E24" i="5"/>
  <c r="D24" i="5"/>
  <c r="C24" i="5"/>
  <c r="E21" i="5"/>
  <c r="D21" i="5"/>
  <c r="C21" i="5"/>
  <c r="E15" i="5"/>
  <c r="D15" i="5"/>
  <c r="C15" i="5"/>
  <c r="E9" i="5"/>
  <c r="D9" i="5"/>
  <c r="C9" i="5"/>
  <c r="E6" i="5"/>
  <c r="D6" i="5"/>
  <c r="C6" i="5"/>
  <c r="E3" i="5"/>
  <c r="D3" i="5"/>
  <c r="C3" i="5"/>
  <c r="M36" i="5"/>
  <c r="L36" i="5"/>
  <c r="L41" i="5" s="1"/>
  <c r="K36" i="5"/>
  <c r="K41" i="5" s="1"/>
  <c r="J36" i="5"/>
  <c r="J41" i="5" s="1"/>
  <c r="I36" i="5"/>
  <c r="I41" i="5" s="1"/>
  <c r="H36" i="5"/>
  <c r="H41" i="5" s="1"/>
  <c r="G36" i="5"/>
  <c r="G41" i="5" s="1"/>
  <c r="F36" i="5"/>
  <c r="F41" i="5" s="1"/>
  <c r="M30" i="5"/>
  <c r="L30" i="5"/>
  <c r="K30" i="5"/>
  <c r="J30" i="5"/>
  <c r="I30" i="5"/>
  <c r="H30" i="5"/>
  <c r="G30" i="5"/>
  <c r="F30" i="5"/>
  <c r="M24" i="5"/>
  <c r="G24" i="5"/>
  <c r="H24" i="5"/>
  <c r="I24" i="5"/>
  <c r="J24" i="5"/>
  <c r="K24" i="5"/>
  <c r="L24" i="5"/>
  <c r="F24" i="5"/>
  <c r="M21" i="5"/>
  <c r="L21" i="5"/>
  <c r="K21" i="5"/>
  <c r="J21" i="5"/>
  <c r="I21" i="5"/>
  <c r="H21" i="5"/>
  <c r="G21" i="5"/>
  <c r="F21" i="5"/>
  <c r="F15" i="5"/>
  <c r="L15" i="5"/>
  <c r="K15" i="5"/>
  <c r="J15" i="5"/>
  <c r="I15" i="5"/>
  <c r="H15" i="5"/>
  <c r="G15" i="5"/>
  <c r="M9" i="5"/>
  <c r="G9" i="5"/>
  <c r="H9" i="5"/>
  <c r="I9" i="5"/>
  <c r="J9" i="5"/>
  <c r="K9" i="5"/>
  <c r="L9" i="5"/>
  <c r="F9" i="5"/>
  <c r="M6" i="5"/>
  <c r="L6" i="5"/>
  <c r="G6" i="5"/>
  <c r="H6" i="5"/>
  <c r="I6" i="5"/>
  <c r="J6" i="5"/>
  <c r="K6" i="5"/>
  <c r="F6" i="5"/>
  <c r="F3" i="5"/>
  <c r="G3" i="5"/>
  <c r="H3" i="5"/>
  <c r="I3" i="5"/>
  <c r="J3" i="5"/>
  <c r="K3" i="5"/>
  <c r="L3" i="5"/>
  <c r="B6" i="1"/>
  <c r="F64" i="5" l="1"/>
  <c r="G9" i="7"/>
  <c r="K9" i="7"/>
  <c r="G64" i="5"/>
  <c r="G66" i="5" s="1"/>
  <c r="J104" i="5"/>
  <c r="J41" i="7"/>
  <c r="F104" i="5"/>
  <c r="H104" i="5"/>
  <c r="L104" i="5"/>
  <c r="G104" i="5"/>
  <c r="F41" i="7"/>
  <c r="H41" i="7"/>
  <c r="G41" i="7"/>
  <c r="K104" i="5"/>
  <c r="E104" i="5"/>
  <c r="I104" i="5"/>
  <c r="H9" i="7"/>
  <c r="L9" i="7"/>
  <c r="E22" i="5"/>
  <c r="D9" i="7"/>
  <c r="I9" i="7"/>
  <c r="E9" i="7"/>
  <c r="L66" i="5"/>
  <c r="L40" i="7"/>
  <c r="J31" i="7"/>
  <c r="J27" i="7"/>
  <c r="J34" i="7" s="1"/>
  <c r="J39" i="7"/>
  <c r="J29" i="7"/>
  <c r="J36" i="7" s="1"/>
  <c r="J28" i="7"/>
  <c r="J35" i="7" s="1"/>
  <c r="J30" i="7"/>
  <c r="C30" i="7"/>
  <c r="C28" i="7"/>
  <c r="C39" i="7"/>
  <c r="C31" i="7"/>
  <c r="C27" i="7"/>
  <c r="C12" i="5"/>
  <c r="C29" i="7"/>
  <c r="D66" i="5"/>
  <c r="D40" i="7"/>
  <c r="K66" i="5"/>
  <c r="K40" i="7"/>
  <c r="I28" i="7"/>
  <c r="I35" i="7" s="1"/>
  <c r="I30" i="7"/>
  <c r="I39" i="7"/>
  <c r="I29" i="7"/>
  <c r="I36" i="7" s="1"/>
  <c r="I31" i="7"/>
  <c r="I27" i="7"/>
  <c r="I34" i="7" s="1"/>
  <c r="F9" i="7"/>
  <c r="J9" i="7"/>
  <c r="D39" i="7"/>
  <c r="D29" i="7"/>
  <c r="D36" i="7" s="1"/>
  <c r="D31" i="7"/>
  <c r="D27" i="7"/>
  <c r="D34" i="7" s="1"/>
  <c r="D30" i="7"/>
  <c r="D28" i="7"/>
  <c r="D35" i="7" s="1"/>
  <c r="C22" i="5"/>
  <c r="C66" i="5"/>
  <c r="C40" i="7"/>
  <c r="H66" i="5"/>
  <c r="H40" i="7"/>
  <c r="E66" i="5"/>
  <c r="E40" i="7"/>
  <c r="L39" i="7"/>
  <c r="L29" i="7"/>
  <c r="L36" i="7" s="1"/>
  <c r="L31" i="7"/>
  <c r="L27" i="7"/>
  <c r="L34" i="7" s="1"/>
  <c r="L30" i="7"/>
  <c r="L28" i="7"/>
  <c r="L35" i="7" s="1"/>
  <c r="F12" i="5"/>
  <c r="F13" i="5" s="1"/>
  <c r="F11" i="7" s="1"/>
  <c r="F31" i="7"/>
  <c r="F27" i="7"/>
  <c r="F34" i="7" s="1"/>
  <c r="F39" i="7"/>
  <c r="F29" i="7"/>
  <c r="F36" i="7" s="1"/>
  <c r="F28" i="7"/>
  <c r="F35" i="7" s="1"/>
  <c r="F30" i="7"/>
  <c r="H39" i="7"/>
  <c r="H29" i="7"/>
  <c r="H36" i="7" s="1"/>
  <c r="H31" i="7"/>
  <c r="H27" i="7"/>
  <c r="H34" i="7" s="1"/>
  <c r="H30" i="7"/>
  <c r="H28" i="7"/>
  <c r="H35" i="7" s="1"/>
  <c r="E28" i="7"/>
  <c r="E35" i="7" s="1"/>
  <c r="E30" i="7"/>
  <c r="E39" i="7"/>
  <c r="E29" i="7"/>
  <c r="E36" i="7" s="1"/>
  <c r="E31" i="7"/>
  <c r="E27" i="7"/>
  <c r="E34" i="7" s="1"/>
  <c r="D22" i="5"/>
  <c r="F66" i="5"/>
  <c r="F40" i="7"/>
  <c r="I66" i="5"/>
  <c r="I40" i="7"/>
  <c r="K30" i="7"/>
  <c r="K28" i="7"/>
  <c r="K35" i="7" s="1"/>
  <c r="K31" i="7"/>
  <c r="K27" i="7"/>
  <c r="K34" i="7" s="1"/>
  <c r="K29" i="7"/>
  <c r="K36" i="7" s="1"/>
  <c r="K39" i="7"/>
  <c r="G30" i="7"/>
  <c r="G28" i="7"/>
  <c r="G35" i="7" s="1"/>
  <c r="G31" i="7"/>
  <c r="G27" i="7"/>
  <c r="G34" i="7" s="1"/>
  <c r="G39" i="7"/>
  <c r="G29" i="7"/>
  <c r="G36" i="7" s="1"/>
  <c r="J66" i="5"/>
  <c r="J40" i="7"/>
  <c r="E20" i="8"/>
  <c r="D12" i="5"/>
  <c r="D18" i="5" s="1"/>
  <c r="D25" i="5"/>
  <c r="D18" i="7" s="1"/>
  <c r="E7" i="5"/>
  <c r="E5" i="7" s="1"/>
  <c r="C10" i="5"/>
  <c r="C16" i="5"/>
  <c r="C17" i="7" s="1"/>
  <c r="D7" i="5"/>
  <c r="D5" i="7" s="1"/>
  <c r="D10" i="5"/>
  <c r="D16" i="5"/>
  <c r="D17" i="7" s="1"/>
  <c r="C25" i="5"/>
  <c r="C18" i="7" s="1"/>
  <c r="E12" i="5"/>
  <c r="E10" i="5"/>
  <c r="E16" i="5"/>
  <c r="E17" i="7" s="1"/>
  <c r="E25" i="5"/>
  <c r="E18" i="7" s="1"/>
  <c r="I12" i="5"/>
  <c r="I18" i="5" s="1"/>
  <c r="M7" i="5"/>
  <c r="F22" i="5"/>
  <c r="F7" i="5"/>
  <c r="F5" i="7" s="1"/>
  <c r="H10" i="5"/>
  <c r="L12" i="5"/>
  <c r="L18" i="5" s="1"/>
  <c r="F16" i="5"/>
  <c r="F17" i="7" s="1"/>
  <c r="J7" i="5"/>
  <c r="J5" i="7" s="1"/>
  <c r="M12" i="5"/>
  <c r="M18" i="5" s="1"/>
  <c r="I16" i="5"/>
  <c r="I17" i="7" s="1"/>
  <c r="I22" i="5"/>
  <c r="M22" i="5"/>
  <c r="J25" i="5"/>
  <c r="J18" i="7" s="1"/>
  <c r="I7" i="5"/>
  <c r="I5" i="7" s="1"/>
  <c r="J10" i="5"/>
  <c r="F10" i="5"/>
  <c r="H25" i="5"/>
  <c r="H18" i="7" s="1"/>
  <c r="K12" i="5"/>
  <c r="K18" i="5" s="1"/>
  <c r="G7" i="5"/>
  <c r="G5" i="7" s="1"/>
  <c r="I10" i="5"/>
  <c r="H16" i="5"/>
  <c r="H17" i="7" s="1"/>
  <c r="L16" i="5"/>
  <c r="L17" i="7" s="1"/>
  <c r="L25" i="5"/>
  <c r="L18" i="7" s="1"/>
  <c r="L10" i="5"/>
  <c r="M10" i="5"/>
  <c r="J16" i="5"/>
  <c r="J17" i="7" s="1"/>
  <c r="J22" i="5"/>
  <c r="H12" i="5"/>
  <c r="K10" i="5"/>
  <c r="G10" i="5"/>
  <c r="G16" i="5"/>
  <c r="G17" i="7" s="1"/>
  <c r="K16" i="5"/>
  <c r="K17" i="7" s="1"/>
  <c r="G22" i="5"/>
  <c r="K22" i="5"/>
  <c r="M25" i="5"/>
  <c r="H22" i="5"/>
  <c r="L22" i="5"/>
  <c r="F25" i="5"/>
  <c r="F18" i="7" s="1"/>
  <c r="I25" i="5"/>
  <c r="I18" i="7" s="1"/>
  <c r="L7" i="5"/>
  <c r="L5" i="7" s="1"/>
  <c r="H7" i="5"/>
  <c r="H5" i="7" s="1"/>
  <c r="J12" i="5"/>
  <c r="G25" i="5"/>
  <c r="G18" i="7" s="1"/>
  <c r="K25" i="5"/>
  <c r="K18" i="7" s="1"/>
  <c r="K7" i="5"/>
  <c r="K5" i="7" s="1"/>
  <c r="G12" i="5"/>
  <c r="N27" i="7" l="1"/>
  <c r="G40" i="7"/>
  <c r="N41" i="7"/>
  <c r="O41" i="7"/>
  <c r="D37" i="7"/>
  <c r="F18" i="5"/>
  <c r="F13" i="7" s="1"/>
  <c r="F19" i="7" s="1"/>
  <c r="K37" i="7"/>
  <c r="E37" i="7"/>
  <c r="F37" i="7"/>
  <c r="I37" i="7"/>
  <c r="H37" i="7"/>
  <c r="D27" i="5"/>
  <c r="D33" i="5" s="1"/>
  <c r="D22" i="7" s="1"/>
  <c r="D25" i="7"/>
  <c r="D21" i="7"/>
  <c r="D19" i="5"/>
  <c r="D12" i="7" s="1"/>
  <c r="D13" i="7"/>
  <c r="D19" i="7" s="1"/>
  <c r="O18" i="7"/>
  <c r="N18" i="7"/>
  <c r="I19" i="5"/>
  <c r="I12" i="7" s="1"/>
  <c r="I25" i="7"/>
  <c r="I21" i="7"/>
  <c r="I13" i="7"/>
  <c r="I19" i="7" s="1"/>
  <c r="O29" i="7"/>
  <c r="N29" i="7"/>
  <c r="C36" i="7"/>
  <c r="O39" i="7"/>
  <c r="N39" i="7"/>
  <c r="J37" i="7"/>
  <c r="K13" i="7"/>
  <c r="K19" i="7" s="1"/>
  <c r="K25" i="7"/>
  <c r="K21" i="7"/>
  <c r="O31" i="7"/>
  <c r="N31" i="7"/>
  <c r="F25" i="7"/>
  <c r="F21" i="7"/>
  <c r="D13" i="5"/>
  <c r="D11" i="7" s="1"/>
  <c r="G37" i="7"/>
  <c r="L37" i="7"/>
  <c r="C35" i="7"/>
  <c r="O28" i="7"/>
  <c r="N28" i="7"/>
  <c r="L25" i="7"/>
  <c r="L21" i="7"/>
  <c r="L6" i="7"/>
  <c r="L13" i="7"/>
  <c r="L19" i="7" s="1"/>
  <c r="O17" i="7"/>
  <c r="N17" i="7"/>
  <c r="O40" i="7"/>
  <c r="N40" i="7"/>
  <c r="O5" i="7"/>
  <c r="N5" i="7"/>
  <c r="O27" i="7"/>
  <c r="C34" i="7"/>
  <c r="O30" i="7"/>
  <c r="N30" i="7"/>
  <c r="L13" i="5"/>
  <c r="L11" i="7" s="1"/>
  <c r="I27" i="5"/>
  <c r="E13" i="5"/>
  <c r="E11" i="7" s="1"/>
  <c r="E18" i="5"/>
  <c r="F6" i="7" s="1"/>
  <c r="I13" i="5"/>
  <c r="I11" i="7" s="1"/>
  <c r="D31" i="5"/>
  <c r="K13" i="5"/>
  <c r="K11" i="7" s="1"/>
  <c r="M13" i="5"/>
  <c r="L19" i="5"/>
  <c r="L12" i="7" s="1"/>
  <c r="L27" i="5"/>
  <c r="F19" i="5"/>
  <c r="F12" i="7" s="1"/>
  <c r="F27" i="5"/>
  <c r="M19" i="5"/>
  <c r="M27" i="5"/>
  <c r="K19" i="5"/>
  <c r="K12" i="7" s="1"/>
  <c r="K27" i="5"/>
  <c r="J18" i="5"/>
  <c r="K6" i="7" s="1"/>
  <c r="J13" i="5"/>
  <c r="J11" i="7" s="1"/>
  <c r="H18" i="5"/>
  <c r="H13" i="5"/>
  <c r="H11" i="7" s="1"/>
  <c r="G18" i="5"/>
  <c r="G13" i="5"/>
  <c r="G11" i="7" s="1"/>
  <c r="D28" i="5" l="1"/>
  <c r="D14" i="7" s="1"/>
  <c r="I33" i="5"/>
  <c r="O34" i="7"/>
  <c r="N34" i="7"/>
  <c r="H25" i="7"/>
  <c r="H21" i="7"/>
  <c r="H6" i="7"/>
  <c r="H13" i="7"/>
  <c r="H19" i="7" s="1"/>
  <c r="N36" i="7"/>
  <c r="O36" i="7"/>
  <c r="I6" i="7"/>
  <c r="L7" i="7"/>
  <c r="E27" i="5"/>
  <c r="E7" i="7" s="1"/>
  <c r="E25" i="7"/>
  <c r="E21" i="7"/>
  <c r="E13" i="7"/>
  <c r="E19" i="7" s="1"/>
  <c r="E19" i="5"/>
  <c r="E12" i="7" s="1"/>
  <c r="E6" i="7"/>
  <c r="G6" i="7"/>
  <c r="G13" i="7"/>
  <c r="G19" i="7" s="1"/>
  <c r="G25" i="7"/>
  <c r="G21" i="7"/>
  <c r="J25" i="7"/>
  <c r="J21" i="7"/>
  <c r="J6" i="7"/>
  <c r="J13" i="7"/>
  <c r="J19" i="7" s="1"/>
  <c r="O35" i="7"/>
  <c r="N35" i="7"/>
  <c r="C37" i="7"/>
  <c r="I28" i="5"/>
  <c r="I14" i="7" s="1"/>
  <c r="I31" i="5"/>
  <c r="E31" i="5"/>
  <c r="D34" i="5"/>
  <c r="D15" i="7" s="1"/>
  <c r="D38" i="5"/>
  <c r="H19" i="5"/>
  <c r="H12" i="7" s="1"/>
  <c r="H27" i="5"/>
  <c r="K33" i="5"/>
  <c r="K28" i="5"/>
  <c r="K14" i="7" s="1"/>
  <c r="K31" i="5"/>
  <c r="F33" i="5"/>
  <c r="F28" i="5"/>
  <c r="F14" i="7" s="1"/>
  <c r="F31" i="5"/>
  <c r="L33" i="5"/>
  <c r="L28" i="5"/>
  <c r="L14" i="7" s="1"/>
  <c r="L31" i="5"/>
  <c r="G19" i="5"/>
  <c r="G12" i="7" s="1"/>
  <c r="G27" i="5"/>
  <c r="G7" i="7" s="1"/>
  <c r="J19" i="5"/>
  <c r="J12" i="7" s="1"/>
  <c r="J27" i="5"/>
  <c r="J7" i="7" s="1"/>
  <c r="M33" i="5"/>
  <c r="M34" i="5" s="1"/>
  <c r="M28" i="5"/>
  <c r="M31" i="5"/>
  <c r="I38" i="5"/>
  <c r="I34" i="5"/>
  <c r="I15" i="7" s="1"/>
  <c r="H7" i="7" l="1"/>
  <c r="E33" i="5"/>
  <c r="F8" i="7" s="1"/>
  <c r="F22" i="7"/>
  <c r="N37" i="7"/>
  <c r="O37" i="7"/>
  <c r="I7" i="7"/>
  <c r="L22" i="7"/>
  <c r="L8" i="7"/>
  <c r="E28" i="5"/>
  <c r="E14" i="7" s="1"/>
  <c r="I22" i="7"/>
  <c r="K22" i="7"/>
  <c r="F7" i="7"/>
  <c r="K7" i="7"/>
  <c r="D42" i="5"/>
  <c r="D44" i="5" s="1"/>
  <c r="D23" i="7" s="1"/>
  <c r="D24" i="7" s="1"/>
  <c r="I42" i="5"/>
  <c r="I44" i="5" s="1"/>
  <c r="I23" i="7" s="1"/>
  <c r="F38" i="5"/>
  <c r="F34" i="5"/>
  <c r="F15" i="7" s="1"/>
  <c r="H33" i="5"/>
  <c r="H28" i="5"/>
  <c r="H14" i="7" s="1"/>
  <c r="H31" i="5"/>
  <c r="G33" i="5"/>
  <c r="G28" i="5"/>
  <c r="G14" i="7" s="1"/>
  <c r="G31" i="5"/>
  <c r="L38" i="5"/>
  <c r="L34" i="5"/>
  <c r="L15" i="7" s="1"/>
  <c r="J33" i="5"/>
  <c r="J28" i="5"/>
  <c r="J14" i="7" s="1"/>
  <c r="J31" i="5"/>
  <c r="K38" i="5"/>
  <c r="K34" i="5"/>
  <c r="K15" i="7" s="1"/>
  <c r="E8" i="7" l="1"/>
  <c r="E38" i="5"/>
  <c r="E39" i="5" s="1"/>
  <c r="E22" i="7"/>
  <c r="E34" i="5"/>
  <c r="E15" i="7" s="1"/>
  <c r="J8" i="7"/>
  <c r="J22" i="7"/>
  <c r="H22" i="7"/>
  <c r="H8" i="7"/>
  <c r="G22" i="7"/>
  <c r="G8" i="7"/>
  <c r="I24" i="7"/>
  <c r="K8" i="7"/>
  <c r="I8" i="7"/>
  <c r="K42" i="5"/>
  <c r="K44" i="5" s="1"/>
  <c r="K23" i="7" s="1"/>
  <c r="K24" i="7" s="1"/>
  <c r="L39" i="5"/>
  <c r="L42" i="5"/>
  <c r="L44" i="5" s="1"/>
  <c r="L23" i="7" s="1"/>
  <c r="L24" i="7" s="1"/>
  <c r="F39" i="5"/>
  <c r="F42" i="5"/>
  <c r="F44" i="5" s="1"/>
  <c r="F23" i="7" s="1"/>
  <c r="F24" i="7" s="1"/>
  <c r="E42" i="5"/>
  <c r="E44" i="5" s="1"/>
  <c r="E23" i="7" s="1"/>
  <c r="J38" i="5"/>
  <c r="J34" i="5"/>
  <c r="J15" i="7" s="1"/>
  <c r="H38" i="5"/>
  <c r="H34" i="5"/>
  <c r="H15" i="7" s="1"/>
  <c r="G38" i="5"/>
  <c r="G34" i="5"/>
  <c r="G15" i="7" s="1"/>
  <c r="E24" i="7" l="1"/>
  <c r="H39" i="5"/>
  <c r="H42" i="5"/>
  <c r="H44" i="5" s="1"/>
  <c r="H23" i="7" s="1"/>
  <c r="H24" i="7" s="1"/>
  <c r="I39" i="5"/>
  <c r="G39" i="5"/>
  <c r="G42" i="5"/>
  <c r="G44" i="5" s="1"/>
  <c r="G23" i="7" s="1"/>
  <c r="G24" i="7" s="1"/>
  <c r="J39" i="5"/>
  <c r="J42" i="5"/>
  <c r="J44" i="5" s="1"/>
  <c r="J23" i="7" s="1"/>
  <c r="J24" i="7" s="1"/>
  <c r="K39" i="5"/>
  <c r="C18" i="5" l="1"/>
  <c r="C13" i="5"/>
  <c r="C11" i="7"/>
  <c r="N11" i="7" l="1"/>
  <c r="O11" i="7"/>
  <c r="C27" i="5"/>
  <c r="C33" i="5" s="1"/>
  <c r="C22" i="7" s="1"/>
  <c r="I6" i="8" a="1"/>
  <c r="C21" i="7"/>
  <c r="C13" i="7"/>
  <c r="C25" i="7"/>
  <c r="C19" i="5"/>
  <c r="C12" i="7" s="1"/>
  <c r="D6" i="7"/>
  <c r="C28" i="5" l="1"/>
  <c r="C14" i="7" s="1"/>
  <c r="N14" i="7" s="1"/>
  <c r="C31" i="5"/>
  <c r="D7" i="7"/>
  <c r="O12" i="7"/>
  <c r="N12" i="7"/>
  <c r="O14" i="7"/>
  <c r="N25" i="7"/>
  <c r="O25" i="7"/>
  <c r="O7" i="7"/>
  <c r="N7" i="7"/>
  <c r="C19" i="7"/>
  <c r="O13" i="7"/>
  <c r="N13" i="7"/>
  <c r="I7" i="8"/>
  <c r="I14" i="8"/>
  <c r="I9" i="8"/>
  <c r="I11" i="8"/>
  <c r="I10" i="8"/>
  <c r="I12" i="8"/>
  <c r="I6" i="8"/>
  <c r="I8" i="8"/>
  <c r="I13" i="8"/>
  <c r="I15" i="8"/>
  <c r="J15" i="8" s="1"/>
  <c r="O6" i="7"/>
  <c r="N6" i="7"/>
  <c r="O22" i="7"/>
  <c r="N22" i="7"/>
  <c r="N21" i="7"/>
  <c r="O21" i="7"/>
  <c r="C34" i="5"/>
  <c r="C15" i="7" s="1"/>
  <c r="C38" i="5"/>
  <c r="D8" i="7"/>
  <c r="N6" i="8" l="1"/>
  <c r="N6" i="8" a="1"/>
  <c r="J13" i="8"/>
  <c r="J10" i="8"/>
  <c r="J7" i="8"/>
  <c r="O8" i="7"/>
  <c r="N8" i="7"/>
  <c r="J9" i="8"/>
  <c r="O15" i="7"/>
  <c r="N15" i="7"/>
  <c r="J8" i="8"/>
  <c r="J11" i="8"/>
  <c r="I20" i="8"/>
  <c r="I18" i="8"/>
  <c r="I16" i="8"/>
  <c r="J16" i="8" s="1"/>
  <c r="J12" i="8"/>
  <c r="J14" i="8"/>
  <c r="O19" i="7"/>
  <c r="N19" i="7"/>
  <c r="D39" i="5"/>
  <c r="C42" i="5"/>
  <c r="C44" i="5" s="1"/>
  <c r="C23" i="7" s="1"/>
  <c r="N8" i="8" l="1"/>
  <c r="N14" i="8"/>
  <c r="O14" i="8" s="1"/>
  <c r="N15" i="8"/>
  <c r="O15" i="8" s="1"/>
  <c r="N10" i="8"/>
  <c r="O10" i="8" s="1"/>
  <c r="N13" i="8"/>
  <c r="N9" i="8"/>
  <c r="O9" i="8" s="1"/>
  <c r="N11" i="8"/>
  <c r="N7" i="8"/>
  <c r="N12" i="8"/>
  <c r="J18" i="8"/>
  <c r="J19" i="8"/>
  <c r="J20" i="8"/>
  <c r="O23" i="7"/>
  <c r="N23" i="7"/>
  <c r="C24" i="7"/>
  <c r="J17" i="8"/>
  <c r="N16" i="8" l="1"/>
  <c r="O16" i="8" s="1"/>
  <c r="N20" i="8"/>
  <c r="O20" i="8" s="1"/>
  <c r="O7" i="8"/>
  <c r="N19" i="8"/>
  <c r="N18" i="8"/>
  <c r="O18" i="8" s="1"/>
  <c r="O11" i="8"/>
  <c r="N17" i="8"/>
  <c r="O12" i="8"/>
  <c r="O13" i="8"/>
  <c r="O8" i="8"/>
  <c r="O24" i="7"/>
  <c r="N24" i="7"/>
  <c r="O19" i="8" l="1"/>
  <c r="O17" i="8"/>
</calcChain>
</file>

<file path=xl/sharedStrings.xml><?xml version="1.0" encoding="utf-8"?>
<sst xmlns="http://schemas.openxmlformats.org/spreadsheetml/2006/main" count="579" uniqueCount="381">
  <si>
    <t>Adjusted Equity Shares in Cr</t>
  </si>
  <si>
    <t>DERIVED:</t>
  </si>
  <si>
    <t>PRICE:</t>
  </si>
  <si>
    <t>Net Cash Flow</t>
  </si>
  <si>
    <t>Cash from Financing Activity</t>
  </si>
  <si>
    <t>Cash from Investing Activity</t>
  </si>
  <si>
    <t>Cash from Operating Activity</t>
  </si>
  <si>
    <t>Report Date</t>
  </si>
  <si>
    <t>CASH FLOW:</t>
  </si>
  <si>
    <t>Face value</t>
  </si>
  <si>
    <t>New Bonus Shares</t>
  </si>
  <si>
    <t>No. of Equity Shares</t>
  </si>
  <si>
    <t>Cash &amp; Bank</t>
  </si>
  <si>
    <t>Inventory</t>
  </si>
  <si>
    <t>Receivables</t>
  </si>
  <si>
    <t>Total</t>
  </si>
  <si>
    <t>Other Assets</t>
  </si>
  <si>
    <t>Investments</t>
  </si>
  <si>
    <t>Capital Work in Progress</t>
  </si>
  <si>
    <t>Net Block</t>
  </si>
  <si>
    <t>Other Liabilities</t>
  </si>
  <si>
    <t>Borrowings</t>
  </si>
  <si>
    <t>Reserves</t>
  </si>
  <si>
    <t>Equity Share Capital</t>
  </si>
  <si>
    <t>BALANCE SHEET</t>
  </si>
  <si>
    <t>Operating Profit</t>
  </si>
  <si>
    <t>Net profit</t>
  </si>
  <si>
    <t>Tax</t>
  </si>
  <si>
    <t>Profit before tax</t>
  </si>
  <si>
    <t>Interest</t>
  </si>
  <si>
    <t>Depreciation</t>
  </si>
  <si>
    <t>Other Income</t>
  </si>
  <si>
    <t>Expenses</t>
  </si>
  <si>
    <t>Sales</t>
  </si>
  <si>
    <t>Quarters</t>
  </si>
  <si>
    <t>Dividend Amount</t>
  </si>
  <si>
    <t>Other Expenses</t>
  </si>
  <si>
    <t>Selling and admin</t>
  </si>
  <si>
    <t>Employee Cost</t>
  </si>
  <si>
    <t>Other Mfr. Exp</t>
  </si>
  <si>
    <t>Power and Fuel</t>
  </si>
  <si>
    <t>Change in Inventory</t>
  </si>
  <si>
    <t>Raw Material Cost</t>
  </si>
  <si>
    <t>PROFIT &amp; LOSS</t>
  </si>
  <si>
    <t>Market Capitalization</t>
  </si>
  <si>
    <t>Current Price</t>
  </si>
  <si>
    <t>Face Value</t>
  </si>
  <si>
    <t>Number of shares</t>
  </si>
  <si>
    <t>META</t>
  </si>
  <si>
    <t>CURRENT VERSION</t>
  </si>
  <si>
    <t>PLEASE DO NOT MAKE ANY CHANGES TO THIS SHEET</t>
  </si>
  <si>
    <t>LATEST VERSION</t>
  </si>
  <si>
    <t>ASIAN PAINTS LTD</t>
  </si>
  <si>
    <t>COMPANY NAME</t>
  </si>
  <si>
    <t>Years</t>
  </si>
  <si>
    <t xml:space="preserve"># </t>
  </si>
  <si>
    <t>Income Satement</t>
  </si>
  <si>
    <t>LTM</t>
  </si>
  <si>
    <t xml:space="preserve">Sales Growth </t>
  </si>
  <si>
    <t>COGS</t>
  </si>
  <si>
    <t>COGS% Sales</t>
  </si>
  <si>
    <t>Gross Profit</t>
  </si>
  <si>
    <t>Selling&amp; General expenses</t>
  </si>
  <si>
    <t>S&amp;G Expenses% Sales</t>
  </si>
  <si>
    <t>EBITDA</t>
  </si>
  <si>
    <t>Interst % Sales</t>
  </si>
  <si>
    <t>Depreciation % sales</t>
  </si>
  <si>
    <t>EBITDA Margins</t>
  </si>
  <si>
    <t>Gross Margins</t>
  </si>
  <si>
    <t>Earning Befor Tax</t>
  </si>
  <si>
    <t>EBT % Sales</t>
  </si>
  <si>
    <t xml:space="preserve">Effective Tax rate </t>
  </si>
  <si>
    <t xml:space="preserve">Net Profit </t>
  </si>
  <si>
    <t>Net Margins</t>
  </si>
  <si>
    <t>No of Equity Shares</t>
  </si>
  <si>
    <t>EPS</t>
  </si>
  <si>
    <t>Dividend per Share</t>
  </si>
  <si>
    <t>EPS growth%</t>
  </si>
  <si>
    <t>Dividend payout ratio</t>
  </si>
  <si>
    <t>Retained Earning</t>
  </si>
  <si>
    <t>Balance Sheet</t>
  </si>
  <si>
    <t>Total Liabilities</t>
  </si>
  <si>
    <t>Fixed Assets Net Block</t>
  </si>
  <si>
    <t>Total Non Current Assets</t>
  </si>
  <si>
    <t>Total Current Assets</t>
  </si>
  <si>
    <t>Total Assets</t>
  </si>
  <si>
    <t>Check</t>
  </si>
  <si>
    <t>Cash from Operating Activity -</t>
  </si>
  <si>
    <t>Profit from operations</t>
  </si>
  <si>
    <t>Payables</t>
  </si>
  <si>
    <t>Other WC items</t>
  </si>
  <si>
    <t>Working capital changes</t>
  </si>
  <si>
    <t>Direct taxes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</si>
  <si>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</si>
  <si>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</si>
  <si>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</si>
  <si>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</si>
  <si>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</si>
  <si>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</si>
  <si>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</si>
  <si>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</si>
  <si>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Redemp n Canc of Shares</t>
  </si>
  <si>
    <t>Acquisition of companies</t>
  </si>
  <si>
    <t>Other investing items</t>
  </si>
  <si>
    <t>Cash from Financing Activity -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</si>
  <si>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</si>
  <si>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</si>
  <si>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</si>
  <si>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</si>
  <si>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</si>
  <si>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</si>
  <si>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Flow Statement</t>
  </si>
  <si>
    <t>Operating Activities</t>
  </si>
  <si>
    <t>Cash From Operating Activities</t>
  </si>
  <si>
    <t>Csh From Financing Activities</t>
  </si>
  <si>
    <t>Financing Activities</t>
  </si>
  <si>
    <t>Cash From Investing Activities</t>
  </si>
  <si>
    <t>Investing Activities</t>
  </si>
  <si>
    <t>NET Cash Flow</t>
  </si>
  <si>
    <t>Sales Growth</t>
  </si>
  <si>
    <t>EBIT Growth</t>
  </si>
  <si>
    <t>EBITDA Growth</t>
  </si>
  <si>
    <t>Net Profit growth</t>
  </si>
  <si>
    <t>Dividend Growth</t>
  </si>
  <si>
    <t>Gross Margin</t>
  </si>
  <si>
    <t>EBITDA Margin</t>
  </si>
  <si>
    <t>EBIT Margin</t>
  </si>
  <si>
    <t>EBT Margin</t>
  </si>
  <si>
    <t>Net Profit Margin</t>
  </si>
  <si>
    <t>Depreciation % Sales</t>
  </si>
  <si>
    <t>Sales Expense % Sales</t>
  </si>
  <si>
    <t>Operating Income % Sales</t>
  </si>
  <si>
    <t>Return on Capital Employed</t>
  </si>
  <si>
    <t>Return on Equity</t>
  </si>
  <si>
    <t>Retained earning</t>
  </si>
  <si>
    <t>Self Sustained Growth rate</t>
  </si>
  <si>
    <t>interest Coverage Ratio</t>
  </si>
  <si>
    <t>Debtor Turnover Ratio</t>
  </si>
  <si>
    <t>Creditor Turnover Ratio</t>
  </si>
  <si>
    <t>Inventory Turnover Ratio</t>
  </si>
  <si>
    <t>Capital Turnover Ratio</t>
  </si>
  <si>
    <t>Fixed Asset Turnover Ratio</t>
  </si>
  <si>
    <t>(In Days)</t>
  </si>
  <si>
    <t>Debtor days</t>
  </si>
  <si>
    <t>Payable days</t>
  </si>
  <si>
    <t>Inventory days</t>
  </si>
  <si>
    <t>Cash Conversion Cycle</t>
  </si>
  <si>
    <t>CFO/Sales</t>
  </si>
  <si>
    <t>CFO/Total Assets</t>
  </si>
  <si>
    <t>CFO/Total Debt</t>
  </si>
  <si>
    <t>Mean</t>
  </si>
  <si>
    <t>Median</t>
  </si>
  <si>
    <t>Trend</t>
  </si>
  <si>
    <t>Year Weight</t>
  </si>
  <si>
    <t>Year</t>
  </si>
  <si>
    <t>EPS Growth</t>
  </si>
  <si>
    <t>Particulars</t>
  </si>
  <si>
    <t>Total Liability</t>
  </si>
  <si>
    <t>Exceptional CF items</t>
  </si>
  <si>
    <t>Equity Capital</t>
  </si>
  <si>
    <t>Borrowings -</t>
  </si>
  <si>
    <t>Long term Borrowings</t>
  </si>
  <si>
    <t>Short term Borrowings</t>
  </si>
  <si>
    <t>Lease Liabilities</t>
  </si>
  <si>
    <t>Other Borrowings</t>
  </si>
  <si>
    <t>Other Liabilities -</t>
  </si>
  <si>
    <t>Non controlling int</t>
  </si>
  <si>
    <t>Trade Payables</t>
  </si>
  <si>
    <t>Advance from Customers</t>
  </si>
  <si>
    <t>Other liability items</t>
  </si>
  <si>
    <t>Fixed Assets -</t>
  </si>
  <si>
    <t>Land</t>
  </si>
  <si>
    <t>Building</t>
  </si>
  <si>
    <t>Plant Machinery</t>
  </si>
  <si>
    <t>Equipments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</si>
  <si>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</si>
  <si>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</si>
  <si>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</si>
  <si>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</si>
  <si>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</si>
  <si>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</si>
  <si>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</si>
  <si>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Other Assets -</t>
  </si>
  <si>
    <t>Inventories</t>
  </si>
  <si>
    <t>Trade receivables</t>
  </si>
  <si>
    <t>Cash Equivalents</t>
  </si>
  <si>
    <t>Short term loans</t>
  </si>
  <si>
    <t>Other asset items</t>
  </si>
  <si>
    <t>Calculation of ROIC</t>
  </si>
  <si>
    <t>Current Assets</t>
  </si>
  <si>
    <t>Current Liabilities</t>
  </si>
  <si>
    <t>Total Current Liabilities</t>
  </si>
  <si>
    <t>Net Working Capital</t>
  </si>
  <si>
    <t>Non Current Assets</t>
  </si>
  <si>
    <t>#</t>
  </si>
  <si>
    <t>Net Non Current Assets</t>
  </si>
  <si>
    <t>Invested Capital</t>
  </si>
  <si>
    <t xml:space="preserve"> EBIT</t>
  </si>
  <si>
    <t>ROIC</t>
  </si>
  <si>
    <t>Calculation of Reinvestment Rate</t>
  </si>
  <si>
    <t>Net Capex</t>
  </si>
  <si>
    <t>Change in working Capital</t>
  </si>
  <si>
    <t>EBIT</t>
  </si>
  <si>
    <t>Marginal Tax Rate</t>
  </si>
  <si>
    <t>Reinvestment</t>
  </si>
  <si>
    <t>EBIT(1-T)</t>
  </si>
  <si>
    <t>Reinvestment Rate</t>
  </si>
  <si>
    <t>4 Year Average</t>
  </si>
  <si>
    <t>4 Year Median</t>
  </si>
  <si>
    <t>Calculation of Growth Rate</t>
  </si>
  <si>
    <t>Intrinsic Growth Rate</t>
  </si>
  <si>
    <t>4 year Median</t>
  </si>
  <si>
    <t>S.No.</t>
  </si>
  <si>
    <t>Name</t>
  </si>
  <si>
    <t xml:space="preserve">Mar Cap Rs.Cr. </t>
  </si>
  <si>
    <t>Debt Rs.Cr.</t>
  </si>
  <si>
    <t>Debt / Eq</t>
  </si>
  <si>
    <t>Asian Paints</t>
  </si>
  <si>
    <t>Berger Paints</t>
  </si>
  <si>
    <t>Kansai Nerolac</t>
  </si>
  <si>
    <t>Akzo Nobel</t>
  </si>
  <si>
    <t>Indigo Paints</t>
  </si>
  <si>
    <t>Shalimar Paints</t>
  </si>
  <si>
    <t>MCON Rasayan</t>
  </si>
  <si>
    <t>Retina Paints</t>
  </si>
  <si>
    <t>Weighted Average Cost of Capital</t>
  </si>
  <si>
    <t>All figures are in INR unless stated otherwises</t>
  </si>
  <si>
    <t>Peer Comps</t>
  </si>
  <si>
    <t>Country</t>
  </si>
  <si>
    <t>Total Debt</t>
  </si>
  <si>
    <t xml:space="preserve">Total Equity </t>
  </si>
  <si>
    <t xml:space="preserve"> </t>
  </si>
  <si>
    <r>
      <t>Tax Rate</t>
    </r>
    <r>
      <rPr>
        <vertAlign val="superscript"/>
        <sz val="11"/>
        <color theme="1"/>
        <rFont val="Calibri"/>
        <family val="2"/>
        <scheme val="minor"/>
      </rPr>
      <t xml:space="preserve"> 1</t>
    </r>
  </si>
  <si>
    <t>Debt /</t>
  </si>
  <si>
    <t>Equity</t>
  </si>
  <si>
    <t>Capital</t>
  </si>
  <si>
    <t>Levered</t>
  </si>
  <si>
    <t xml:space="preserve">Unlevered </t>
  </si>
  <si>
    <r>
      <t xml:space="preserve">Beta 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</si>
  <si>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Beta </t>
    </r>
    <r>
      <rPr>
        <vertAlign val="superscript"/>
        <sz val="11"/>
        <color theme="1"/>
        <rFont val="Calibri"/>
        <family val="2"/>
        <scheme val="minor"/>
      </rPr>
      <t>3</t>
    </r>
  </si>
  <si>
    <t>India</t>
  </si>
  <si>
    <t>WACC</t>
  </si>
  <si>
    <t>4. Levered Beta= Unlevered Beta/(1+(1-tax rate)*Debt/Equity)</t>
  </si>
  <si>
    <t>3. Unlevered Beta= Levered Beta/(1+(1-tax rate)*Debt/Equity)</t>
  </si>
  <si>
    <t>2. levered beta is based on 5 year monthly data</t>
  </si>
  <si>
    <t>Debt</t>
  </si>
  <si>
    <t>1. Tax Rate considered as Marginal tax Rate for the country</t>
  </si>
  <si>
    <t>TotalWeight</t>
  </si>
  <si>
    <t xml:space="preserve">TotalCost </t>
  </si>
  <si>
    <t>Notes</t>
  </si>
  <si>
    <t>Debt / Equity</t>
  </si>
  <si>
    <t>Levered Beta</t>
  </si>
  <si>
    <t>total Capital</t>
  </si>
  <si>
    <t>Tax Rate</t>
  </si>
  <si>
    <t>Target Debt / Equity</t>
  </si>
  <si>
    <t>Comps Median Unlevered Beta</t>
  </si>
  <si>
    <t>Target</t>
  </si>
  <si>
    <t>Current</t>
  </si>
  <si>
    <t>Capital Structure</t>
  </si>
  <si>
    <t>Cost of Equity</t>
  </si>
  <si>
    <r>
      <t xml:space="preserve">Levered Beta </t>
    </r>
    <r>
      <rPr>
        <vertAlign val="superscript"/>
        <sz val="11"/>
        <color theme="1"/>
        <rFont val="Calibri"/>
        <family val="2"/>
      </rPr>
      <t>4</t>
    </r>
  </si>
  <si>
    <t>Post Tax Cost of Debt</t>
  </si>
  <si>
    <t>Equity Risk Premium</t>
  </si>
  <si>
    <t>Risk Free Rate</t>
  </si>
  <si>
    <t>Pre-Tax Cost of Debt</t>
  </si>
  <si>
    <t>Cost of Debt</t>
  </si>
  <si>
    <t>Average</t>
  </si>
  <si>
    <t>Date</t>
  </si>
  <si>
    <t>Beta Regression</t>
  </si>
  <si>
    <t>Asian Paints Return</t>
  </si>
  <si>
    <t>Closing Price</t>
  </si>
  <si>
    <t>Return</t>
  </si>
  <si>
    <t>Nifty Returns</t>
  </si>
  <si>
    <t>Beta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</si>
  <si>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</si>
  <si>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</si>
  <si>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</si>
  <si>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</si>
  <si>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</si>
  <si>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</si>
  <si>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</si>
  <si>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</si>
  <si>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</si>
  <si>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</si>
  <si>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</si>
  <si>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</si>
  <si>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</si>
  <si>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</si>
  <si>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</si>
  <si>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</si>
  <si>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</si>
  <si>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</si>
  <si>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</si>
  <si>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</si>
  <si>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</si>
  <si>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</si>
  <si>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</si>
  <si>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</si>
  <si>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Berger Paints Return</t>
  </si>
  <si>
    <t>beta</t>
  </si>
  <si>
    <t>Kansai Nerolac Returns</t>
  </si>
  <si>
    <t>Akzo Nobel Returns</t>
  </si>
  <si>
    <t>Indigo Paints Return</t>
  </si>
  <si>
    <t>Annual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</si>
  <si>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</si>
  <si>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</si>
  <si>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</si>
  <si>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</si>
  <si>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</si>
  <si>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</si>
  <si>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</si>
  <si>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</si>
  <si>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</si>
  <si>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</si>
  <si>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</si>
  <si>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</si>
  <si>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Average Return</t>
  </si>
  <si>
    <t>Dividend Yield</t>
  </si>
  <si>
    <t>Total Market Return</t>
  </si>
  <si>
    <r>
      <t>1.39%</t>
    </r>
    <r>
      <rPr>
        <vertAlign val="superscript"/>
        <sz val="11"/>
        <color theme="1"/>
        <rFont val="Calibri"/>
        <family val="2"/>
        <scheme val="minor"/>
      </rPr>
      <t xml:space="preserve"> 1</t>
    </r>
  </si>
  <si>
    <t>Calculation of PV of FCFF</t>
  </si>
  <si>
    <t>Less: Reinvestment Rate</t>
  </si>
  <si>
    <t>Free Cash Flow to Firm (FCFF)</t>
  </si>
  <si>
    <t>Mid Year Convention</t>
  </si>
  <si>
    <t>PV of FCFF</t>
  </si>
  <si>
    <t>Expected Growth</t>
  </si>
  <si>
    <t>Terminal Growth</t>
  </si>
  <si>
    <t>Discounting Factor</t>
  </si>
  <si>
    <t>Calculation of Terminal Value</t>
  </si>
  <si>
    <t>FCFF (n+1)</t>
  </si>
  <si>
    <t>Terminal Growth Rate</t>
  </si>
  <si>
    <t>Terminal Value</t>
  </si>
  <si>
    <t>PV of Terminal Value</t>
  </si>
  <si>
    <t>Value of Operating Assets</t>
  </si>
  <si>
    <t>Add: Cash</t>
  </si>
  <si>
    <t>Less: Debt</t>
  </si>
  <si>
    <t>Calculation of Equity Value per share</t>
  </si>
  <si>
    <t>Value of Equity</t>
  </si>
  <si>
    <t>no of Shares</t>
  </si>
  <si>
    <t>Value of equity per share</t>
  </si>
  <si>
    <t>Share price</t>
  </si>
  <si>
    <t>Discount/Premium</t>
  </si>
  <si>
    <t>Sensitivity Analysis</t>
  </si>
  <si>
    <t>source: Screener.in</t>
  </si>
  <si>
    <t>Implies Value Per Share</t>
  </si>
  <si>
    <t>Shares Outstanding</t>
  </si>
  <si>
    <t>Implied Market value</t>
  </si>
  <si>
    <t>Net Debt</t>
  </si>
  <si>
    <t>Emplied Enterprise Value</t>
  </si>
  <si>
    <t>P/V</t>
  </si>
  <si>
    <t>EV/EBITDA</t>
  </si>
  <si>
    <t>EV/Revenue</t>
  </si>
  <si>
    <t>Cipla Comparable Valuation</t>
  </si>
  <si>
    <t>Low</t>
  </si>
  <si>
    <t>25th percentile</t>
  </si>
  <si>
    <t>75th percentile</t>
  </si>
  <si>
    <t>High</t>
  </si>
  <si>
    <t>Net Income</t>
  </si>
  <si>
    <t>Revenue</t>
  </si>
  <si>
    <t>Enterprise Value</t>
  </si>
  <si>
    <t>Equity Value</t>
  </si>
  <si>
    <t>Share Outstanding</t>
  </si>
  <si>
    <t>Share Price</t>
  </si>
  <si>
    <t>Ticker</t>
  </si>
  <si>
    <t>Company</t>
  </si>
  <si>
    <t>Valuation</t>
  </si>
  <si>
    <t>Financials</t>
  </si>
  <si>
    <t>Market Data</t>
  </si>
  <si>
    <t xml:space="preserve">  </t>
  </si>
  <si>
    <t>Comparable Company valuation</t>
  </si>
  <si>
    <t>Amount in crores</t>
  </si>
  <si>
    <t>CMP Rs.</t>
  </si>
  <si>
    <t>No. Eq. Shares Cr.</t>
  </si>
  <si>
    <t>Sales Rs.Cr.</t>
  </si>
  <si>
    <t>NP Ann Rs.Cr.</t>
  </si>
  <si>
    <t>Cash End Rs.Cr.</t>
  </si>
  <si>
    <t>EBIT 12M Rs.Cr.</t>
  </si>
  <si>
    <t>Dep 12M Rs.Cr.</t>
  </si>
  <si>
    <t>EV</t>
  </si>
  <si>
    <t>Forecasting</t>
  </si>
  <si>
    <t>Intrinsic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</si>
</sst>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&quot;₹&quot;\ #,##0.0;\(&quot;₹&quot;\ #,##0.0\);\-"/>
    <numFmt numFmtId="167" formatCode="0.00&quot;x&quot;"/>
    <numFmt numFmtId="168" formatCode="yyyy"/>
    <numFmt numFmtId="169" formatCode="yyyy&quot;A&quot;"/>
    <numFmt numFmtId="170" formatCode="yyyy&quot;E&quot;"/>
    <numFmt numFmtId="171" formatCode="0.0"/>
    <numFmt numFmtId="172" formatCode="#,##0.0"/>
    <numFmt numFmtId="173" formatCode="#,##0.0;\(#,##0.0\);\-"/>
    <numFmt numFmtId="174" formatCode="0.000"/>
    <numFmt numFmtId="175" formatCode="mmm/yy&quot;A&quot;"/>
    <numFmt numFmtId="176" formatCode="mmm/yy&quot;F&quot;"/>
    <numFmt numFmtId="177" formatCode="0.00&quot;X&quot;"/>
    <numFmt numFmtId="178" formatCode="0.0\x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333FF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9"/>
      <color theme="1"/>
      <name val="calibri"/>
      <family val="2"/>
    </font>
    <font>
      <i/>
      <sz val="10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color rgb="FF3333FF"/>
      <name val="calibri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i/>
      <sz val="11"/>
      <color theme="1"/>
      <name val="Calibri"/>
      <family val="2"/>
    </font>
    <font>
      <b/>
      <sz val="14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rgb="FF002060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rgb="FF002060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/>
      <diagonal/>
    </border>
    <border>
      <left/>
      <right/>
      <top style="dashed">
        <color rgb="FF002060"/>
      </top>
      <bottom style="dashed">
        <color rgb="FF002060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 style="dotted">
        <color rgb="FF002060"/>
      </top>
      <bottom style="dotted">
        <color rgb="FF002060"/>
      </bottom>
      <diagonal/>
    </border>
    <border>
      <left/>
      <right/>
      <top style="dotted">
        <color rgb="FF002060"/>
      </top>
      <bottom style="thin">
        <color rgb="FF00206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n">
        <color theme="0" tint="-4.9989318521683403E-2"/>
      </bottom>
      <diagonal/>
    </border>
  </borders>
  <cellStyleXfs count="7">
    <xf numFmtId="0" fontId="0" fillId="0" borderId="0"/>
    <xf numFmtId="43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" fillId="2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</cellStyleXfs>
  <cellXfs count="241">
    <xf numFmtId="0" fontId="0" fillId="0" borderId="0" xfId="0"/>
    <xf numFmtId="43" fontId="0" fillId="0" borderId="0" xfId="1" applyFont="1" applyBorder="1"/>
    <xf numFmtId="164" fontId="0" fillId="0" borderId="0" xfId="1" applyNumberFormat="1" applyFont="1" applyBorder="1"/>
    <xf numFmtId="43" fontId="5" fillId="0" borderId="0" xfId="1" applyFont="1" applyBorder="1"/>
    <xf numFmtId="43" fontId="4" fillId="0" borderId="0" xfId="1" applyFont="1" applyBorder="1"/>
    <xf numFmtId="165" fontId="6" fillId="0" borderId="0" xfId="1" applyNumberFormat="1" applyFont="1" applyFill="1" applyBorder="1"/>
    <xf numFmtId="165" fontId="7" fillId="3" borderId="0" xfId="0" applyNumberFormat="1" applyFont="1" applyFill="1" applyBorder="1" applyAlignment="1">
      <alignment horizontal="center"/>
    </xf>
    <xf numFmtId="165" fontId="7" fillId="3" borderId="0" xfId="1" applyNumberFormat="1" applyFont="1" applyFill="1" applyBorder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7" fillId="4" borderId="0" xfId="0" applyFont="1" applyFill="1"/>
    <xf numFmtId="17" fontId="7" fillId="4" borderId="0" xfId="0" applyNumberFormat="1" applyFont="1" applyFill="1"/>
    <xf numFmtId="166" fontId="0" fillId="0" borderId="0" xfId="0" applyNumberFormat="1"/>
    <xf numFmtId="0" fontId="8" fillId="4" borderId="0" xfId="0" applyFont="1" applyFill="1" applyAlignment="1">
      <alignment horizontal="right"/>
    </xf>
    <xf numFmtId="10" fontId="0" fillId="0" borderId="0" xfId="2" applyNumberFormat="1" applyFont="1"/>
    <xf numFmtId="0" fontId="9" fillId="0" borderId="0" xfId="0" applyFont="1"/>
    <xf numFmtId="10" fontId="9" fillId="0" borderId="0" xfId="2" applyNumberFormat="1" applyFont="1"/>
    <xf numFmtId="0" fontId="5" fillId="5" borderId="0" xfId="0" applyFont="1" applyFill="1"/>
    <xf numFmtId="0" fontId="0" fillId="5" borderId="0" xfId="0" applyFill="1"/>
    <xf numFmtId="0" fontId="7" fillId="0" borderId="0" xfId="0" applyFont="1" applyFill="1"/>
    <xf numFmtId="17" fontId="7" fillId="0" borderId="0" xfId="0" applyNumberFormat="1" applyFont="1" applyFill="1"/>
    <xf numFmtId="0" fontId="8" fillId="0" borderId="0" xfId="0" applyFont="1" applyFill="1" applyAlignment="1">
      <alignment horizontal="right"/>
    </xf>
    <xf numFmtId="2" fontId="0" fillId="0" borderId="0" xfId="0" applyNumberFormat="1"/>
    <xf numFmtId="0" fontId="0" fillId="0" borderId="0" xfId="0" applyFont="1"/>
    <xf numFmtId="0" fontId="5" fillId="0" borderId="0" xfId="0" applyFont="1"/>
    <xf numFmtId="3" fontId="0" fillId="0" borderId="0" xfId="0" applyNumberFormat="1"/>
    <xf numFmtId="0" fontId="10" fillId="0" borderId="0" xfId="0" applyFont="1"/>
    <xf numFmtId="166" fontId="5" fillId="0" borderId="1" xfId="0" applyNumberFormat="1" applyFont="1" applyBorder="1"/>
    <xf numFmtId="167" fontId="0" fillId="0" borderId="0" xfId="0" applyNumberFormat="1"/>
    <xf numFmtId="0" fontId="0" fillId="0" borderId="2" xfId="0" applyBorder="1"/>
    <xf numFmtId="10" fontId="0" fillId="0" borderId="2" xfId="2" applyNumberFormat="1" applyFont="1" applyBorder="1"/>
    <xf numFmtId="0" fontId="0" fillId="0" borderId="0" xfId="0" applyBorder="1"/>
    <xf numFmtId="10" fontId="0" fillId="0" borderId="0" xfId="2" applyNumberFormat="1" applyFont="1" applyBorder="1"/>
    <xf numFmtId="0" fontId="0" fillId="0" borderId="3" xfId="0" applyBorder="1"/>
    <xf numFmtId="10" fontId="0" fillId="0" borderId="3" xfId="2" applyNumberFormat="1" applyFont="1" applyBorder="1"/>
    <xf numFmtId="0" fontId="0" fillId="0" borderId="4" xfId="0" applyBorder="1"/>
    <xf numFmtId="10" fontId="0" fillId="0" borderId="4" xfId="2" applyNumberFormat="1" applyFont="1" applyBorder="1"/>
    <xf numFmtId="0" fontId="0" fillId="0" borderId="5" xfId="0" applyBorder="1"/>
    <xf numFmtId="10" fontId="0" fillId="0" borderId="5" xfId="2" applyNumberFormat="1" applyFont="1" applyBorder="1"/>
    <xf numFmtId="167" fontId="0" fillId="0" borderId="5" xfId="0" applyNumberFormat="1" applyBorder="1"/>
    <xf numFmtId="167" fontId="0" fillId="0" borderId="4" xfId="0" applyNumberFormat="1" applyBorder="1"/>
    <xf numFmtId="167" fontId="0" fillId="0" borderId="0" xfId="0" applyNumberFormat="1" applyBorder="1"/>
    <xf numFmtId="0" fontId="5" fillId="0" borderId="4" xfId="0" applyFont="1" applyBorder="1"/>
    <xf numFmtId="1" fontId="0" fillId="0" borderId="0" xfId="0" applyNumberFormat="1" applyBorder="1"/>
    <xf numFmtId="1" fontId="0" fillId="0" borderId="5" xfId="0" applyNumberFormat="1" applyBorder="1"/>
    <xf numFmtId="17" fontId="7" fillId="4" borderId="0" xfId="0" applyNumberFormat="1" applyFont="1" applyFill="1" applyAlignment="1">
      <alignment horizontal="center"/>
    </xf>
    <xf numFmtId="17" fontId="7" fillId="4" borderId="0" xfId="0" applyNumberFormat="1" applyFont="1" applyFill="1" applyAlignment="1">
      <alignment horizontal="right"/>
    </xf>
    <xf numFmtId="17" fontId="5" fillId="0" borderId="0" xfId="0" applyNumberFormat="1" applyFont="1"/>
    <xf numFmtId="0" fontId="0" fillId="0" borderId="6" xfId="0" applyBorder="1"/>
    <xf numFmtId="3" fontId="0" fillId="0" borderId="6" xfId="0" applyNumberFormat="1" applyBorder="1"/>
    <xf numFmtId="168" fontId="0" fillId="0" borderId="0" xfId="0" applyNumberFormat="1"/>
    <xf numFmtId="0" fontId="0" fillId="0" borderId="0" xfId="0" applyAlignment="1">
      <alignment horizontal="left"/>
    </xf>
    <xf numFmtId="0" fontId="11" fillId="4" borderId="0" xfId="0" applyFont="1" applyFill="1"/>
    <xf numFmtId="0" fontId="11" fillId="4" borderId="0" xfId="0" applyFont="1" applyFill="1" applyAlignment="1">
      <alignment horizontal="center"/>
    </xf>
    <xf numFmtId="169" fontId="0" fillId="0" borderId="0" xfId="0" applyNumberFormat="1"/>
    <xf numFmtId="171" fontId="0" fillId="0" borderId="0" xfId="0" applyNumberFormat="1"/>
    <xf numFmtId="0" fontId="12" fillId="4" borderId="0" xfId="0" applyFont="1" applyFill="1"/>
    <xf numFmtId="0" fontId="0" fillId="6" borderId="0" xfId="0" applyFill="1" applyAlignment="1">
      <alignment horizontal="left"/>
    </xf>
    <xf numFmtId="170" fontId="0" fillId="6" borderId="0" xfId="0" applyNumberFormat="1" applyFill="1"/>
    <xf numFmtId="171" fontId="0" fillId="6" borderId="0" xfId="0" applyNumberFormat="1" applyFill="1"/>
    <xf numFmtId="10" fontId="0" fillId="6" borderId="0" xfId="2" applyNumberFormat="1" applyFont="1" applyFill="1"/>
    <xf numFmtId="0" fontId="12" fillId="4" borderId="0" xfId="0" applyFont="1" applyFill="1" applyAlignment="1">
      <alignment horizontal="center"/>
    </xf>
    <xf numFmtId="17" fontId="0" fillId="0" borderId="6" xfId="0" applyNumberFormat="1" applyBorder="1"/>
    <xf numFmtId="43" fontId="0" fillId="0" borderId="0" xfId="0" applyNumberFormat="1"/>
    <xf numFmtId="0" fontId="7" fillId="0" borderId="0" xfId="0" applyFont="1" applyFill="1" applyAlignment="1">
      <alignment horizontal="center"/>
    </xf>
    <xf numFmtId="43" fontId="5" fillId="0" borderId="0" xfId="0" applyNumberFormat="1" applyFont="1"/>
    <xf numFmtId="0" fontId="0" fillId="0" borderId="0" xfId="0" applyAlignment="1"/>
    <xf numFmtId="0" fontId="5" fillId="0" borderId="0" xfId="0" applyFont="1" applyFill="1" applyAlignment="1"/>
    <xf numFmtId="0" fontId="6" fillId="0" borderId="0" xfId="0" applyFont="1" applyFill="1"/>
    <xf numFmtId="0" fontId="6" fillId="0" borderId="6" xfId="0" applyFont="1" applyFill="1" applyBorder="1" applyAlignment="1">
      <alignment horizontal="left"/>
    </xf>
    <xf numFmtId="17" fontId="6" fillId="0" borderId="6" xfId="0" applyNumberFormat="1" applyFont="1" applyFill="1" applyBorder="1" applyAlignment="1">
      <alignment horizontal="center"/>
    </xf>
    <xf numFmtId="10" fontId="13" fillId="0" borderId="0" xfId="2" applyNumberFormat="1" applyFont="1" applyFill="1" applyAlignment="1"/>
    <xf numFmtId="172" fontId="0" fillId="0" borderId="0" xfId="0" applyNumberFormat="1"/>
    <xf numFmtId="172" fontId="0" fillId="6" borderId="0" xfId="0" applyNumberFormat="1" applyFill="1"/>
    <xf numFmtId="17" fontId="0" fillId="0" borderId="0" xfId="0" applyNumberFormat="1"/>
    <xf numFmtId="0" fontId="8" fillId="4" borderId="0" xfId="0" applyFont="1" applyFill="1"/>
    <xf numFmtId="17" fontId="8" fillId="4" borderId="0" xfId="0" applyNumberFormat="1" applyFont="1" applyFill="1"/>
    <xf numFmtId="0" fontId="8" fillId="0" borderId="0" xfId="0" applyFont="1" applyFill="1"/>
    <xf numFmtId="17" fontId="8" fillId="0" borderId="0" xfId="0" applyNumberFormat="1" applyFont="1" applyFill="1"/>
    <xf numFmtId="173" fontId="0" fillId="0" borderId="1" xfId="0" applyNumberFormat="1" applyBorder="1"/>
    <xf numFmtId="173" fontId="0" fillId="0" borderId="3" xfId="0" applyNumberFormat="1" applyBorder="1"/>
    <xf numFmtId="173" fontId="0" fillId="0" borderId="2" xfId="0" applyNumberFormat="1" applyBorder="1"/>
    <xf numFmtId="173" fontId="0" fillId="0" borderId="7" xfId="0" applyNumberFormat="1" applyBorder="1"/>
    <xf numFmtId="173" fontId="5" fillId="0" borderId="7" xfId="0" applyNumberFormat="1" applyFont="1" applyBorder="1"/>
    <xf numFmtId="0" fontId="5" fillId="0" borderId="8" xfId="0" applyFont="1" applyBorder="1"/>
    <xf numFmtId="173" fontId="0" fillId="0" borderId="8" xfId="0" applyNumberFormat="1" applyBorder="1"/>
    <xf numFmtId="0" fontId="5" fillId="0" borderId="0" xfId="0" applyFont="1" applyBorder="1"/>
    <xf numFmtId="173" fontId="0" fillId="0" borderId="0" xfId="0" applyNumberFormat="1" applyBorder="1"/>
    <xf numFmtId="173" fontId="5" fillId="0" borderId="3" xfId="0" applyNumberFormat="1" applyFont="1" applyBorder="1"/>
    <xf numFmtId="0" fontId="8" fillId="4" borderId="0" xfId="0" applyFont="1" applyFill="1" applyAlignment="1"/>
    <xf numFmtId="17" fontId="8" fillId="4" borderId="0" xfId="0" applyNumberFormat="1" applyFont="1" applyFill="1" applyAlignment="1"/>
    <xf numFmtId="0" fontId="5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11" xfId="0" applyFont="1" applyBorder="1"/>
    <xf numFmtId="0" fontId="5" fillId="0" borderId="10" xfId="0" applyFont="1" applyBorder="1"/>
    <xf numFmtId="10" fontId="0" fillId="0" borderId="10" xfId="2" applyNumberFormat="1" applyFont="1" applyBorder="1"/>
    <xf numFmtId="10" fontId="0" fillId="0" borderId="0" xfId="0" applyNumberFormat="1"/>
    <xf numFmtId="10" fontId="14" fillId="0" borderId="0" xfId="0" applyNumberFormat="1" applyFont="1"/>
    <xf numFmtId="10" fontId="5" fillId="0" borderId="11" xfId="0" applyNumberFormat="1" applyFont="1" applyBorder="1"/>
    <xf numFmtId="10" fontId="5" fillId="0" borderId="10" xfId="2" applyNumberFormat="1" applyFont="1" applyBorder="1"/>
    <xf numFmtId="173" fontId="0" fillId="0" borderId="0" xfId="0" applyNumberFormat="1"/>
    <xf numFmtId="173" fontId="5" fillId="0" borderId="9" xfId="0" applyNumberFormat="1" applyFont="1" applyBorder="1"/>
    <xf numFmtId="173" fontId="0" fillId="0" borderId="11" xfId="0" applyNumberFormat="1" applyBorder="1"/>
    <xf numFmtId="0" fontId="0" fillId="0" borderId="12" xfId="0" applyBorder="1"/>
    <xf numFmtId="173" fontId="0" fillId="0" borderId="5" xfId="0" applyNumberFormat="1" applyBorder="1"/>
    <xf numFmtId="0" fontId="0" fillId="0" borderId="13" xfId="0" applyBorder="1"/>
    <xf numFmtId="3" fontId="0" fillId="0" borderId="13" xfId="0" applyNumberFormat="1" applyBorder="1"/>
    <xf numFmtId="10" fontId="14" fillId="0" borderId="13" xfId="0" applyNumberFormat="1" applyFont="1" applyBorder="1"/>
    <xf numFmtId="2" fontId="0" fillId="0" borderId="13" xfId="0" applyNumberFormat="1" applyFont="1" applyBorder="1"/>
    <xf numFmtId="0" fontId="0" fillId="0" borderId="14" xfId="0" applyBorder="1"/>
    <xf numFmtId="2" fontId="0" fillId="0" borderId="14" xfId="0" applyNumberFormat="1" applyBorder="1"/>
    <xf numFmtId="3" fontId="0" fillId="0" borderId="14" xfId="0" applyNumberFormat="1" applyBorder="1"/>
    <xf numFmtId="10" fontId="0" fillId="0" borderId="14" xfId="0" applyNumberFormat="1" applyBorder="1"/>
    <xf numFmtId="0" fontId="0" fillId="7" borderId="0" xfId="0" applyFill="1"/>
    <xf numFmtId="10" fontId="0" fillId="7" borderId="0" xfId="0" applyNumberFormat="1" applyFill="1"/>
    <xf numFmtId="0" fontId="0" fillId="0" borderId="15" xfId="0" applyBorder="1"/>
    <xf numFmtId="173" fontId="0" fillId="0" borderId="15" xfId="0" applyNumberFormat="1" applyBorder="1"/>
    <xf numFmtId="173" fontId="0" fillId="0" borderId="9" xfId="0" applyNumberFormat="1" applyBorder="1"/>
    <xf numFmtId="0" fontId="0" fillId="0" borderId="16" xfId="0" applyBorder="1"/>
    <xf numFmtId="173" fontId="0" fillId="0" borderId="16" xfId="0" applyNumberFormat="1" applyBorder="1"/>
    <xf numFmtId="0" fontId="5" fillId="0" borderId="15" xfId="0" applyFont="1" applyBorder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0" fillId="0" borderId="0" xfId="0" applyAlignment="1">
      <alignment horizontal="right"/>
    </xf>
    <xf numFmtId="9" fontId="0" fillId="0" borderId="0" xfId="2" applyFont="1"/>
    <xf numFmtId="0" fontId="2" fillId="0" borderId="0" xfId="4"/>
    <xf numFmtId="10" fontId="0" fillId="8" borderId="0" xfId="5" applyNumberFormat="1" applyFont="1" applyFill="1" applyBorder="1"/>
    <xf numFmtId="0" fontId="2" fillId="8" borderId="0" xfId="4" applyFill="1"/>
    <xf numFmtId="0" fontId="15" fillId="8" borderId="0" xfId="4" applyFont="1" applyFill="1"/>
    <xf numFmtId="0" fontId="20" fillId="0" borderId="0" xfId="4" applyFont="1"/>
    <xf numFmtId="0" fontId="20" fillId="0" borderId="0" xfId="4" applyFont="1" applyAlignment="1">
      <alignment vertical="top"/>
    </xf>
    <xf numFmtId="0" fontId="2" fillId="0" borderId="4" xfId="4" applyBorder="1"/>
    <xf numFmtId="10" fontId="2" fillId="0" borderId="5" xfId="4" applyNumberFormat="1" applyBorder="1"/>
    <xf numFmtId="10" fontId="2" fillId="0" borderId="0" xfId="4" applyNumberFormat="1"/>
    <xf numFmtId="0" fontId="20" fillId="0" borderId="0" xfId="4" applyFont="1" applyAlignment="1">
      <alignment horizontal="left" vertical="top"/>
    </xf>
    <xf numFmtId="0" fontId="2" fillId="0" borderId="6" xfId="4" applyBorder="1"/>
    <xf numFmtId="0" fontId="2" fillId="0" borderId="6" xfId="4" applyBorder="1" applyAlignment="1">
      <alignment horizontal="right"/>
    </xf>
    <xf numFmtId="0" fontId="21" fillId="0" borderId="0" xfId="4" applyFont="1"/>
    <xf numFmtId="0" fontId="15" fillId="0" borderId="6" xfId="4" applyFont="1" applyBorder="1"/>
    <xf numFmtId="10" fontId="2" fillId="9" borderId="0" xfId="4" applyNumberFormat="1" applyFill="1"/>
    <xf numFmtId="2" fontId="2" fillId="9" borderId="4" xfId="4" applyNumberFormat="1" applyFill="1" applyBorder="1"/>
    <xf numFmtId="10" fontId="0" fillId="0" borderId="0" xfId="5" applyNumberFormat="1" applyFont="1"/>
    <xf numFmtId="172" fontId="2" fillId="0" borderId="0" xfId="4" applyNumberFormat="1" applyFont="1"/>
    <xf numFmtId="10" fontId="2" fillId="0" borderId="0" xfId="4" applyNumberFormat="1" applyFont="1"/>
    <xf numFmtId="2" fontId="2" fillId="0" borderId="0" xfId="4" applyNumberFormat="1"/>
    <xf numFmtId="0" fontId="15" fillId="0" borderId="6" xfId="4" applyFont="1" applyBorder="1" applyAlignment="1">
      <alignment horizontal="right"/>
    </xf>
    <xf numFmtId="10" fontId="0" fillId="0" borderId="4" xfId="5" applyNumberFormat="1" applyFont="1" applyBorder="1"/>
    <xf numFmtId="10" fontId="23" fillId="0" borderId="0" xfId="4" applyNumberFormat="1" applyFont="1"/>
    <xf numFmtId="0" fontId="0" fillId="0" borderId="6" xfId="0" applyBorder="1" applyAlignment="1">
      <alignment horizontal="right"/>
    </xf>
    <xf numFmtId="14" fontId="2" fillId="0" borderId="0" xfId="4" applyNumberFormat="1" applyAlignment="1">
      <alignment horizontal="left"/>
    </xf>
    <xf numFmtId="172" fontId="2" fillId="0" borderId="0" xfId="4" applyNumberFormat="1"/>
    <xf numFmtId="0" fontId="0" fillId="0" borderId="0" xfId="0" applyFill="1" applyBorder="1" applyAlignment="1"/>
    <xf numFmtId="0" fontId="0" fillId="0" borderId="17" xfId="0" applyFill="1" applyBorder="1" applyAlignment="1"/>
    <xf numFmtId="0" fontId="24" fillId="0" borderId="18" xfId="0" applyFont="1" applyFill="1" applyBorder="1" applyAlignment="1">
      <alignment horizontal="center"/>
    </xf>
    <xf numFmtId="0" fontId="24" fillId="0" borderId="18" xfId="0" applyFont="1" applyFill="1" applyBorder="1" applyAlignment="1">
      <alignment horizontal="centerContinuous"/>
    </xf>
    <xf numFmtId="0" fontId="0" fillId="10" borderId="0" xfId="0" applyFill="1"/>
    <xf numFmtId="0" fontId="0" fillId="9" borderId="0" xfId="0" applyFill="1"/>
    <xf numFmtId="0" fontId="0" fillId="8" borderId="0" xfId="0" applyFill="1"/>
    <xf numFmtId="2" fontId="0" fillId="8" borderId="0" xfId="0" applyNumberFormat="1" applyFill="1"/>
    <xf numFmtId="0" fontId="8" fillId="0" borderId="0" xfId="0" applyFont="1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8" xfId="0" applyFont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25" fillId="0" borderId="0" xfId="0" applyFont="1"/>
    <xf numFmtId="10" fontId="2" fillId="0" borderId="4" xfId="2" applyNumberFormat="1" applyFont="1" applyBorder="1"/>
    <xf numFmtId="175" fontId="8" fillId="4" borderId="0" xfId="0" applyNumberFormat="1" applyFont="1" applyFill="1"/>
    <xf numFmtId="176" fontId="8" fillId="4" borderId="0" xfId="0" applyNumberFormat="1" applyFont="1" applyFill="1"/>
    <xf numFmtId="0" fontId="0" fillId="11" borderId="0" xfId="0" applyFill="1"/>
    <xf numFmtId="10" fontId="0" fillId="11" borderId="0" xfId="0" applyNumberFormat="1" applyFill="1"/>
    <xf numFmtId="43" fontId="0" fillId="0" borderId="15" xfId="0" applyNumberFormat="1" applyBorder="1"/>
    <xf numFmtId="10" fontId="0" fillId="0" borderId="15" xfId="0" applyNumberFormat="1" applyBorder="1"/>
    <xf numFmtId="2" fontId="0" fillId="0" borderId="15" xfId="0" applyNumberFormat="1" applyBorder="1"/>
    <xf numFmtId="43" fontId="0" fillId="9" borderId="15" xfId="0" applyNumberFormat="1" applyFill="1" applyBorder="1"/>
    <xf numFmtId="10" fontId="14" fillId="9" borderId="15" xfId="0" applyNumberFormat="1" applyFont="1" applyFill="1" applyBorder="1"/>
    <xf numFmtId="2" fontId="0" fillId="9" borderId="15" xfId="0" applyNumberFormat="1" applyFill="1" applyBorder="1"/>
    <xf numFmtId="0" fontId="0" fillId="9" borderId="15" xfId="0" applyFill="1" applyBorder="1"/>
    <xf numFmtId="0" fontId="0" fillId="9" borderId="10" xfId="0" applyFill="1" applyBorder="1"/>
    <xf numFmtId="174" fontId="0" fillId="0" borderId="15" xfId="0" applyNumberFormat="1" applyBorder="1"/>
    <xf numFmtId="2" fontId="0" fillId="0" borderId="10" xfId="0" applyNumberFormat="1" applyBorder="1"/>
    <xf numFmtId="2" fontId="5" fillId="0" borderId="10" xfId="0" applyNumberFormat="1" applyFont="1" applyBorder="1"/>
    <xf numFmtId="2" fontId="0" fillId="0" borderId="0" xfId="0" applyNumberFormat="1" applyFont="1" applyBorder="1"/>
    <xf numFmtId="2" fontId="5" fillId="0" borderId="0" xfId="0" applyNumberFormat="1" applyFont="1"/>
    <xf numFmtId="177" fontId="0" fillId="0" borderId="0" xfId="2" applyNumberFormat="1" applyFont="1"/>
    <xf numFmtId="10" fontId="5" fillId="0" borderId="0" xfId="0" applyNumberFormat="1" applyFont="1"/>
    <xf numFmtId="10" fontId="5" fillId="0" borderId="0" xfId="0" applyNumberFormat="1" applyFont="1" applyAlignment="1">
      <alignment horizontal="left"/>
    </xf>
    <xf numFmtId="2" fontId="0" fillId="7" borderId="0" xfId="0" applyNumberFormat="1" applyFill="1"/>
    <xf numFmtId="2" fontId="8" fillId="12" borderId="0" xfId="0" applyNumberFormat="1" applyFont="1" applyFill="1"/>
    <xf numFmtId="0" fontId="1" fillId="0" borderId="0" xfId="6"/>
    <xf numFmtId="0" fontId="15" fillId="0" borderId="0" xfId="6" applyFont="1" applyAlignment="1">
      <alignment horizontal="right"/>
    </xf>
    <xf numFmtId="0" fontId="28" fillId="0" borderId="0" xfId="6" applyFont="1"/>
    <xf numFmtId="3" fontId="15" fillId="0" borderId="0" xfId="6" applyNumberFormat="1" applyFont="1" applyBorder="1"/>
    <xf numFmtId="0" fontId="15" fillId="0" borderId="0" xfId="6" applyFont="1" applyBorder="1"/>
    <xf numFmtId="3" fontId="15" fillId="0" borderId="19" xfId="6" applyNumberFormat="1" applyFont="1" applyBorder="1"/>
    <xf numFmtId="0" fontId="15" fillId="0" borderId="19" xfId="6" applyFont="1" applyBorder="1"/>
    <xf numFmtId="0" fontId="1" fillId="0" borderId="20" xfId="6" applyBorder="1"/>
    <xf numFmtId="3" fontId="1" fillId="0" borderId="20" xfId="6" applyNumberFormat="1" applyBorder="1"/>
    <xf numFmtId="0" fontId="27" fillId="4" borderId="0" xfId="6" applyFont="1" applyFill="1" applyAlignment="1">
      <alignment horizontal="right"/>
    </xf>
    <xf numFmtId="0" fontId="27" fillId="4" borderId="0" xfId="6" applyFont="1" applyFill="1"/>
    <xf numFmtId="0" fontId="26" fillId="4" borderId="6" xfId="6" applyFont="1" applyFill="1" applyBorder="1"/>
    <xf numFmtId="178" fontId="1" fillId="6" borderId="0" xfId="6" applyNumberFormat="1" applyFill="1"/>
    <xf numFmtId="0" fontId="1" fillId="6" borderId="0" xfId="6" applyFill="1"/>
    <xf numFmtId="178" fontId="15" fillId="6" borderId="0" xfId="6" applyNumberFormat="1" applyFont="1" applyFill="1"/>
    <xf numFmtId="0" fontId="15" fillId="6" borderId="0" xfId="6" applyFont="1" applyFill="1"/>
    <xf numFmtId="1" fontId="1" fillId="0" borderId="0" xfId="6" applyNumberFormat="1" applyFill="1"/>
    <xf numFmtId="178" fontId="1" fillId="0" borderId="20" xfId="6" applyNumberFormat="1" applyFont="1" applyFill="1" applyBorder="1"/>
    <xf numFmtId="178" fontId="1" fillId="0" borderId="20" xfId="6" applyNumberFormat="1" applyFont="1" applyFill="1" applyBorder="1" applyAlignment="1">
      <alignment horizontal="right" wrapText="1"/>
    </xf>
    <xf numFmtId="0" fontId="1" fillId="0" borderId="20" xfId="6" applyNumberFormat="1" applyBorder="1"/>
    <xf numFmtId="3" fontId="1" fillId="0" borderId="20" xfId="6" applyNumberFormat="1" applyFont="1" applyFill="1" applyBorder="1" applyAlignment="1">
      <alignment horizontal="right" wrapText="1"/>
    </xf>
    <xf numFmtId="0" fontId="1" fillId="0" borderId="0" xfId="6" applyFont="1" applyFill="1"/>
    <xf numFmtId="178" fontId="15" fillId="6" borderId="20" xfId="6" applyNumberFormat="1" applyFont="1" applyFill="1" applyBorder="1"/>
    <xf numFmtId="178" fontId="15" fillId="6" borderId="20" xfId="6" applyNumberFormat="1" applyFont="1" applyFill="1" applyBorder="1" applyAlignment="1">
      <alignment horizontal="right" wrapText="1"/>
    </xf>
    <xf numFmtId="0" fontId="15" fillId="6" borderId="20" xfId="6" applyNumberFormat="1" applyFont="1" applyFill="1" applyBorder="1"/>
    <xf numFmtId="3" fontId="15" fillId="6" borderId="20" xfId="6" applyNumberFormat="1" applyFont="1" applyFill="1" applyBorder="1" applyAlignment="1">
      <alignment horizontal="right" wrapText="1"/>
    </xf>
    <xf numFmtId="0" fontId="1" fillId="0" borderId="0" xfId="6" applyFill="1"/>
    <xf numFmtId="0" fontId="27" fillId="0" borderId="0" xfId="6" applyFont="1" applyFill="1"/>
    <xf numFmtId="0" fontId="27" fillId="0" borderId="0" xfId="6" applyFont="1" applyFill="1" applyAlignment="1">
      <alignment horizontal="right"/>
    </xf>
    <xf numFmtId="0" fontId="27" fillId="0" borderId="0" xfId="6" applyFont="1" applyFill="1" applyAlignment="1">
      <alignment horizontal="right" wrapText="1"/>
    </xf>
    <xf numFmtId="0" fontId="27" fillId="4" borderId="0" xfId="6" applyFont="1" applyFill="1" applyAlignment="1">
      <alignment horizontal="right" wrapText="1"/>
    </xf>
    <xf numFmtId="0" fontId="27" fillId="4" borderId="6" xfId="6" applyFont="1" applyFill="1" applyBorder="1" applyAlignment="1"/>
    <xf numFmtId="0" fontId="27" fillId="4" borderId="21" xfId="6" applyFont="1" applyFill="1" applyBorder="1" applyAlignment="1">
      <alignment horizontal="center"/>
    </xf>
    <xf numFmtId="0" fontId="1" fillId="0" borderId="6" xfId="6" applyBorder="1"/>
    <xf numFmtId="0" fontId="15" fillId="0" borderId="6" xfId="6" applyFont="1" applyBorder="1"/>
    <xf numFmtId="2" fontId="15" fillId="6" borderId="20" xfId="6" applyNumberFormat="1" applyFont="1" applyFill="1" applyBorder="1" applyAlignment="1">
      <alignment horizontal="right" wrapText="1"/>
    </xf>
    <xf numFmtId="2" fontId="15" fillId="0" borderId="20" xfId="6" applyNumberFormat="1" applyFont="1" applyFill="1" applyBorder="1" applyAlignment="1">
      <alignment horizontal="right" wrapText="1"/>
    </xf>
    <xf numFmtId="3" fontId="15" fillId="0" borderId="20" xfId="6" applyNumberFormat="1" applyFont="1" applyFill="1" applyBorder="1" applyAlignment="1">
      <alignment horizontal="right" wrapText="1"/>
    </xf>
    <xf numFmtId="2" fontId="1" fillId="0" borderId="20" xfId="6" applyNumberFormat="1" applyBorder="1"/>
    <xf numFmtId="0" fontId="7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29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27" fillId="4" borderId="21" xfId="6" applyFont="1" applyFill="1" applyBorder="1" applyAlignment="1">
      <alignment horizontal="center"/>
    </xf>
    <xf numFmtId="43" fontId="7" fillId="2" borderId="0" xfId="3" applyNumberFormat="1" applyFont="1" applyBorder="1" applyAlignment="1">
      <alignment horizontal="center"/>
    </xf>
  </cellXfs>
  <cellStyles count="7">
    <cellStyle name="Accent6" xfId="3" builtinId="49"/>
    <cellStyle name="Comma" xfId="1" builtinId="3"/>
    <cellStyle name="Normal" xfId="0" builtinId="0"/>
    <cellStyle name="Normal 2" xfId="4"/>
    <cellStyle name="Normal 3" xfId="6"/>
    <cellStyle name="Percent" xfId="2" builtinId="5"/>
    <cellStyle name="Percent 2" xfId="5"/>
  </cellStyles>
  <dxfs count="0"/>
  <tableStyles count="0" defaultTableStyle="TableStyleMedium2" defaultPivotStyle="PivotStyleLight16"/>
  <colors>
    <mruColors>
      <color rgb="FF000000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yan/Downloads/Tata%20Mo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it &amp; Loss"/>
      <sheetName val="Quarters"/>
      <sheetName val="Balance Sheet"/>
      <sheetName val="Cash Flow"/>
      <sheetName val="Customization"/>
      <sheetName val="Financials&gt;"/>
      <sheetName val="HistoricalFS"/>
      <sheetName val="Data&gt;"/>
      <sheetName val="Data Sheet"/>
      <sheetName val="Sheet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1">
          <cell r="E1" t="str">
            <v>TATA MOTORS  LTD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4"/>
  <sheetViews>
    <sheetView showGridLines="0" tabSelected="1" workbookViewId="0">
      <pane ySplit="3" topLeftCell="A17" activePane="bottomLeft" state="frozen"/>
      <selection activeCell="B1" sqref="B1"/>
      <selection pane="bottomLeft" activeCell="L27" sqref="L27"/>
    </sheetView>
  </sheetViews>
  <sheetFormatPr defaultRowHeight="15" x14ac:dyDescent="0.25"/>
  <cols>
    <col min="1" max="1" width="1.85546875" style="8" customWidth="1"/>
    <col min="2" max="2" width="28.7109375" bestFit="1" customWidth="1"/>
    <col min="3" max="7" width="11.28515625" customWidth="1"/>
    <col min="8" max="13" width="11.28515625" bestFit="1" customWidth="1"/>
  </cols>
  <sheetData>
    <row r="2" spans="1:16" x14ac:dyDescent="0.25">
      <c r="A2" s="9"/>
      <c r="B2" s="234" t="str">
        <f>"Historical Financial Statement - "&amp;'Data Sheet'!B1</f>
        <v>Historical Financial Statement - ASIAN PAINTS LTD</v>
      </c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</row>
    <row r="3" spans="1:16" x14ac:dyDescent="0.25">
      <c r="A3" s="9"/>
      <c r="B3" s="10" t="s">
        <v>54</v>
      </c>
      <c r="C3" s="11">
        <f>'Data Sheet'!B16</f>
        <v>41729</v>
      </c>
      <c r="D3" s="11">
        <f>'Data Sheet'!C16</f>
        <v>42094</v>
      </c>
      <c r="E3" s="11">
        <f>'Data Sheet'!D16</f>
        <v>42460</v>
      </c>
      <c r="F3" s="11">
        <f>'Data Sheet'!E16</f>
        <v>42825</v>
      </c>
      <c r="G3" s="11">
        <f>'Data Sheet'!F16</f>
        <v>43190</v>
      </c>
      <c r="H3" s="11">
        <f>'Data Sheet'!G16</f>
        <v>43555</v>
      </c>
      <c r="I3" s="11">
        <f>'Data Sheet'!H16</f>
        <v>43921</v>
      </c>
      <c r="J3" s="11">
        <f>'Data Sheet'!I16</f>
        <v>44286</v>
      </c>
      <c r="K3" s="11">
        <f>'Data Sheet'!J16</f>
        <v>44651</v>
      </c>
      <c r="L3" s="11">
        <f>'Data Sheet'!K16</f>
        <v>45016</v>
      </c>
      <c r="M3" s="13" t="s">
        <v>57</v>
      </c>
    </row>
    <row r="4" spans="1:16" x14ac:dyDescent="0.25">
      <c r="A4" s="9"/>
      <c r="B4" s="19"/>
      <c r="C4" s="19"/>
      <c r="D4" s="19"/>
      <c r="E4" s="19"/>
      <c r="F4" s="20"/>
      <c r="G4" s="20"/>
      <c r="H4" s="20"/>
      <c r="I4" s="20"/>
      <c r="J4" s="20"/>
      <c r="K4" s="20"/>
      <c r="L4" s="20"/>
      <c r="M4" s="21"/>
    </row>
    <row r="5" spans="1:16" x14ac:dyDescent="0.25">
      <c r="A5" s="9" t="s">
        <v>55</v>
      </c>
      <c r="B5" s="17" t="s">
        <v>56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8"/>
    </row>
    <row r="6" spans="1:16" x14ac:dyDescent="0.25">
      <c r="B6" t="s">
        <v>33</v>
      </c>
      <c r="C6" s="12">
        <f>IFERROR('Data Sheet'!B17,0)</f>
        <v>12220.37</v>
      </c>
      <c r="D6" s="12">
        <f>IFERROR('Data Sheet'!C17,0)</f>
        <v>13615.26</v>
      </c>
      <c r="E6" s="12">
        <f>IFERROR('Data Sheet'!D17,0)</f>
        <v>14271.49</v>
      </c>
      <c r="F6" s="12">
        <f>IFERROR('Data Sheet'!E17,0)</f>
        <v>15061.99</v>
      </c>
      <c r="G6" s="12">
        <f>IFERROR('Data Sheet'!F17,0)</f>
        <v>16824.55</v>
      </c>
      <c r="H6" s="12">
        <f>IFERROR('Data Sheet'!G17,0)</f>
        <v>19240.13</v>
      </c>
      <c r="I6" s="12">
        <f>IFERROR('Data Sheet'!H17,0)</f>
        <v>20211.25</v>
      </c>
      <c r="J6" s="12">
        <f>IFERROR('Data Sheet'!I17,0)</f>
        <v>21712.79</v>
      </c>
      <c r="K6" s="12">
        <f>IFERROR('Data Sheet'!J17,0)</f>
        <v>29101.279999999999</v>
      </c>
      <c r="L6" s="12">
        <f>IFERROR('Data Sheet'!K17,0)</f>
        <v>34488.589999999997</v>
      </c>
      <c r="M6" s="12">
        <f>IFERROR(SUM('Data Sheet'!H42:K42),0)</f>
        <v>35084.959999999999</v>
      </c>
    </row>
    <row r="7" spans="1:16" x14ac:dyDescent="0.25">
      <c r="B7" s="15" t="s">
        <v>58</v>
      </c>
      <c r="C7" s="16"/>
      <c r="D7" s="16">
        <f t="shared" ref="D7:F7" si="0">D6/C6-1</f>
        <v>0.11414466174101112</v>
      </c>
      <c r="E7" s="16">
        <f t="shared" si="0"/>
        <v>4.8198124751198224E-2</v>
      </c>
      <c r="F7" s="16">
        <f t="shared" si="0"/>
        <v>5.5390151974320734E-2</v>
      </c>
      <c r="G7" s="16">
        <f>G6/F6-1</f>
        <v>0.11702039371955486</v>
      </c>
      <c r="H7" s="16">
        <f t="shared" ref="H7:M7" si="1">H6/G6-1</f>
        <v>0.14357471670861943</v>
      </c>
      <c r="I7" s="16">
        <f t="shared" si="1"/>
        <v>5.0473671435691925E-2</v>
      </c>
      <c r="J7" s="16">
        <f t="shared" si="1"/>
        <v>7.4292287711052118E-2</v>
      </c>
      <c r="K7" s="16">
        <f t="shared" si="1"/>
        <v>0.34028284711453471</v>
      </c>
      <c r="L7" s="16">
        <f t="shared" si="1"/>
        <v>0.18512278497715551</v>
      </c>
      <c r="M7" s="16">
        <f t="shared" si="1"/>
        <v>1.7291805782724268E-2</v>
      </c>
    </row>
    <row r="9" spans="1:16" x14ac:dyDescent="0.25">
      <c r="B9" t="s">
        <v>59</v>
      </c>
      <c r="C9" s="12">
        <f>IFERROR(SUM('Data Sheet'!B18,'Data Sheet'!B20:B22)-1*'Data Sheet'!B19,0)</f>
        <v>8438.98</v>
      </c>
      <c r="D9" s="12">
        <f>IFERROR(SUM('Data Sheet'!C18,'Data Sheet'!C20:C22)-1*'Data Sheet'!C19,0)</f>
        <v>9298.77</v>
      </c>
      <c r="E9" s="12">
        <f>IFERROR(SUM('Data Sheet'!D18,'Data Sheet'!D20:D22)-1*'Data Sheet'!D19,0)</f>
        <v>9413.8399999999983</v>
      </c>
      <c r="F9" s="12">
        <f>IFERROR(SUM('Data Sheet'!E18,'Data Sheet'!E20:E22)-1*'Data Sheet'!E19,0)</f>
        <v>9732.66</v>
      </c>
      <c r="G9" s="12">
        <f>IFERROR(SUM('Data Sheet'!F18,'Data Sheet'!F20:F22)-1*'Data Sheet'!F19,0)</f>
        <v>11194.169999999998</v>
      </c>
      <c r="H9" s="12">
        <f>IFERROR(SUM('Data Sheet'!G18,'Data Sheet'!G20:G22)-1*'Data Sheet'!G19,0)</f>
        <v>12905.81</v>
      </c>
      <c r="I9" s="12">
        <f>IFERROR(SUM('Data Sheet'!H18,'Data Sheet'!H20:H22)-1*'Data Sheet'!H19,0)</f>
        <v>13158.020000000002</v>
      </c>
      <c r="J9" s="12">
        <f>IFERROR(SUM('Data Sheet'!I18,'Data Sheet'!I20:I22)-1*'Data Sheet'!I19,0)</f>
        <v>14035.069999999998</v>
      </c>
      <c r="K9" s="12">
        <f>IFERROR(SUM('Data Sheet'!J18,'Data Sheet'!J20:J22)-1*'Data Sheet'!J19,0)</f>
        <v>20590.57</v>
      </c>
      <c r="L9" s="12">
        <f>IFERROR(SUM('Data Sheet'!K18,'Data Sheet'!K20:K22)-1*'Data Sheet'!K19,0)</f>
        <v>23766.7</v>
      </c>
      <c r="M9" s="12">
        <f>IFERROR(SUM('Data Sheet'!H43:K43),0)</f>
        <v>27771.25</v>
      </c>
    </row>
    <row r="10" spans="1:16" x14ac:dyDescent="0.25">
      <c r="B10" s="15" t="s">
        <v>60</v>
      </c>
      <c r="C10" s="16">
        <f t="shared" ref="C10:E10" si="2">C9/C6</f>
        <v>0.69056665223720715</v>
      </c>
      <c r="D10" s="16">
        <f t="shared" si="2"/>
        <v>0.68296675935678053</v>
      </c>
      <c r="E10" s="16">
        <f t="shared" si="2"/>
        <v>0.65962558919916547</v>
      </c>
      <c r="F10" s="16">
        <f>F9/F6</f>
        <v>0.64617357998511482</v>
      </c>
      <c r="G10" s="16">
        <f t="shared" ref="G10:M10" si="3">G9/G6</f>
        <v>0.66534736441687881</v>
      </c>
      <c r="H10" s="16">
        <f t="shared" si="3"/>
        <v>0.67077561326248825</v>
      </c>
      <c r="I10" s="16">
        <f t="shared" si="3"/>
        <v>0.65102455315727636</v>
      </c>
      <c r="J10" s="16">
        <f t="shared" si="3"/>
        <v>0.64639643270164715</v>
      </c>
      <c r="K10" s="16">
        <f t="shared" si="3"/>
        <v>0.70754860267314701</v>
      </c>
      <c r="L10" s="16">
        <f t="shared" si="3"/>
        <v>0.68911776329504926</v>
      </c>
      <c r="M10" s="16">
        <f t="shared" si="3"/>
        <v>0.79154287193144868</v>
      </c>
    </row>
    <row r="11" spans="1:16" x14ac:dyDescent="0.25">
      <c r="F11" s="12"/>
      <c r="G11" s="12"/>
      <c r="H11" s="12"/>
      <c r="I11" s="12"/>
      <c r="J11" s="12"/>
      <c r="K11" s="12"/>
      <c r="L11" s="12"/>
      <c r="M11" s="12"/>
      <c r="P11" s="14"/>
    </row>
    <row r="12" spans="1:16" x14ac:dyDescent="0.25">
      <c r="B12" t="s">
        <v>61</v>
      </c>
      <c r="C12" s="27">
        <f t="shared" ref="C12:E12" si="4">C6-C9</f>
        <v>3781.3900000000012</v>
      </c>
      <c r="D12" s="27">
        <f t="shared" si="4"/>
        <v>4316.49</v>
      </c>
      <c r="E12" s="27">
        <f t="shared" si="4"/>
        <v>4857.6500000000015</v>
      </c>
      <c r="F12" s="27">
        <f>F6-F9</f>
        <v>5329.33</v>
      </c>
      <c r="G12" s="27">
        <f t="shared" ref="G12:M12" si="5">G6-G9</f>
        <v>5630.380000000001</v>
      </c>
      <c r="H12" s="27">
        <f t="shared" si="5"/>
        <v>6334.3200000000015</v>
      </c>
      <c r="I12" s="27">
        <f t="shared" si="5"/>
        <v>7053.2299999999977</v>
      </c>
      <c r="J12" s="27">
        <f t="shared" si="5"/>
        <v>7677.720000000003</v>
      </c>
      <c r="K12" s="27">
        <f t="shared" si="5"/>
        <v>8510.7099999999991</v>
      </c>
      <c r="L12" s="27">
        <f t="shared" si="5"/>
        <v>10721.889999999996</v>
      </c>
      <c r="M12" s="27">
        <f t="shared" si="5"/>
        <v>7313.7099999999991</v>
      </c>
    </row>
    <row r="13" spans="1:16" x14ac:dyDescent="0.25">
      <c r="B13" s="16" t="s">
        <v>68</v>
      </c>
      <c r="C13" s="16">
        <f t="shared" ref="C13:E13" si="6">C12/C6</f>
        <v>0.30943334776279285</v>
      </c>
      <c r="D13" s="16">
        <f t="shared" si="6"/>
        <v>0.31703324064321942</v>
      </c>
      <c r="E13" s="16">
        <f t="shared" si="6"/>
        <v>0.34037441080083447</v>
      </c>
      <c r="F13" s="16">
        <f>F12/F6</f>
        <v>0.35382642001488518</v>
      </c>
      <c r="G13" s="16">
        <f t="shared" ref="G13:M13" si="7">G12/G6</f>
        <v>0.33465263558312119</v>
      </c>
      <c r="H13" s="16">
        <f t="shared" si="7"/>
        <v>0.3292243867375117</v>
      </c>
      <c r="I13" s="16">
        <f t="shared" si="7"/>
        <v>0.34897544684272364</v>
      </c>
      <c r="J13" s="16">
        <f t="shared" si="7"/>
        <v>0.35360356729835285</v>
      </c>
      <c r="K13" s="16">
        <f t="shared" si="7"/>
        <v>0.29245139732685294</v>
      </c>
      <c r="L13" s="16">
        <f t="shared" si="7"/>
        <v>0.31088223670495074</v>
      </c>
      <c r="M13" s="16">
        <f t="shared" si="7"/>
        <v>0.2084571280685513</v>
      </c>
    </row>
    <row r="14" spans="1:16" x14ac:dyDescent="0.25">
      <c r="F14" s="12"/>
      <c r="G14" s="12"/>
      <c r="H14" s="12"/>
      <c r="I14" s="12"/>
      <c r="J14" s="12"/>
      <c r="K14" s="12"/>
      <c r="L14" s="12"/>
      <c r="M14" s="12"/>
    </row>
    <row r="15" spans="1:16" x14ac:dyDescent="0.25">
      <c r="B15" t="s">
        <v>62</v>
      </c>
      <c r="C15" s="12">
        <f>IFERROR(SUM('Data Sheet'!B23:B24),0)</f>
        <v>1777.7299999999998</v>
      </c>
      <c r="D15" s="12">
        <f>IFERROR(SUM('Data Sheet'!C23:C24),0)</f>
        <v>2073.6</v>
      </c>
      <c r="E15" s="12">
        <f>IFERROR(SUM('Data Sheet'!D23:D24),0)</f>
        <v>2132.61</v>
      </c>
      <c r="F15" s="12">
        <f>IFERROR(SUM('Data Sheet'!E23:E24),0)</f>
        <v>2335.5699999999997</v>
      </c>
      <c r="G15" s="12">
        <f>IFERROR(SUM('Data Sheet'!F23:F24),0)</f>
        <v>2426.37</v>
      </c>
      <c r="H15" s="12">
        <f>IFERROR(SUM('Data Sheet'!G23:G24),0)</f>
        <v>2569.38</v>
      </c>
      <c r="I15" s="12">
        <f>IFERROR(SUM('Data Sheet'!H23:H24),0)</f>
        <v>2896.4100000000003</v>
      </c>
      <c r="J15" s="12">
        <f>IFERROR(SUM('Data Sheet'!I23:I24),0)</f>
        <v>2822.12</v>
      </c>
      <c r="K15" s="12">
        <f>IFERROR(SUM('Data Sheet'!J23:J24),0)</f>
        <v>3707.1</v>
      </c>
      <c r="L15" s="12">
        <f>IFERROR(SUM('Data Sheet'!K23:K24),0)</f>
        <v>4462.05</v>
      </c>
      <c r="M15" s="12"/>
    </row>
    <row r="16" spans="1:16" x14ac:dyDescent="0.25">
      <c r="B16" s="16" t="s">
        <v>63</v>
      </c>
      <c r="C16" s="16">
        <f t="shared" ref="C16:E16" si="8">C15/C6</f>
        <v>0.14547268208736722</v>
      </c>
      <c r="D16" s="16">
        <f t="shared" si="8"/>
        <v>0.15229969901419435</v>
      </c>
      <c r="E16" s="16">
        <f t="shared" si="8"/>
        <v>0.14943148893353111</v>
      </c>
      <c r="F16" s="16">
        <f>F15/F6</f>
        <v>0.15506383950593511</v>
      </c>
      <c r="G16" s="16">
        <f t="shared" ref="G16:L16" si="9">G15/G6</f>
        <v>0.14421604143944414</v>
      </c>
      <c r="H16" s="16">
        <f t="shared" si="9"/>
        <v>0.13354275672773522</v>
      </c>
      <c r="I16" s="16">
        <f t="shared" si="9"/>
        <v>0.14330682169583772</v>
      </c>
      <c r="J16" s="16">
        <f t="shared" si="9"/>
        <v>0.12997500551518251</v>
      </c>
      <c r="K16" s="16">
        <f t="shared" si="9"/>
        <v>0.1273861493377611</v>
      </c>
      <c r="L16" s="16">
        <f t="shared" si="9"/>
        <v>0.12937757095897515</v>
      </c>
      <c r="M16" s="16"/>
    </row>
    <row r="18" spans="2:13" x14ac:dyDescent="0.25">
      <c r="B18" t="s">
        <v>64</v>
      </c>
      <c r="C18" s="27">
        <f t="shared" ref="C18:E18" si="10">C12-C15</f>
        <v>2003.6600000000014</v>
      </c>
      <c r="D18" s="27">
        <f t="shared" si="10"/>
        <v>2242.89</v>
      </c>
      <c r="E18" s="27">
        <f t="shared" si="10"/>
        <v>2725.0400000000013</v>
      </c>
      <c r="F18" s="27">
        <f>F12-F15</f>
        <v>2993.76</v>
      </c>
      <c r="G18" s="27">
        <f t="shared" ref="G18:M18" si="11">G12-G15</f>
        <v>3204.0100000000011</v>
      </c>
      <c r="H18" s="27">
        <f t="shared" si="11"/>
        <v>3764.9400000000014</v>
      </c>
      <c r="I18" s="27">
        <f t="shared" si="11"/>
        <v>4156.8199999999979</v>
      </c>
      <c r="J18" s="27">
        <f t="shared" si="11"/>
        <v>4855.6000000000031</v>
      </c>
      <c r="K18" s="27">
        <f t="shared" si="11"/>
        <v>4803.6099999999988</v>
      </c>
      <c r="L18" s="27">
        <f t="shared" si="11"/>
        <v>6259.8399999999956</v>
      </c>
      <c r="M18" s="27">
        <f t="shared" si="11"/>
        <v>7313.7099999999991</v>
      </c>
    </row>
    <row r="19" spans="2:13" x14ac:dyDescent="0.25">
      <c r="B19" s="16" t="s">
        <v>67</v>
      </c>
      <c r="C19" s="16">
        <f t="shared" ref="C19:E19" si="12">C18/C6</f>
        <v>0.16396066567542564</v>
      </c>
      <c r="D19" s="16">
        <f t="shared" si="12"/>
        <v>0.16473354162902507</v>
      </c>
      <c r="E19" s="16">
        <f t="shared" si="12"/>
        <v>0.19094292186730338</v>
      </c>
      <c r="F19" s="16">
        <f>F18/F6</f>
        <v>0.19876258050895004</v>
      </c>
      <c r="G19" s="16">
        <f t="shared" ref="G19:M19" si="13">G18/G6</f>
        <v>0.19043659414367703</v>
      </c>
      <c r="H19" s="16">
        <f t="shared" si="13"/>
        <v>0.19568163000977651</v>
      </c>
      <c r="I19" s="16">
        <f t="shared" si="13"/>
        <v>0.20566862514688591</v>
      </c>
      <c r="J19" s="16">
        <f t="shared" si="13"/>
        <v>0.22362856178317034</v>
      </c>
      <c r="K19" s="16">
        <f t="shared" si="13"/>
        <v>0.16506524798909186</v>
      </c>
      <c r="L19" s="16">
        <f t="shared" si="13"/>
        <v>0.1815046657459756</v>
      </c>
      <c r="M19" s="16">
        <f t="shared" si="13"/>
        <v>0.2084571280685513</v>
      </c>
    </row>
    <row r="21" spans="2:13" x14ac:dyDescent="0.25">
      <c r="B21" t="s">
        <v>29</v>
      </c>
      <c r="C21" s="12">
        <f>IFERROR('Data Sheet'!B27,0)</f>
        <v>47.99</v>
      </c>
      <c r="D21" s="12">
        <f>IFERROR('Data Sheet'!C27,0)</f>
        <v>42.24</v>
      </c>
      <c r="E21" s="12">
        <f>IFERROR('Data Sheet'!D27,0)</f>
        <v>49</v>
      </c>
      <c r="F21" s="12">
        <f>IFERROR('Data Sheet'!E27,0)</f>
        <v>37.33</v>
      </c>
      <c r="G21" s="12">
        <f>IFERROR('Data Sheet'!F27,0)</f>
        <v>41.47</v>
      </c>
      <c r="H21" s="12">
        <f>IFERROR('Data Sheet'!G27,0)</f>
        <v>110.47</v>
      </c>
      <c r="I21" s="12">
        <f>IFERROR('Data Sheet'!H27,0)</f>
        <v>102.33</v>
      </c>
      <c r="J21" s="12">
        <f>IFERROR('Data Sheet'!I27,0)</f>
        <v>91.63</v>
      </c>
      <c r="K21" s="12">
        <f>IFERROR('Data Sheet'!J27,0)</f>
        <v>95.41</v>
      </c>
      <c r="L21" s="12">
        <f>IFERROR('Data Sheet'!K27,0)</f>
        <v>144.44999999999999</v>
      </c>
      <c r="M21" s="12">
        <f>IFERROR(SUM('Data Sheet'!H46:K46),0)</f>
        <v>176.95</v>
      </c>
    </row>
    <row r="22" spans="2:13" x14ac:dyDescent="0.25">
      <c r="B22" s="16" t="s">
        <v>65</v>
      </c>
      <c r="C22" s="16">
        <f t="shared" ref="C22:E22" si="14">C21/C6</f>
        <v>3.9270496719821081E-3</v>
      </c>
      <c r="D22" s="16">
        <f t="shared" si="14"/>
        <v>3.1024012762150706E-3</v>
      </c>
      <c r="E22" s="16">
        <f t="shared" si="14"/>
        <v>3.4334186549547386E-3</v>
      </c>
      <c r="F22" s="16">
        <f>F21/F6</f>
        <v>2.4784241657310885E-3</v>
      </c>
      <c r="G22" s="16">
        <f t="shared" ref="G22:M22" si="15">G21/G6</f>
        <v>2.4648504714836358E-3</v>
      </c>
      <c r="H22" s="16">
        <f t="shared" si="15"/>
        <v>5.7416451967840128E-3</v>
      </c>
      <c r="I22" s="16">
        <f t="shared" si="15"/>
        <v>5.0630218319005502E-3</v>
      </c>
      <c r="J22" s="16">
        <f t="shared" si="15"/>
        <v>4.2200933182700148E-3</v>
      </c>
      <c r="K22" s="16">
        <f t="shared" si="15"/>
        <v>3.2785499469439143E-3</v>
      </c>
      <c r="L22" s="16">
        <f t="shared" si="15"/>
        <v>4.1883417095335005E-3</v>
      </c>
      <c r="M22" s="16">
        <f t="shared" si="15"/>
        <v>5.0434716186080874E-3</v>
      </c>
    </row>
    <row r="24" spans="2:13" x14ac:dyDescent="0.25">
      <c r="B24" t="s">
        <v>30</v>
      </c>
      <c r="C24" s="12">
        <f>IFERROR('Data Sheet'!B26,0)</f>
        <v>245.66</v>
      </c>
      <c r="D24" s="12">
        <f>IFERROR('Data Sheet'!C26,0)</f>
        <v>265.92</v>
      </c>
      <c r="E24" s="12">
        <f>IFERROR('Data Sheet'!D26,0)</f>
        <v>275.58</v>
      </c>
      <c r="F24" s="12">
        <f>IFERROR('Data Sheet'!E26,0)</f>
        <v>334.79</v>
      </c>
      <c r="G24" s="12">
        <f>IFERROR('Data Sheet'!F26,0)</f>
        <v>360.47</v>
      </c>
      <c r="H24" s="12">
        <f>IFERROR('Data Sheet'!G26,0)</f>
        <v>622.14</v>
      </c>
      <c r="I24" s="12">
        <f>IFERROR('Data Sheet'!H26,0)</f>
        <v>780.5</v>
      </c>
      <c r="J24" s="12">
        <f>IFERROR('Data Sheet'!I26,0)</f>
        <v>791.27</v>
      </c>
      <c r="K24" s="12">
        <f>IFERROR('Data Sheet'!J26,0)</f>
        <v>816.36</v>
      </c>
      <c r="L24" s="12">
        <f>IFERROR('Data Sheet'!K26,0)</f>
        <v>858.02</v>
      </c>
      <c r="M24" s="12">
        <f>IFERROR(SUM('Data Sheet'!H45:K45),0)</f>
        <v>841.26</v>
      </c>
    </row>
    <row r="25" spans="2:13" x14ac:dyDescent="0.25">
      <c r="B25" s="16" t="s">
        <v>66</v>
      </c>
      <c r="C25" s="16">
        <f t="shared" ref="C25:E25" si="16">C24/C6</f>
        <v>2.0102500988104288E-2</v>
      </c>
      <c r="D25" s="16">
        <f t="shared" si="16"/>
        <v>1.953102621617215E-2</v>
      </c>
      <c r="E25" s="16">
        <f t="shared" si="16"/>
        <v>1.9309826794539322E-2</v>
      </c>
      <c r="F25" s="16">
        <f>F24/F6</f>
        <v>2.2227474590011016E-2</v>
      </c>
      <c r="G25" s="16">
        <f t="shared" ref="G25:M25" si="17">G24/G6</f>
        <v>2.1425238713665449E-2</v>
      </c>
      <c r="H25" s="16">
        <f t="shared" si="17"/>
        <v>3.2335540352378074E-2</v>
      </c>
      <c r="I25" s="16">
        <f t="shared" si="17"/>
        <v>3.8617106809326486E-2</v>
      </c>
      <c r="J25" s="16">
        <f t="shared" si="17"/>
        <v>3.6442576011650275E-2</v>
      </c>
      <c r="K25" s="16">
        <f t="shared" si="17"/>
        <v>2.8052374328551871E-2</v>
      </c>
      <c r="L25" s="16">
        <f t="shared" si="17"/>
        <v>2.4878372818372688E-2</v>
      </c>
      <c r="M25" s="16">
        <f t="shared" si="17"/>
        <v>2.3977795613847074E-2</v>
      </c>
    </row>
    <row r="27" spans="2:13" x14ac:dyDescent="0.25">
      <c r="B27" t="s">
        <v>69</v>
      </c>
      <c r="C27" s="27">
        <f t="shared" ref="C27:E27" si="18">IFERROR(C18-SUM(C24,C21),0)</f>
        <v>1710.0100000000016</v>
      </c>
      <c r="D27" s="27">
        <f t="shared" si="18"/>
        <v>1934.7299999999998</v>
      </c>
      <c r="E27" s="27">
        <f t="shared" si="18"/>
        <v>2400.4600000000014</v>
      </c>
      <c r="F27" s="27">
        <f>IFERROR(F18-SUM(F24,F21),0)</f>
        <v>2621.6400000000003</v>
      </c>
      <c r="G27" s="27">
        <f t="shared" ref="G27:M27" si="19">IFERROR(G18-SUM(G24,G21),0)</f>
        <v>2802.0700000000011</v>
      </c>
      <c r="H27" s="27">
        <f t="shared" si="19"/>
        <v>3032.3300000000013</v>
      </c>
      <c r="I27" s="27">
        <f t="shared" si="19"/>
        <v>3273.989999999998</v>
      </c>
      <c r="J27" s="27">
        <f t="shared" si="19"/>
        <v>3972.700000000003</v>
      </c>
      <c r="K27" s="27">
        <f t="shared" si="19"/>
        <v>3891.8399999999988</v>
      </c>
      <c r="L27" s="27">
        <f t="shared" si="19"/>
        <v>5257.3699999999953</v>
      </c>
      <c r="M27" s="27">
        <f t="shared" si="19"/>
        <v>6295.4999999999991</v>
      </c>
    </row>
    <row r="28" spans="2:13" x14ac:dyDescent="0.25">
      <c r="B28" s="16" t="s">
        <v>70</v>
      </c>
      <c r="C28" s="16">
        <f t="shared" ref="C28:E28" si="20">C27/C6</f>
        <v>0.13993111501533925</v>
      </c>
      <c r="D28" s="16">
        <f t="shared" si="20"/>
        <v>0.14210011413663784</v>
      </c>
      <c r="E28" s="16">
        <f t="shared" si="20"/>
        <v>0.16819967641780931</v>
      </c>
      <c r="F28" s="16">
        <f>F27/F6</f>
        <v>0.17405668175320793</v>
      </c>
      <c r="G28" s="16">
        <f t="shared" ref="G28:M28" si="21">G27/G6</f>
        <v>0.16654650495852794</v>
      </c>
      <c r="H28" s="16">
        <f t="shared" si="21"/>
        <v>0.15760444446061442</v>
      </c>
      <c r="I28" s="16">
        <f t="shared" si="21"/>
        <v>0.16198849650565889</v>
      </c>
      <c r="J28" s="16">
        <f t="shared" si="21"/>
        <v>0.18296589245325004</v>
      </c>
      <c r="K28" s="16">
        <f t="shared" si="21"/>
        <v>0.13373432371359606</v>
      </c>
      <c r="L28" s="16">
        <f t="shared" si="21"/>
        <v>0.15243795121806938</v>
      </c>
      <c r="M28" s="16">
        <f t="shared" si="21"/>
        <v>0.17943586083609614</v>
      </c>
    </row>
    <row r="30" spans="2:13" x14ac:dyDescent="0.25">
      <c r="B30" t="s">
        <v>27</v>
      </c>
      <c r="C30">
        <f>IFERROR('Data Sheet'!B29,0)</f>
        <v>571.51</v>
      </c>
      <c r="D30">
        <f>IFERROR('Data Sheet'!C29,0)</f>
        <v>649.54</v>
      </c>
      <c r="E30">
        <f>IFERROR('Data Sheet'!D29,0)</f>
        <v>844.49</v>
      </c>
      <c r="F30">
        <f>IFERROR('Data Sheet'!E29,0)</f>
        <v>943.29</v>
      </c>
      <c r="G30">
        <f>IFERROR('Data Sheet'!F29,0)</f>
        <v>1040.96</v>
      </c>
      <c r="H30">
        <f>IFERROR('Data Sheet'!G29,0)</f>
        <v>1098.06</v>
      </c>
      <c r="I30">
        <f>IFERROR('Data Sheet'!H29,0)</f>
        <v>854.85</v>
      </c>
      <c r="J30">
        <f>IFERROR('Data Sheet'!I29,0)</f>
        <v>1097.5999999999999</v>
      </c>
      <c r="K30">
        <f>IFERROR('Data Sheet'!J29,0)</f>
        <v>1102.9100000000001</v>
      </c>
      <c r="L30">
        <f>IFERROR('Data Sheet'!K29,0)</f>
        <v>1493.5</v>
      </c>
      <c r="M30">
        <f>IFERROR(SUM('Data Sheet'!H48:K48),0)</f>
        <v>1781.2499999999998</v>
      </c>
    </row>
    <row r="31" spans="2:13" x14ac:dyDescent="0.25">
      <c r="B31" s="16" t="s">
        <v>71</v>
      </c>
      <c r="C31" s="16">
        <f t="shared" ref="C31:E31" si="22">C30/C27</f>
        <v>0.3342144197987143</v>
      </c>
      <c r="D31" s="16">
        <f t="shared" si="22"/>
        <v>0.33572643211197428</v>
      </c>
      <c r="E31" s="16">
        <f t="shared" si="22"/>
        <v>0.35180340434749985</v>
      </c>
      <c r="F31" s="16">
        <f>F30/F27</f>
        <v>0.35980912711127377</v>
      </c>
      <c r="G31" s="16">
        <f t="shared" ref="G31:M31" si="23">G30/G27</f>
        <v>0.37149678630441052</v>
      </c>
      <c r="H31" s="16">
        <f t="shared" si="23"/>
        <v>0.36211757955103813</v>
      </c>
      <c r="I31" s="16">
        <f t="shared" si="23"/>
        <v>0.26110342426213901</v>
      </c>
      <c r="J31" s="16">
        <f t="shared" si="23"/>
        <v>0.2762856495582347</v>
      </c>
      <c r="K31" s="16">
        <f t="shared" si="23"/>
        <v>0.2833903757605658</v>
      </c>
      <c r="L31" s="16">
        <f t="shared" si="23"/>
        <v>0.28407739991668862</v>
      </c>
      <c r="M31" s="16">
        <f t="shared" si="23"/>
        <v>0.28294019537765069</v>
      </c>
    </row>
    <row r="33" spans="1:13" x14ac:dyDescent="0.25">
      <c r="B33" t="s">
        <v>72</v>
      </c>
      <c r="C33" s="27">
        <f t="shared" ref="C33:E33" si="24">IFERROR(C27-C30,0)</f>
        <v>1138.5000000000016</v>
      </c>
      <c r="D33" s="27">
        <f t="shared" si="24"/>
        <v>1285.1899999999998</v>
      </c>
      <c r="E33" s="27">
        <f t="shared" si="24"/>
        <v>1555.9700000000014</v>
      </c>
      <c r="F33" s="27">
        <f>IFERROR(F27-F30,0)</f>
        <v>1678.3500000000004</v>
      </c>
      <c r="G33" s="27">
        <f t="shared" ref="G33:M33" si="25">IFERROR(G27-G30,0)</f>
        <v>1761.110000000001</v>
      </c>
      <c r="H33" s="27">
        <f t="shared" si="25"/>
        <v>1934.2700000000013</v>
      </c>
      <c r="I33" s="27">
        <f t="shared" si="25"/>
        <v>2419.1399999999981</v>
      </c>
      <c r="J33" s="27">
        <f t="shared" si="25"/>
        <v>2875.1000000000031</v>
      </c>
      <c r="K33" s="27">
        <f t="shared" si="25"/>
        <v>2788.9299999999985</v>
      </c>
      <c r="L33" s="27">
        <f t="shared" si="25"/>
        <v>3763.8699999999953</v>
      </c>
      <c r="M33" s="27">
        <f t="shared" si="25"/>
        <v>4514.2499999999991</v>
      </c>
    </row>
    <row r="34" spans="1:13" x14ac:dyDescent="0.25">
      <c r="B34" s="16" t="s">
        <v>73</v>
      </c>
      <c r="C34" s="16">
        <f t="shared" ref="C34:E34" si="26">C33/C6</f>
        <v>9.3164118598700496E-2</v>
      </c>
      <c r="D34" s="16">
        <f t="shared" si="26"/>
        <v>9.43933498148401E-2</v>
      </c>
      <c r="E34" s="16">
        <f t="shared" si="26"/>
        <v>0.10902645764387611</v>
      </c>
      <c r="F34" s="16">
        <f>F33/F6</f>
        <v>0.1114294990237014</v>
      </c>
      <c r="G34" s="16">
        <f t="shared" ref="G34:M34" si="27">G33/G6</f>
        <v>0.10467501359620324</v>
      </c>
      <c r="H34" s="16">
        <f t="shared" si="27"/>
        <v>0.1005331045060507</v>
      </c>
      <c r="I34" s="16">
        <f t="shared" si="27"/>
        <v>0.1196927453769558</v>
      </c>
      <c r="J34" s="16">
        <f t="shared" si="27"/>
        <v>0.13241504200980173</v>
      </c>
      <c r="K34" s="16">
        <f t="shared" si="27"/>
        <v>9.5835303464314917E-2</v>
      </c>
      <c r="L34" s="16">
        <f t="shared" si="27"/>
        <v>0.10913377438741322</v>
      </c>
      <c r="M34" s="16">
        <f t="shared" si="27"/>
        <v>0.12866624331337415</v>
      </c>
    </row>
    <row r="36" spans="1:13" x14ac:dyDescent="0.25">
      <c r="B36" t="s">
        <v>74</v>
      </c>
      <c r="C36" s="12">
        <f>IFERROR('Data Sheet'!B93,0)</f>
        <v>95.92</v>
      </c>
      <c r="D36" s="12">
        <f>IFERROR('Data Sheet'!C93,0)</f>
        <v>95.92</v>
      </c>
      <c r="E36" s="12">
        <f>IFERROR('Data Sheet'!D93,0)</f>
        <v>95.92</v>
      </c>
      <c r="F36" s="12">
        <f>IFERROR('Data Sheet'!E93,0)</f>
        <v>95.92</v>
      </c>
      <c r="G36" s="12">
        <f>IFERROR('Data Sheet'!F93,0)</f>
        <v>95.92</v>
      </c>
      <c r="H36" s="12">
        <f>IFERROR('Data Sheet'!G93,0)</f>
        <v>95.92</v>
      </c>
      <c r="I36" s="12">
        <f>IFERROR('Data Sheet'!H93,0)</f>
        <v>95.92</v>
      </c>
      <c r="J36" s="12">
        <f>IFERROR('Data Sheet'!I93,0)</f>
        <v>95.92</v>
      </c>
      <c r="K36" s="12">
        <f>IFERROR('Data Sheet'!J93,0)</f>
        <v>95.92</v>
      </c>
      <c r="L36" s="12">
        <f>IFERROR('Data Sheet'!K93,0)</f>
        <v>95.92</v>
      </c>
      <c r="M36" s="12">
        <f>IFERROR('Data Sheet'!L93,0)</f>
        <v>0</v>
      </c>
    </row>
    <row r="38" spans="1:13" x14ac:dyDescent="0.25">
      <c r="B38" t="s">
        <v>75</v>
      </c>
      <c r="C38" s="12">
        <f t="shared" ref="C38:E38" si="28">IFERROR(C33/C36,0)</f>
        <v>11.869266055045887</v>
      </c>
      <c r="D38" s="12">
        <f t="shared" si="28"/>
        <v>13.398561301084236</v>
      </c>
      <c r="E38" s="12">
        <f t="shared" si="28"/>
        <v>16.221538782318614</v>
      </c>
      <c r="F38" s="12">
        <f>IFERROR(F33/F36,0)</f>
        <v>17.497393661384489</v>
      </c>
      <c r="G38" s="12">
        <f t="shared" ref="G38:L38" si="29">IFERROR(G33/G36,0)</f>
        <v>18.360195996663897</v>
      </c>
      <c r="H38" s="12">
        <f t="shared" si="29"/>
        <v>20.165450375312773</v>
      </c>
      <c r="I38" s="12">
        <f t="shared" si="29"/>
        <v>25.220391993327752</v>
      </c>
      <c r="J38" s="12">
        <f t="shared" si="29"/>
        <v>29.973936613844902</v>
      </c>
      <c r="K38" s="12">
        <f t="shared" si="29"/>
        <v>29.075583819849857</v>
      </c>
      <c r="L38" s="12">
        <f t="shared" si="29"/>
        <v>39.23967889908252</v>
      </c>
      <c r="M38" s="22"/>
    </row>
    <row r="39" spans="1:13" x14ac:dyDescent="0.25">
      <c r="B39" s="16" t="s">
        <v>77</v>
      </c>
      <c r="C39" s="16"/>
      <c r="D39" s="16">
        <f>IFERROR(D38/C38-1,0)</f>
        <v>0.12884497145366547</v>
      </c>
      <c r="E39" s="16">
        <f t="shared" ref="E39:L39" si="30">IFERROR(E38/D38-1,0)</f>
        <v>0.21069258241972122</v>
      </c>
      <c r="F39" s="16">
        <f t="shared" si="30"/>
        <v>7.8651902028958443E-2</v>
      </c>
      <c r="G39" s="16">
        <f t="shared" si="30"/>
        <v>4.9310334554771629E-2</v>
      </c>
      <c r="H39" s="16">
        <f t="shared" si="30"/>
        <v>9.8324352255111824E-2</v>
      </c>
      <c r="I39" s="16">
        <f t="shared" si="30"/>
        <v>0.25067338065523237</v>
      </c>
      <c r="J39" s="16">
        <f t="shared" si="30"/>
        <v>0.18848020370875829</v>
      </c>
      <c r="K39" s="16">
        <f t="shared" si="30"/>
        <v>-2.9971131438908061E-2</v>
      </c>
      <c r="L39" s="16">
        <f t="shared" si="30"/>
        <v>0.34957492658474676</v>
      </c>
      <c r="M39" s="22"/>
    </row>
    <row r="41" spans="1:13" x14ac:dyDescent="0.25">
      <c r="B41" t="s">
        <v>76</v>
      </c>
      <c r="C41" s="12">
        <f>IFERROR('Data Sheet'!B31/HistoricalFS!C36,0)</f>
        <v>5.3000417014178485</v>
      </c>
      <c r="D41" s="12">
        <f>IFERROR('Data Sheet'!C31/HistoricalFS!D36,0)</f>
        <v>6.0999791492910758</v>
      </c>
      <c r="E41" s="12">
        <f>IFERROR('Data Sheet'!D31/HistoricalFS!E36,0)</f>
        <v>7.5</v>
      </c>
      <c r="F41" s="12">
        <f>IFERROR('Data Sheet'!E31/HistoricalFS!F36,0)</f>
        <v>10.300041701417848</v>
      </c>
      <c r="G41" s="12">
        <f>IFERROR('Data Sheet'!F31/HistoricalFS!G36,0)</f>
        <v>8.6999582985821515</v>
      </c>
      <c r="H41" s="12">
        <f>IFERROR('Data Sheet'!G31/HistoricalFS!H36,0)</f>
        <v>10.5</v>
      </c>
      <c r="I41" s="12">
        <f>IFERROR('Data Sheet'!H31/HistoricalFS!I36,0)</f>
        <v>12</v>
      </c>
      <c r="J41" s="12">
        <f>IFERROR('Data Sheet'!I31/HistoricalFS!J36,0)</f>
        <v>17.849979149291077</v>
      </c>
      <c r="K41" s="12">
        <f>IFERROR('Data Sheet'!J31/HistoricalFS!K36,0)</f>
        <v>19.150020850708923</v>
      </c>
      <c r="L41" s="12">
        <f>IFERROR('Data Sheet'!K31/HistoricalFS!L36,0)</f>
        <v>25.650020850708923</v>
      </c>
    </row>
    <row r="42" spans="1:13" x14ac:dyDescent="0.25">
      <c r="B42" s="16" t="s">
        <v>78</v>
      </c>
      <c r="C42" s="16">
        <f>IFERROR(C41/C38,0)</f>
        <v>0.44653491436100073</v>
      </c>
      <c r="D42" s="16">
        <f t="shared" ref="D42:L42" si="31">IFERROR(D41/D38,0)</f>
        <v>0.45527120503583129</v>
      </c>
      <c r="E42" s="16">
        <f t="shared" si="31"/>
        <v>0.46234824578880013</v>
      </c>
      <c r="F42" s="16">
        <f t="shared" si="31"/>
        <v>0.5886614830041409</v>
      </c>
      <c r="G42" s="16">
        <f t="shared" si="31"/>
        <v>0.47384887939992359</v>
      </c>
      <c r="H42" s="16">
        <f t="shared" si="31"/>
        <v>0.52069256101785133</v>
      </c>
      <c r="I42" s="16">
        <f t="shared" si="31"/>
        <v>0.47580545152409576</v>
      </c>
      <c r="J42" s="16">
        <f t="shared" si="31"/>
        <v>0.59551667768077576</v>
      </c>
      <c r="K42" s="16">
        <f t="shared" si="31"/>
        <v>0.65862893654555732</v>
      </c>
      <c r="L42" s="16">
        <f t="shared" si="31"/>
        <v>0.65367560516170931</v>
      </c>
    </row>
    <row r="44" spans="1:13" x14ac:dyDescent="0.25">
      <c r="B44" t="s">
        <v>79</v>
      </c>
      <c r="C44" s="14">
        <f>IFERROR(IF(C38&gt;C41,1-C42,0),0)</f>
        <v>0.55346508563899932</v>
      </c>
      <c r="D44" s="14">
        <f t="shared" ref="D44:L44" si="32">IFERROR(IF(D38&gt;D41,1-D42,0),0)</f>
        <v>0.54472879496416871</v>
      </c>
      <c r="E44" s="14">
        <f t="shared" si="32"/>
        <v>0.53765175421119982</v>
      </c>
      <c r="F44" s="14">
        <f t="shared" si="32"/>
        <v>0.4113385169958591</v>
      </c>
      <c r="G44" s="14">
        <f t="shared" si="32"/>
        <v>0.52615112060007641</v>
      </c>
      <c r="H44" s="14">
        <f t="shared" si="32"/>
        <v>0.47930743898214867</v>
      </c>
      <c r="I44" s="14">
        <f t="shared" si="32"/>
        <v>0.5241945484759043</v>
      </c>
      <c r="J44" s="14">
        <f t="shared" si="32"/>
        <v>0.40448332231922424</v>
      </c>
      <c r="K44" s="14">
        <f t="shared" si="32"/>
        <v>0.34137106345444268</v>
      </c>
      <c r="L44" s="14">
        <f t="shared" si="32"/>
        <v>0.34632439483829069</v>
      </c>
    </row>
    <row r="46" spans="1:13" x14ac:dyDescent="0.25">
      <c r="A46" s="9" t="s">
        <v>55</v>
      </c>
      <c r="B46" s="17" t="s">
        <v>80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8"/>
    </row>
    <row r="47" spans="1:13" x14ac:dyDescent="0.25">
      <c r="B47" t="s">
        <v>23</v>
      </c>
      <c r="C47" s="12">
        <f>IFERROR('Data Sheet'!B57,0)</f>
        <v>95.92</v>
      </c>
      <c r="D47" s="12">
        <f>IFERROR('Data Sheet'!C57,0)</f>
        <v>95.92</v>
      </c>
      <c r="E47" s="12">
        <f>IFERROR('Data Sheet'!D57,0)</f>
        <v>95.92</v>
      </c>
      <c r="F47" s="12">
        <f>IFERROR('Data Sheet'!E57,0)</f>
        <v>95.92</v>
      </c>
      <c r="G47" s="12">
        <f>IFERROR('Data Sheet'!F57,0)</f>
        <v>95.92</v>
      </c>
      <c r="H47" s="12">
        <f>IFERROR('Data Sheet'!G57,0)</f>
        <v>95.92</v>
      </c>
      <c r="I47" s="12">
        <f>IFERROR('Data Sheet'!H57,0)</f>
        <v>95.92</v>
      </c>
      <c r="J47" s="12">
        <f>IFERROR('Data Sheet'!I57,0)</f>
        <v>95.92</v>
      </c>
      <c r="K47" s="12">
        <f>IFERROR('Data Sheet'!J57,0)</f>
        <v>95.92</v>
      </c>
      <c r="L47" s="12">
        <f>IFERROR('Data Sheet'!K57,0)</f>
        <v>95.92</v>
      </c>
    </row>
    <row r="48" spans="1:13" x14ac:dyDescent="0.25">
      <c r="B48" t="s">
        <v>22</v>
      </c>
      <c r="C48" s="12">
        <f>IFERROR('Data Sheet'!B58,0)</f>
        <v>3943.3</v>
      </c>
      <c r="D48" s="12">
        <f>IFERROR('Data Sheet'!C58,0)</f>
        <v>4646.4399999999996</v>
      </c>
      <c r="E48" s="12">
        <f>IFERROR('Data Sheet'!D58,0)</f>
        <v>6428.9</v>
      </c>
      <c r="F48" s="12">
        <f>IFERROR('Data Sheet'!E58,0)</f>
        <v>7507.97</v>
      </c>
      <c r="G48" s="12">
        <f>IFERROR('Data Sheet'!F58,0)</f>
        <v>8314.31</v>
      </c>
      <c r="H48" s="12">
        <f>IFERROR('Data Sheet'!G58,0)</f>
        <v>9374.6299999999992</v>
      </c>
      <c r="I48" s="12">
        <f>IFERROR('Data Sheet'!H58,0)</f>
        <v>10034.24</v>
      </c>
      <c r="J48" s="12">
        <f>IFERROR('Data Sheet'!I58,0)</f>
        <v>12710.37</v>
      </c>
      <c r="K48" s="12">
        <f>IFERROR('Data Sheet'!J58,0)</f>
        <v>13715.64</v>
      </c>
      <c r="L48" s="12">
        <f>IFERROR('Data Sheet'!K58,0)</f>
        <v>15896.31</v>
      </c>
    </row>
    <row r="49" spans="2:12" x14ac:dyDescent="0.25">
      <c r="B49" t="s">
        <v>21</v>
      </c>
      <c r="C49" s="12">
        <f>IFERROR('Data Sheet'!B59,0)</f>
        <v>249.15</v>
      </c>
      <c r="D49" s="12">
        <f>IFERROR('Data Sheet'!C59,0)</f>
        <v>418.17</v>
      </c>
      <c r="E49" s="12">
        <f>IFERROR('Data Sheet'!D59,0)</f>
        <v>323.29000000000002</v>
      </c>
      <c r="F49" s="12">
        <f>IFERROR('Data Sheet'!E59,0)</f>
        <v>560.34</v>
      </c>
      <c r="G49" s="12">
        <f>IFERROR('Data Sheet'!F59,0)</f>
        <v>533.42999999999995</v>
      </c>
      <c r="H49" s="12">
        <f>IFERROR('Data Sheet'!G59,0)</f>
        <v>1319.6</v>
      </c>
      <c r="I49" s="12">
        <f>IFERROR('Data Sheet'!H59,0)</f>
        <v>1118.5</v>
      </c>
      <c r="J49" s="12">
        <f>IFERROR('Data Sheet'!I59,0)</f>
        <v>1093.1199999999999</v>
      </c>
      <c r="K49" s="12">
        <f>IFERROR('Data Sheet'!J59,0)</f>
        <v>1586.88</v>
      </c>
      <c r="L49" s="12">
        <f>IFERROR('Data Sheet'!K59,0)</f>
        <v>1932.62</v>
      </c>
    </row>
    <row r="50" spans="2:12" x14ac:dyDescent="0.25">
      <c r="B50" t="s">
        <v>20</v>
      </c>
      <c r="C50" s="12">
        <f>IFERROR('Data Sheet'!B60,0)</f>
        <v>3787.03</v>
      </c>
      <c r="D50" s="12">
        <f>IFERROR('Data Sheet'!C60,0)</f>
        <v>3753.97</v>
      </c>
      <c r="E50" s="12">
        <f>IFERROR('Data Sheet'!D60,0)</f>
        <v>3710.92</v>
      </c>
      <c r="F50" s="12">
        <f>IFERROR('Data Sheet'!E60,0)</f>
        <v>4240.96</v>
      </c>
      <c r="G50" s="12">
        <f>IFERROR('Data Sheet'!F60,0)</f>
        <v>4819.82</v>
      </c>
      <c r="H50" s="12">
        <f>IFERROR('Data Sheet'!G60,0)</f>
        <v>5458.69</v>
      </c>
      <c r="I50" s="12">
        <f>IFERROR('Data Sheet'!H60,0)</f>
        <v>4889.3100000000004</v>
      </c>
      <c r="J50" s="12">
        <f>IFERROR('Data Sheet'!I60,0)</f>
        <v>6455.93</v>
      </c>
      <c r="K50" s="12">
        <f>IFERROR('Data Sheet'!J60,0)</f>
        <v>7559.99</v>
      </c>
      <c r="L50" s="12">
        <f>IFERROR('Data Sheet'!K60,0)</f>
        <v>7854.48</v>
      </c>
    </row>
    <row r="51" spans="2:12" x14ac:dyDescent="0.25">
      <c r="B51" s="24" t="s">
        <v>81</v>
      </c>
      <c r="C51" s="27">
        <f>IFERROR('Data Sheet'!B61,0)</f>
        <v>8075.4</v>
      </c>
      <c r="D51" s="27">
        <f>IFERROR('Data Sheet'!C61,0)</f>
        <v>8914.5</v>
      </c>
      <c r="E51" s="27">
        <f>IFERROR('Data Sheet'!D61,0)</f>
        <v>10559.03</v>
      </c>
      <c r="F51" s="27">
        <f>IFERROR('Data Sheet'!E61,0)</f>
        <v>12405.19</v>
      </c>
      <c r="G51" s="27">
        <f>IFERROR('Data Sheet'!F61,0)</f>
        <v>13763.48</v>
      </c>
      <c r="H51" s="27">
        <f>IFERROR('Data Sheet'!G61,0)</f>
        <v>16248.84</v>
      </c>
      <c r="I51" s="27">
        <f>IFERROR('Data Sheet'!H61,0)</f>
        <v>16137.97</v>
      </c>
      <c r="J51" s="27">
        <f>IFERROR('Data Sheet'!I61,0)</f>
        <v>20355.34</v>
      </c>
      <c r="K51" s="27">
        <f>IFERROR('Data Sheet'!J61,0)</f>
        <v>22958.43</v>
      </c>
      <c r="L51" s="27">
        <f>IFERROR('Data Sheet'!K61,0)</f>
        <v>25779.33</v>
      </c>
    </row>
    <row r="52" spans="2:12" x14ac:dyDescent="0.25"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2:12" x14ac:dyDescent="0.25">
      <c r="B53" t="s">
        <v>82</v>
      </c>
      <c r="C53" s="12">
        <f>IFERROR('Data Sheet'!B62,0)</f>
        <v>2561.58</v>
      </c>
      <c r="D53" s="12">
        <f>IFERROR('Data Sheet'!C62,0)</f>
        <v>2660.04</v>
      </c>
      <c r="E53" s="12">
        <f>IFERROR('Data Sheet'!D62,0)</f>
        <v>3416.35</v>
      </c>
      <c r="F53" s="12">
        <f>IFERROR('Data Sheet'!E62,0)</f>
        <v>3303.74</v>
      </c>
      <c r="G53" s="12">
        <f>IFERROR('Data Sheet'!F62,0)</f>
        <v>3732.24</v>
      </c>
      <c r="H53" s="12">
        <f>IFERROR('Data Sheet'!G62,0)</f>
        <v>6496.56</v>
      </c>
      <c r="I53" s="12">
        <f>IFERROR('Data Sheet'!H62,0)</f>
        <v>6272.31</v>
      </c>
      <c r="J53" s="12">
        <f>IFERROR('Data Sheet'!I62,0)</f>
        <v>5858.52</v>
      </c>
      <c r="K53" s="12">
        <f>IFERROR('Data Sheet'!J62,0)</f>
        <v>5519.06</v>
      </c>
      <c r="L53" s="12">
        <f>IFERROR('Data Sheet'!K62,0)</f>
        <v>5770.46</v>
      </c>
    </row>
    <row r="54" spans="2:12" x14ac:dyDescent="0.25">
      <c r="B54" t="s">
        <v>18</v>
      </c>
      <c r="C54" s="12">
        <f>IFERROR('Data Sheet'!B63,0)</f>
        <v>71.599999999999994</v>
      </c>
      <c r="D54" s="12">
        <f>IFERROR('Data Sheet'!C63,0)</f>
        <v>196</v>
      </c>
      <c r="E54" s="12">
        <f>IFERROR('Data Sheet'!D63,0)</f>
        <v>106.59</v>
      </c>
      <c r="F54" s="12">
        <f>IFERROR('Data Sheet'!E63,0)</f>
        <v>257.54000000000002</v>
      </c>
      <c r="G54" s="12">
        <f>IFERROR('Data Sheet'!F63,0)</f>
        <v>1405.11</v>
      </c>
      <c r="H54" s="12">
        <f>IFERROR('Data Sheet'!G63,0)</f>
        <v>209.67</v>
      </c>
      <c r="I54" s="12">
        <f>IFERROR('Data Sheet'!H63,0)</f>
        <v>140.24</v>
      </c>
      <c r="J54" s="12">
        <f>IFERROR('Data Sheet'!I63,0)</f>
        <v>182.98</v>
      </c>
      <c r="K54" s="12">
        <f>IFERROR('Data Sheet'!J63,0)</f>
        <v>426.43</v>
      </c>
      <c r="L54" s="12">
        <f>IFERROR('Data Sheet'!K63,0)</f>
        <v>1019.59</v>
      </c>
    </row>
    <row r="55" spans="2:12" x14ac:dyDescent="0.25">
      <c r="B55" t="s">
        <v>17</v>
      </c>
      <c r="C55" s="12">
        <f>IFERROR('Data Sheet'!B64,0)</f>
        <v>1423.55</v>
      </c>
      <c r="D55" s="12">
        <f>IFERROR('Data Sheet'!C64,0)</f>
        <v>1587.79</v>
      </c>
      <c r="E55" s="12">
        <f>IFERROR('Data Sheet'!D64,0)</f>
        <v>2712.13</v>
      </c>
      <c r="F55" s="12">
        <f>IFERROR('Data Sheet'!E64,0)</f>
        <v>2651.99</v>
      </c>
      <c r="G55" s="12">
        <f>IFERROR('Data Sheet'!F64,0)</f>
        <v>2140.6999999999998</v>
      </c>
      <c r="H55" s="12">
        <f>IFERROR('Data Sheet'!G64,0)</f>
        <v>2568.58</v>
      </c>
      <c r="I55" s="12">
        <f>IFERROR('Data Sheet'!H64,0)</f>
        <v>2018.85</v>
      </c>
      <c r="J55" s="12">
        <f>IFERROR('Data Sheet'!I64,0)</f>
        <v>4736.8</v>
      </c>
      <c r="K55" s="12">
        <f>IFERROR('Data Sheet'!J64,0)</f>
        <v>3247.53</v>
      </c>
      <c r="L55" s="12">
        <f>IFERROR('Data Sheet'!K64,0)</f>
        <v>4261.71</v>
      </c>
    </row>
    <row r="56" spans="2:12" x14ac:dyDescent="0.25">
      <c r="B56" t="s">
        <v>16</v>
      </c>
      <c r="C56" s="12">
        <f>IFERROR('Data Sheet'!B65-SUM('Data Sheet'!B67:B69),0)</f>
        <v>609.51000000000022</v>
      </c>
      <c r="D56" s="12">
        <f>IFERROR('Data Sheet'!C65-SUM('Data Sheet'!C67:C69),0)</f>
        <v>825.69</v>
      </c>
      <c r="E56" s="12">
        <f>IFERROR('Data Sheet'!D65-SUM('Data Sheet'!D67:D69),0)</f>
        <v>714.68000000000029</v>
      </c>
      <c r="F56" s="12">
        <f>IFERROR('Data Sheet'!E65-SUM('Data Sheet'!E67:E69),0)</f>
        <v>1317.17</v>
      </c>
      <c r="G56" s="12">
        <f>IFERROR('Data Sheet'!F65-SUM('Data Sheet'!F67:F69),0)</f>
        <v>1691.8400000000001</v>
      </c>
      <c r="H56" s="12">
        <f>IFERROR('Data Sheet'!G65-SUM('Data Sheet'!G67:G69),0)</f>
        <v>1471.9599999999991</v>
      </c>
      <c r="I56" s="12">
        <f>IFERROR('Data Sheet'!H65-SUM('Data Sheet'!H67:H69),0)</f>
        <v>1738.71</v>
      </c>
      <c r="J56" s="12">
        <f>IFERROR('Data Sheet'!I65-SUM('Data Sheet'!I67:I69),0)</f>
        <v>2565.5200000000004</v>
      </c>
      <c r="K56" s="12">
        <f>IFERROR('Data Sheet'!J65-SUM('Data Sheet'!J67:J69),0)</f>
        <v>2876.66</v>
      </c>
      <c r="L56" s="12">
        <f>IFERROR('Data Sheet'!K65-SUM('Data Sheet'!K67:K69),0)</f>
        <v>3036.17</v>
      </c>
    </row>
    <row r="57" spans="2:12" x14ac:dyDescent="0.25">
      <c r="B57" s="24" t="s">
        <v>83</v>
      </c>
      <c r="C57" s="27">
        <f>IFERROR(SUM(C53:C56),0)</f>
        <v>4666.24</v>
      </c>
      <c r="D57" s="27">
        <f t="shared" ref="D57:L57" si="33">IFERROR(SUM(D53:D56),0)</f>
        <v>5269.52</v>
      </c>
      <c r="E57" s="27">
        <f t="shared" si="33"/>
        <v>6949.75</v>
      </c>
      <c r="F57" s="27">
        <f t="shared" si="33"/>
        <v>7530.44</v>
      </c>
      <c r="G57" s="27">
        <f t="shared" si="33"/>
        <v>8969.89</v>
      </c>
      <c r="H57" s="27">
        <f t="shared" si="33"/>
        <v>10746.77</v>
      </c>
      <c r="I57" s="27">
        <f t="shared" si="33"/>
        <v>10170.11</v>
      </c>
      <c r="J57" s="27">
        <f t="shared" si="33"/>
        <v>13343.82</v>
      </c>
      <c r="K57" s="27">
        <f t="shared" si="33"/>
        <v>12069.68</v>
      </c>
      <c r="L57" s="27">
        <f t="shared" si="33"/>
        <v>14087.93</v>
      </c>
    </row>
    <row r="58" spans="2:12" x14ac:dyDescent="0.25">
      <c r="B58" s="23"/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spans="2:12" x14ac:dyDescent="0.25">
      <c r="B59" t="s">
        <v>14</v>
      </c>
      <c r="C59" s="12">
        <f>IFERROR('Data Sheet'!B67,0)</f>
        <v>1110.3</v>
      </c>
      <c r="D59" s="12">
        <f>IFERROR('Data Sheet'!C67,0)</f>
        <v>1182.07</v>
      </c>
      <c r="E59" s="12">
        <f>IFERROR('Data Sheet'!D67,0)</f>
        <v>1186.8399999999999</v>
      </c>
      <c r="F59" s="12">
        <f>IFERROR('Data Sheet'!E67,0)</f>
        <v>1446.6</v>
      </c>
      <c r="G59" s="12">
        <f>IFERROR('Data Sheet'!F67,0)</f>
        <v>1730.63</v>
      </c>
      <c r="H59" s="12">
        <f>IFERROR('Data Sheet'!G67,0)</f>
        <v>1907.33</v>
      </c>
      <c r="I59" s="12">
        <f>IFERROR('Data Sheet'!H67,0)</f>
        <v>1795.22</v>
      </c>
      <c r="J59" s="12">
        <f>IFERROR('Data Sheet'!I67,0)</f>
        <v>2602.17</v>
      </c>
      <c r="K59" s="12">
        <f>IFERROR('Data Sheet'!J67,0)</f>
        <v>3871.44</v>
      </c>
      <c r="L59" s="12">
        <f>IFERROR('Data Sheet'!K67,0)</f>
        <v>4636.9399999999996</v>
      </c>
    </row>
    <row r="60" spans="2:12" x14ac:dyDescent="0.25">
      <c r="B60" t="s">
        <v>13</v>
      </c>
      <c r="C60" s="12">
        <f>IFERROR('Data Sheet'!B68,0)</f>
        <v>2069.86</v>
      </c>
      <c r="D60" s="12">
        <f>IFERROR('Data Sheet'!C68,0)</f>
        <v>2258.52</v>
      </c>
      <c r="E60" s="12">
        <f>IFERROR('Data Sheet'!D68,0)</f>
        <v>1998.24</v>
      </c>
      <c r="F60" s="12">
        <f>IFERROR('Data Sheet'!E68,0)</f>
        <v>2626.94</v>
      </c>
      <c r="G60" s="12">
        <f>IFERROR('Data Sheet'!F68,0)</f>
        <v>2658.31</v>
      </c>
      <c r="H60" s="12">
        <f>IFERROR('Data Sheet'!G68,0)</f>
        <v>3149.86</v>
      </c>
      <c r="I60" s="12">
        <f>IFERROR('Data Sheet'!H68,0)</f>
        <v>3389.81</v>
      </c>
      <c r="J60" s="12">
        <f>IFERROR('Data Sheet'!I68,0)</f>
        <v>3798.6</v>
      </c>
      <c r="K60" s="12">
        <f>IFERROR('Data Sheet'!J68,0)</f>
        <v>6152.98</v>
      </c>
      <c r="L60" s="12">
        <f>IFERROR('Data Sheet'!K68,0)</f>
        <v>6210.64</v>
      </c>
    </row>
    <row r="61" spans="2:12" x14ac:dyDescent="0.25">
      <c r="B61" t="s">
        <v>12</v>
      </c>
      <c r="C61" s="12">
        <f>IFERROR('Data Sheet'!B69,0)</f>
        <v>229</v>
      </c>
      <c r="D61" s="12">
        <f>IFERROR('Data Sheet'!C69,0)</f>
        <v>204.39</v>
      </c>
      <c r="E61" s="12">
        <f>IFERROR('Data Sheet'!D69,0)</f>
        <v>424.2</v>
      </c>
      <c r="F61" s="12">
        <f>IFERROR('Data Sheet'!E69,0)</f>
        <v>801.21</v>
      </c>
      <c r="G61" s="12">
        <f>IFERROR('Data Sheet'!F69,0)</f>
        <v>404.65</v>
      </c>
      <c r="H61" s="12">
        <f>IFERROR('Data Sheet'!G69,0)</f>
        <v>444.88</v>
      </c>
      <c r="I61" s="12">
        <f>IFERROR('Data Sheet'!H69,0)</f>
        <v>782.83</v>
      </c>
      <c r="J61" s="12">
        <f>IFERROR('Data Sheet'!I69,0)</f>
        <v>610.75</v>
      </c>
      <c r="K61" s="12">
        <f>IFERROR('Data Sheet'!J69,0)</f>
        <v>864.33</v>
      </c>
      <c r="L61" s="12">
        <f>IFERROR('Data Sheet'!K69,0)</f>
        <v>843.82</v>
      </c>
    </row>
    <row r="62" spans="2:12" x14ac:dyDescent="0.25">
      <c r="B62" s="24" t="s">
        <v>84</v>
      </c>
      <c r="C62" s="27">
        <f>IFERROR(SUM(C59:C61),0)</f>
        <v>3409.16</v>
      </c>
      <c r="D62" s="27">
        <f t="shared" ref="D62:L62" si="34">IFERROR(SUM(D59:D61),0)</f>
        <v>3644.98</v>
      </c>
      <c r="E62" s="27">
        <f t="shared" si="34"/>
        <v>3609.2799999999997</v>
      </c>
      <c r="F62" s="27">
        <f t="shared" si="34"/>
        <v>4874.75</v>
      </c>
      <c r="G62" s="27">
        <f t="shared" si="34"/>
        <v>4793.59</v>
      </c>
      <c r="H62" s="27">
        <f t="shared" si="34"/>
        <v>5502.0700000000006</v>
      </c>
      <c r="I62" s="27">
        <f t="shared" si="34"/>
        <v>5967.86</v>
      </c>
      <c r="J62" s="27">
        <f t="shared" si="34"/>
        <v>7011.52</v>
      </c>
      <c r="K62" s="27">
        <f t="shared" si="34"/>
        <v>10888.75</v>
      </c>
      <c r="L62" s="27">
        <f t="shared" si="34"/>
        <v>11691.4</v>
      </c>
    </row>
    <row r="64" spans="2:12" x14ac:dyDescent="0.25">
      <c r="B64" s="24" t="s">
        <v>85</v>
      </c>
      <c r="C64" s="27">
        <f>IFERROR(C62+C57,0)</f>
        <v>8075.4</v>
      </c>
      <c r="D64" s="27">
        <f t="shared" ref="D64:L64" si="35">IFERROR(D62+D57,0)</f>
        <v>8914.5</v>
      </c>
      <c r="E64" s="27">
        <f t="shared" si="35"/>
        <v>10559.029999999999</v>
      </c>
      <c r="F64" s="27">
        <f t="shared" si="35"/>
        <v>12405.189999999999</v>
      </c>
      <c r="G64" s="27">
        <f t="shared" si="35"/>
        <v>13763.48</v>
      </c>
      <c r="H64" s="27">
        <f t="shared" si="35"/>
        <v>16248.84</v>
      </c>
      <c r="I64" s="27">
        <f t="shared" si="35"/>
        <v>16137.970000000001</v>
      </c>
      <c r="J64" s="27">
        <f t="shared" si="35"/>
        <v>20355.34</v>
      </c>
      <c r="K64" s="27">
        <f t="shared" si="35"/>
        <v>22958.43</v>
      </c>
      <c r="L64" s="27">
        <f t="shared" si="35"/>
        <v>25779.33</v>
      </c>
    </row>
    <row r="66" spans="1:13" x14ac:dyDescent="0.25">
      <c r="B66" s="23" t="s">
        <v>86</v>
      </c>
      <c r="C66" t="b">
        <f>C64=C51</f>
        <v>1</v>
      </c>
      <c r="D66" t="b">
        <f t="shared" ref="D66:L66" si="36">D64=D51</f>
        <v>1</v>
      </c>
      <c r="E66" t="b">
        <f t="shared" si="36"/>
        <v>1</v>
      </c>
      <c r="F66" t="b">
        <f t="shared" si="36"/>
        <v>1</v>
      </c>
      <c r="G66" t="b">
        <f t="shared" si="36"/>
        <v>1</v>
      </c>
      <c r="H66" t="b">
        <f t="shared" si="36"/>
        <v>1</v>
      </c>
      <c r="I66" t="b">
        <f t="shared" si="36"/>
        <v>1</v>
      </c>
      <c r="J66" t="b">
        <f t="shared" si="36"/>
        <v>1</v>
      </c>
      <c r="K66" t="b">
        <f t="shared" si="36"/>
        <v>1</v>
      </c>
      <c r="L66" t="b">
        <f t="shared" si="36"/>
        <v>1</v>
      </c>
    </row>
    <row r="68" spans="1:13" x14ac:dyDescent="0.25">
      <c r="A68" s="9" t="s">
        <v>55</v>
      </c>
      <c r="B68" s="17" t="s">
        <v>111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8"/>
    </row>
    <row r="69" spans="1:13" x14ac:dyDescent="0.25">
      <c r="B69" s="24" t="s">
        <v>112</v>
      </c>
      <c r="C69" s="24"/>
    </row>
    <row r="70" spans="1:13" x14ac:dyDescent="0.25">
      <c r="B70" t="s">
        <v>88</v>
      </c>
      <c r="C70" s="12">
        <f>IFERROR('Cash Flow Data'!C4,0)</f>
        <v>2051</v>
      </c>
      <c r="D70" s="12">
        <f>IFERROR('Cash Flow Data'!D4,0)</f>
        <v>2271</v>
      </c>
      <c r="E70" s="12">
        <f>IFERROR('Cash Flow Data'!E4,0)</f>
        <v>2848</v>
      </c>
      <c r="F70" s="12">
        <f>IFERROR('Cash Flow Data'!F4,0)</f>
        <v>3056</v>
      </c>
      <c r="G70" s="12">
        <f>IFERROR('Cash Flow Data'!G4,0)</f>
        <v>3274</v>
      </c>
      <c r="H70" s="12">
        <f>IFERROR('Cash Flow Data'!H4,0)</f>
        <v>3861</v>
      </c>
      <c r="I70" s="12">
        <f>IFERROR('Cash Flow Data'!I4,0)</f>
        <v>4380</v>
      </c>
      <c r="J70" s="12">
        <f>IFERROR('Cash Flow Data'!J4,0)</f>
        <v>4970</v>
      </c>
      <c r="K70" s="12">
        <f>IFERROR('Cash Flow Data'!K4,0)</f>
        <v>4957</v>
      </c>
      <c r="L70" s="12">
        <f>IFERROR('Cash Flow Data'!L4,0)</f>
        <v>6460</v>
      </c>
    </row>
    <row r="71" spans="1:13" x14ac:dyDescent="0.25">
      <c r="B71" t="s">
        <v>14</v>
      </c>
      <c r="C71" s="12">
        <f>IFERROR('Cash Flow Data'!C5,0)</f>
        <v>-254</v>
      </c>
      <c r="D71" s="12">
        <f>IFERROR('Cash Flow Data'!D5,0)</f>
        <v>-155</v>
      </c>
      <c r="E71" s="12">
        <f>IFERROR('Cash Flow Data'!E5,0)</f>
        <v>-146</v>
      </c>
      <c r="F71" s="12">
        <f>IFERROR('Cash Flow Data'!F5,0)</f>
        <v>-475</v>
      </c>
      <c r="G71" s="12">
        <f>IFERROR('Cash Flow Data'!G5,0)</f>
        <v>-483</v>
      </c>
      <c r="H71" s="12">
        <f>IFERROR('Cash Flow Data'!H5,0)</f>
        <v>-205</v>
      </c>
      <c r="I71" s="12">
        <f>IFERROR('Cash Flow Data'!I5,0)</f>
        <v>160</v>
      </c>
      <c r="J71" s="12">
        <f>IFERROR('Cash Flow Data'!J5,0)</f>
        <v>-849</v>
      </c>
      <c r="K71" s="12">
        <f>IFERROR('Cash Flow Data'!K5,0)</f>
        <v>-1326</v>
      </c>
      <c r="L71" s="12">
        <f>IFERROR('Cash Flow Data'!L5,0)</f>
        <v>-834</v>
      </c>
    </row>
    <row r="72" spans="1:13" x14ac:dyDescent="0.25">
      <c r="B72" t="s">
        <v>13</v>
      </c>
      <c r="C72" s="12">
        <f>IFERROR('Cash Flow Data'!C6,0)</f>
        <v>-231</v>
      </c>
      <c r="D72" s="12">
        <f>IFERROR('Cash Flow Data'!D6,0)</f>
        <v>-144</v>
      </c>
      <c r="E72" s="12">
        <f>IFERROR('Cash Flow Data'!E6,0)</f>
        <v>202</v>
      </c>
      <c r="F72" s="12">
        <f>IFERROR('Cash Flow Data'!F6,0)</f>
        <v>-629</v>
      </c>
      <c r="G72" s="12">
        <f>IFERROR('Cash Flow Data'!G6,0)</f>
        <v>-39</v>
      </c>
      <c r="H72" s="12">
        <f>IFERROR('Cash Flow Data'!H6,0)</f>
        <v>-492</v>
      </c>
      <c r="I72" s="12">
        <f>IFERROR('Cash Flow Data'!I6,0)</f>
        <v>-251</v>
      </c>
      <c r="J72" s="12">
        <f>IFERROR('Cash Flow Data'!J6,0)</f>
        <v>-409</v>
      </c>
      <c r="K72" s="12">
        <f>IFERROR('Cash Flow Data'!K6,0)</f>
        <v>-2354</v>
      </c>
      <c r="L72" s="12">
        <f>IFERROR('Cash Flow Data'!L6,0)</f>
        <v>-56</v>
      </c>
    </row>
    <row r="73" spans="1:13" x14ac:dyDescent="0.25">
      <c r="B73" t="s">
        <v>89</v>
      </c>
      <c r="C73" s="12">
        <f>IFERROR('Cash Flow Data'!C7,0)</f>
        <v>317</v>
      </c>
      <c r="D73" s="12">
        <f>IFERROR('Cash Flow Data'!D7,0)</f>
        <v>-151</v>
      </c>
      <c r="E73" s="12">
        <f>IFERROR('Cash Flow Data'!E7,0)</f>
        <v>142</v>
      </c>
      <c r="F73" s="12">
        <f>IFERROR('Cash Flow Data'!F7,0)</f>
        <v>501</v>
      </c>
      <c r="G73" s="12">
        <f>IFERROR('Cash Flow Data'!G7,0)</f>
        <v>442</v>
      </c>
      <c r="H73" s="12">
        <f>IFERROR('Cash Flow Data'!H7,0)</f>
        <v>287</v>
      </c>
      <c r="I73" s="12">
        <f>IFERROR('Cash Flow Data'!I7,0)</f>
        <v>-241</v>
      </c>
      <c r="J73" s="12">
        <f>IFERROR('Cash Flow Data'!J7,0)</f>
        <v>1143</v>
      </c>
      <c r="K73" s="12">
        <f>IFERROR('Cash Flow Data'!K7,0)</f>
        <v>644</v>
      </c>
      <c r="L73" s="12">
        <f>IFERROR('Cash Flow Data'!L7,0)</f>
        <v>-539</v>
      </c>
    </row>
    <row r="74" spans="1:13" x14ac:dyDescent="0.25">
      <c r="B74" t="s">
        <v>90</v>
      </c>
      <c r="C74" s="12">
        <f>IFERROR('Cash Flow Data'!C8,0)</f>
        <v>0</v>
      </c>
      <c r="D74" s="12">
        <f>IFERROR('Cash Flow Data'!D8,0)</f>
        <v>0</v>
      </c>
      <c r="E74" s="12">
        <f>IFERROR('Cash Flow Data'!E8,0)</f>
        <v>0</v>
      </c>
      <c r="F74" s="12">
        <f>IFERROR('Cash Flow Data'!F8,0)</f>
        <v>0</v>
      </c>
      <c r="G74" s="12">
        <f>IFERROR('Cash Flow Data'!G8,0)</f>
        <v>0</v>
      </c>
      <c r="H74" s="12">
        <f>IFERROR('Cash Flow Data'!H8,0)</f>
        <v>0</v>
      </c>
      <c r="I74" s="12">
        <f>IFERROR('Cash Flow Data'!I8,0)</f>
        <v>0</v>
      </c>
      <c r="J74" s="12">
        <f>IFERROR('Cash Flow Data'!J8,0)</f>
        <v>-92</v>
      </c>
      <c r="K74" s="12">
        <f>IFERROR('Cash Flow Data'!K8,0)</f>
        <v>242</v>
      </c>
      <c r="L74" s="12">
        <f>IFERROR('Cash Flow Data'!L8,0)</f>
        <v>657</v>
      </c>
    </row>
    <row r="75" spans="1:13" x14ac:dyDescent="0.25">
      <c r="B75" t="s">
        <v>91</v>
      </c>
      <c r="C75" s="12">
        <f>IFERROR('Cash Flow Data'!C9,0)</f>
        <v>-168</v>
      </c>
      <c r="D75" s="12">
        <f>IFERROR('Cash Flow Data'!D9,0)</f>
        <v>-450</v>
      </c>
      <c r="E75" s="12">
        <f>IFERROR('Cash Flow Data'!E9,0)</f>
        <v>198</v>
      </c>
      <c r="F75" s="12">
        <f>IFERROR('Cash Flow Data'!F9,0)</f>
        <v>-603</v>
      </c>
      <c r="G75" s="12">
        <f>IFERROR('Cash Flow Data'!G9,0)</f>
        <v>-80</v>
      </c>
      <c r="H75" s="12">
        <f>IFERROR('Cash Flow Data'!H9,0)</f>
        <v>-410</v>
      </c>
      <c r="I75" s="12">
        <f>IFERROR('Cash Flow Data'!I9,0)</f>
        <v>-331</v>
      </c>
      <c r="J75" s="12">
        <f>IFERROR('Cash Flow Data'!J9,0)</f>
        <v>-206</v>
      </c>
      <c r="K75" s="12">
        <f>IFERROR('Cash Flow Data'!K9,0)</f>
        <v>-2795</v>
      </c>
      <c r="L75" s="12">
        <f>IFERROR('Cash Flow Data'!L9,0)</f>
        <v>-772</v>
      </c>
    </row>
    <row r="76" spans="1:13" x14ac:dyDescent="0.25">
      <c r="B76" t="s">
        <v>92</v>
      </c>
      <c r="C76" s="12">
        <f>IFERROR('Cash Flow Data'!C10,0)</f>
        <v>-480</v>
      </c>
      <c r="D76" s="12">
        <f>IFERROR('Cash Flow Data'!D10,0)</f>
        <v>-633</v>
      </c>
      <c r="E76" s="12">
        <f>IFERROR('Cash Flow Data'!E10,0)</f>
        <v>-802</v>
      </c>
      <c r="F76" s="12">
        <f>IFERROR('Cash Flow Data'!F10,0)</f>
        <v>-925</v>
      </c>
      <c r="G76" s="12">
        <f>IFERROR('Cash Flow Data'!G10,0)</f>
        <v>-1081</v>
      </c>
      <c r="H76" s="12">
        <f>IFERROR('Cash Flow Data'!H10,0)</f>
        <v>-982</v>
      </c>
      <c r="I76" s="12">
        <f>IFERROR('Cash Flow Data'!I10,0)</f>
        <v>-1011</v>
      </c>
      <c r="J76" s="12">
        <f>IFERROR('Cash Flow Data'!J10,0)</f>
        <v>-1080</v>
      </c>
      <c r="K76" s="12">
        <f>IFERROR('Cash Flow Data'!K10,0)</f>
        <v>-1176</v>
      </c>
      <c r="L76" s="12">
        <f>IFERROR('Cash Flow Data'!L10,0)</f>
        <v>-1494</v>
      </c>
    </row>
    <row r="77" spans="1:13" x14ac:dyDescent="0.25">
      <c r="B77" s="48" t="s">
        <v>158</v>
      </c>
      <c r="C77" s="12">
        <f>IFERROR('Cash Flow Data'!#REF!,0)</f>
        <v>0</v>
      </c>
      <c r="D77" s="12">
        <f>IFERROR('Cash Flow Data'!#REF!,0)</f>
        <v>0</v>
      </c>
      <c r="E77" s="12">
        <f>IFERROR('Cash Flow Data'!C11,0)</f>
        <v>0</v>
      </c>
      <c r="F77" s="12">
        <f>IFERROR('Cash Flow Data'!D11,0)</f>
        <v>0</v>
      </c>
      <c r="G77" s="12">
        <f>IFERROR('Cash Flow Data'!E11,0)</f>
        <v>0</v>
      </c>
      <c r="H77" s="12">
        <f>IFERROR('Cash Flow Data'!F11,0)</f>
        <v>0</v>
      </c>
      <c r="I77" s="12">
        <f>IFERROR('Cash Flow Data'!G11,0)</f>
        <v>0</v>
      </c>
      <c r="J77" s="12">
        <f>IFERROR('Cash Flow Data'!H11,0)</f>
        <v>0</v>
      </c>
      <c r="K77" s="12">
        <f>IFERROR('Cash Flow Data'!I11,0)</f>
        <v>0</v>
      </c>
      <c r="L77" s="12">
        <f>IFERROR('Cash Flow Data'!J11,0)</f>
        <v>0</v>
      </c>
    </row>
    <row r="78" spans="1:13" x14ac:dyDescent="0.25">
      <c r="B78" s="24" t="s">
        <v>113</v>
      </c>
      <c r="C78" s="12">
        <f>SUM(C70:C77)</f>
        <v>1235</v>
      </c>
      <c r="D78" s="12">
        <f t="shared" ref="D78:L78" si="37">SUM(D70:D77)</f>
        <v>738</v>
      </c>
      <c r="E78" s="12">
        <f t="shared" si="37"/>
        <v>2442</v>
      </c>
      <c r="F78" s="12">
        <f t="shared" si="37"/>
        <v>925</v>
      </c>
      <c r="G78" s="12">
        <f t="shared" si="37"/>
        <v>2033</v>
      </c>
      <c r="H78" s="12">
        <f t="shared" si="37"/>
        <v>2059</v>
      </c>
      <c r="I78" s="12">
        <f t="shared" si="37"/>
        <v>2706</v>
      </c>
      <c r="J78" s="12">
        <f t="shared" si="37"/>
        <v>3477</v>
      </c>
      <c r="K78" s="12">
        <f t="shared" si="37"/>
        <v>-1808</v>
      </c>
      <c r="L78" s="12">
        <f t="shared" si="37"/>
        <v>3422</v>
      </c>
    </row>
    <row r="80" spans="1:13" x14ac:dyDescent="0.25">
      <c r="B80" s="26" t="s">
        <v>117</v>
      </c>
    </row>
    <row r="81" spans="2:12" x14ac:dyDescent="0.25">
      <c r="B81" t="s">
        <v>94</v>
      </c>
      <c r="C81" s="12">
        <f>IFERROR('Cash Flow Data'!C13,0)</f>
        <v>-251</v>
      </c>
      <c r="D81" s="12">
        <f>IFERROR('Cash Flow Data'!D13,0)</f>
        <v>-454</v>
      </c>
      <c r="E81" s="12">
        <f>IFERROR('Cash Flow Data'!E13,0)</f>
        <v>-817</v>
      </c>
      <c r="F81" s="12">
        <f>IFERROR('Cash Flow Data'!F13,0)</f>
        <v>-684</v>
      </c>
      <c r="G81" s="12">
        <f>IFERROR('Cash Flow Data'!G13,0)</f>
        <v>-1426</v>
      </c>
      <c r="H81" s="12">
        <f>IFERROR('Cash Flow Data'!H13,0)</f>
        <v>-1151</v>
      </c>
      <c r="I81" s="12">
        <f>IFERROR('Cash Flow Data'!I13,0)</f>
        <v>-404</v>
      </c>
      <c r="J81" s="12">
        <f>IFERROR('Cash Flow Data'!J13,0)</f>
        <v>-282</v>
      </c>
      <c r="K81" s="12">
        <f>IFERROR('Cash Flow Data'!K13,0)</f>
        <v>-551</v>
      </c>
      <c r="L81" s="12">
        <f>IFERROR('Cash Flow Data'!L13,0)</f>
        <v>-1446</v>
      </c>
    </row>
    <row r="82" spans="2:12" x14ac:dyDescent="0.25">
      <c r="B82" t="s">
        <v>95</v>
      </c>
      <c r="C82" s="12">
        <f>IFERROR('Cash Flow Data'!C14,0)</f>
        <v>16</v>
      </c>
      <c r="D82" s="12">
        <f>IFERROR('Cash Flow Data'!D14,0)</f>
        <v>16</v>
      </c>
      <c r="E82" s="12">
        <f>IFERROR('Cash Flow Data'!E14,0)</f>
        <v>15</v>
      </c>
      <c r="F82" s="12">
        <f>IFERROR('Cash Flow Data'!F14,0)</f>
        <v>17</v>
      </c>
      <c r="G82" s="12">
        <f>IFERROR('Cash Flow Data'!G14,0)</f>
        <v>17</v>
      </c>
      <c r="H82" s="12">
        <f>IFERROR('Cash Flow Data'!H14,0)</f>
        <v>17</v>
      </c>
      <c r="I82" s="12">
        <f>IFERROR('Cash Flow Data'!I14,0)</f>
        <v>37</v>
      </c>
      <c r="J82" s="12">
        <f>IFERROR('Cash Flow Data'!J14,0)</f>
        <v>28</v>
      </c>
      <c r="K82" s="12">
        <f>IFERROR('Cash Flow Data'!K14,0)</f>
        <v>40</v>
      </c>
      <c r="L82" s="12">
        <f>IFERROR('Cash Flow Data'!L14,0)</f>
        <v>26</v>
      </c>
    </row>
    <row r="83" spans="2:12" x14ac:dyDescent="0.25">
      <c r="B83" t="s">
        <v>96</v>
      </c>
      <c r="C83" s="12">
        <f>IFERROR('Cash Flow Data'!C15,0)</f>
        <v>-872</v>
      </c>
      <c r="D83" s="12">
        <f>IFERROR('Cash Flow Data'!D15,0)</f>
        <v>-243</v>
      </c>
      <c r="E83" s="12">
        <f>IFERROR('Cash Flow Data'!E15,0)</f>
        <v>-282</v>
      </c>
      <c r="F83" s="12">
        <f>IFERROR('Cash Flow Data'!F15,0)</f>
        <v>-153</v>
      </c>
      <c r="G83" s="12">
        <f>IFERROR('Cash Flow Data'!G15,0)</f>
        <v>-320</v>
      </c>
      <c r="H83" s="12">
        <f>IFERROR('Cash Flow Data'!H15,0)</f>
        <v>-573</v>
      </c>
      <c r="I83" s="12">
        <f>IFERROR('Cash Flow Data'!I15,0)</f>
        <v>-25</v>
      </c>
      <c r="J83" s="12">
        <f>IFERROR('Cash Flow Data'!J15,0)</f>
        <v>-140</v>
      </c>
      <c r="K83" s="12">
        <f>IFERROR('Cash Flow Data'!K15,0)</f>
        <v>0</v>
      </c>
      <c r="L83" s="12">
        <f>IFERROR('Cash Flow Data'!L15,0)</f>
        <v>-146</v>
      </c>
    </row>
    <row r="84" spans="2:12" x14ac:dyDescent="0.25">
      <c r="B84" t="s">
        <v>97</v>
      </c>
      <c r="C84" s="12">
        <f>IFERROR('Cash Flow Data'!C16,0)</f>
        <v>463</v>
      </c>
      <c r="D84" s="12">
        <f>IFERROR('Cash Flow Data'!D16,0)</f>
        <v>278</v>
      </c>
      <c r="E84" s="12">
        <f>IFERROR('Cash Flow Data'!E16,0)</f>
        <v>205</v>
      </c>
      <c r="F84" s="12">
        <f>IFERROR('Cash Flow Data'!F16,0)</f>
        <v>357</v>
      </c>
      <c r="G84" s="12">
        <f>IFERROR('Cash Flow Data'!G16,0)</f>
        <v>362</v>
      </c>
      <c r="H84" s="12">
        <f>IFERROR('Cash Flow Data'!H16,0)</f>
        <v>733</v>
      </c>
      <c r="I84" s="12">
        <f>IFERROR('Cash Flow Data'!I16,0)</f>
        <v>134</v>
      </c>
      <c r="J84" s="12">
        <f>IFERROR('Cash Flow Data'!J16,0)</f>
        <v>272</v>
      </c>
      <c r="K84" s="12">
        <f>IFERROR('Cash Flow Data'!K16,0)</f>
        <v>207</v>
      </c>
      <c r="L84" s="12">
        <f>IFERROR('Cash Flow Data'!L16,0)</f>
        <v>446</v>
      </c>
    </row>
    <row r="85" spans="2:12" x14ac:dyDescent="0.25">
      <c r="B85" t="s">
        <v>98</v>
      </c>
      <c r="C85" s="12">
        <f>IFERROR('Cash Flow Data'!C17,0)</f>
        <v>14</v>
      </c>
      <c r="D85" s="12">
        <f>IFERROR('Cash Flow Data'!D17,0)</f>
        <v>11</v>
      </c>
      <c r="E85" s="12">
        <f>IFERROR('Cash Flow Data'!E17,0)</f>
        <v>15</v>
      </c>
      <c r="F85" s="12">
        <f>IFERROR('Cash Flow Data'!F17,0)</f>
        <v>32</v>
      </c>
      <c r="G85" s="12">
        <f>IFERROR('Cash Flow Data'!G17,0)</f>
        <v>39</v>
      </c>
      <c r="H85" s="12">
        <f>IFERROR('Cash Flow Data'!H17,0)</f>
        <v>40</v>
      </c>
      <c r="I85" s="12">
        <f>IFERROR('Cash Flow Data'!I17,0)</f>
        <v>65</v>
      </c>
      <c r="J85" s="12">
        <f>IFERROR('Cash Flow Data'!J17,0)</f>
        <v>73</v>
      </c>
      <c r="K85" s="12">
        <f>IFERROR('Cash Flow Data'!K17,0)</f>
        <v>77</v>
      </c>
      <c r="L85" s="12">
        <f>IFERROR('Cash Flow Data'!L17,0)</f>
        <v>87</v>
      </c>
    </row>
    <row r="86" spans="2:12" x14ac:dyDescent="0.25">
      <c r="B86" t="s">
        <v>99</v>
      </c>
      <c r="C86" s="12">
        <f>IFERROR('Cash Flow Data'!C18,0)</f>
        <v>65</v>
      </c>
      <c r="D86" s="12">
        <f>IFERROR('Cash Flow Data'!D18,0)</f>
        <v>71</v>
      </c>
      <c r="E86" s="12">
        <f>IFERROR('Cash Flow Data'!E18,0)</f>
        <v>69</v>
      </c>
      <c r="F86" s="12">
        <f>IFERROR('Cash Flow Data'!F18,0)</f>
        <v>74</v>
      </c>
      <c r="G86" s="12">
        <f>IFERROR('Cash Flow Data'!G18,0)</f>
        <v>38</v>
      </c>
      <c r="H86" s="12">
        <f>IFERROR('Cash Flow Data'!H18,0)</f>
        <v>40</v>
      </c>
      <c r="I86" s="12">
        <f>IFERROR('Cash Flow Data'!I18,0)</f>
        <v>27</v>
      </c>
      <c r="J86" s="12">
        <f>IFERROR('Cash Flow Data'!J18,0)</f>
        <v>8</v>
      </c>
      <c r="K86" s="12">
        <f>IFERROR('Cash Flow Data'!K18,0)</f>
        <v>15</v>
      </c>
      <c r="L86" s="12">
        <f>IFERROR('Cash Flow Data'!L18,0)</f>
        <v>56</v>
      </c>
    </row>
    <row r="87" spans="2:12" x14ac:dyDescent="0.25">
      <c r="B87" t="s">
        <v>100</v>
      </c>
      <c r="C87" s="12">
        <f>IFERROR('Cash Flow Data'!C19,0)</f>
        <v>0</v>
      </c>
      <c r="D87" s="12">
        <f>IFERROR('Cash Flow Data'!D19,0)</f>
        <v>0</v>
      </c>
      <c r="E87" s="12">
        <f>IFERROR('Cash Flow Data'!E19,0)</f>
        <v>0</v>
      </c>
      <c r="F87" s="12">
        <f>IFERROR('Cash Flow Data'!F19,0)</f>
        <v>0</v>
      </c>
      <c r="G87" s="12">
        <f>IFERROR('Cash Flow Data'!G19,0)</f>
        <v>0</v>
      </c>
      <c r="H87" s="12">
        <f>IFERROR('Cash Flow Data'!H19,0)</f>
        <v>0</v>
      </c>
      <c r="I87" s="12">
        <f>IFERROR('Cash Flow Data'!I19,0)</f>
        <v>0</v>
      </c>
      <c r="J87" s="12">
        <f>IFERROR('Cash Flow Data'!J19,0)</f>
        <v>0</v>
      </c>
      <c r="K87" s="12">
        <f>IFERROR('Cash Flow Data'!K19,0)</f>
        <v>0</v>
      </c>
      <c r="L87" s="12">
        <f>IFERROR('Cash Flow Data'!L19,0)</f>
        <v>-180</v>
      </c>
    </row>
    <row r="88" spans="2:12" x14ac:dyDescent="0.25">
      <c r="B88" t="s">
        <v>101</v>
      </c>
      <c r="C88" s="12">
        <f>IFERROR('Cash Flow Data'!C20,0)</f>
        <v>0</v>
      </c>
      <c r="D88" s="12">
        <f>IFERROR('Cash Flow Data'!D20,0)</f>
        <v>0</v>
      </c>
      <c r="E88" s="12">
        <f>IFERROR('Cash Flow Data'!E20,0)</f>
        <v>0</v>
      </c>
      <c r="F88" s="12">
        <f>IFERROR('Cash Flow Data'!F20,0)</f>
        <v>0</v>
      </c>
      <c r="G88" s="12">
        <f>IFERROR('Cash Flow Data'!G20,0)</f>
        <v>141</v>
      </c>
      <c r="H88" s="12">
        <f>IFERROR('Cash Flow Data'!H20,0)</f>
        <v>0</v>
      </c>
      <c r="I88" s="12">
        <f>IFERROR('Cash Flow Data'!I20,0)</f>
        <v>0</v>
      </c>
      <c r="J88" s="12">
        <f>IFERROR('Cash Flow Data'!J20,0)</f>
        <v>0</v>
      </c>
      <c r="K88" s="12">
        <f>IFERROR('Cash Flow Data'!K20,0)</f>
        <v>0</v>
      </c>
      <c r="L88" s="12">
        <f>IFERROR('Cash Flow Data'!L20,0)</f>
        <v>0</v>
      </c>
    </row>
    <row r="89" spans="2:12" x14ac:dyDescent="0.25">
      <c r="B89" t="s">
        <v>102</v>
      </c>
      <c r="C89" s="12">
        <f>IFERROR('Cash Flow Data'!C21,0)</f>
        <v>0</v>
      </c>
      <c r="D89" s="12">
        <f>IFERROR('Cash Flow Data'!D21,0)</f>
        <v>0</v>
      </c>
      <c r="E89" s="12">
        <f>IFERROR('Cash Flow Data'!E21,0)</f>
        <v>0</v>
      </c>
      <c r="F89" s="12">
        <f>IFERROR('Cash Flow Data'!F21,0)</f>
        <v>0</v>
      </c>
      <c r="G89" s="12">
        <f>IFERROR('Cash Flow Data'!G21,0)</f>
        <v>-525</v>
      </c>
      <c r="H89" s="12">
        <f>IFERROR('Cash Flow Data'!H21,0)</f>
        <v>0</v>
      </c>
      <c r="I89" s="12">
        <f>IFERROR('Cash Flow Data'!I21,0)</f>
        <v>0</v>
      </c>
      <c r="J89" s="12">
        <f>IFERROR('Cash Flow Data'!J21,0)</f>
        <v>0</v>
      </c>
      <c r="K89" s="12">
        <f>IFERROR('Cash Flow Data'!K21,0)</f>
        <v>0</v>
      </c>
      <c r="L89" s="12">
        <f>IFERROR('Cash Flow Data'!L21,0)</f>
        <v>0</v>
      </c>
    </row>
    <row r="90" spans="2:12" x14ac:dyDescent="0.25">
      <c r="B90" t="s">
        <v>103</v>
      </c>
      <c r="C90" s="12">
        <f>IFERROR('Cash Flow Data'!#REF!,0)</f>
        <v>0</v>
      </c>
      <c r="D90" s="12">
        <f>IFERROR('Cash Flow Data'!#REF!,0)</f>
        <v>0</v>
      </c>
      <c r="E90" s="12">
        <f>IFERROR('Cash Flow Data'!C22,0)</f>
        <v>-70</v>
      </c>
      <c r="F90" s="12">
        <f>IFERROR('Cash Flow Data'!D22,0)</f>
        <v>-324</v>
      </c>
      <c r="G90" s="12">
        <f>IFERROR('Cash Flow Data'!E22,0)</f>
        <v>118</v>
      </c>
      <c r="H90" s="12">
        <f>IFERROR('Cash Flow Data'!F22,0)</f>
        <v>-24</v>
      </c>
      <c r="I90" s="12">
        <f>IFERROR('Cash Flow Data'!G22,0)</f>
        <v>-353</v>
      </c>
      <c r="J90" s="12">
        <f>IFERROR('Cash Flow Data'!H22,0)</f>
        <v>-500</v>
      </c>
      <c r="K90" s="12">
        <f>IFERROR('Cash Flow Data'!I22,0)</f>
        <v>-105</v>
      </c>
      <c r="L90" s="12">
        <f>IFERROR('Cash Flow Data'!J22,0)</f>
        <v>-126</v>
      </c>
    </row>
    <row r="91" spans="2:12" x14ac:dyDescent="0.25">
      <c r="B91" t="s">
        <v>104</v>
      </c>
      <c r="C91" s="12">
        <f>IFERROR('Cash Flow Data'!#REF!,0)</f>
        <v>0</v>
      </c>
      <c r="D91" s="12">
        <f>IFERROR('Cash Flow Data'!#REF!,0)</f>
        <v>0</v>
      </c>
      <c r="E91" s="12">
        <f>IFERROR('Cash Flow Data'!#REF!,0)</f>
        <v>0</v>
      </c>
      <c r="F91" s="12">
        <f>IFERROR('Cash Flow Data'!#REF!,0)</f>
        <v>0</v>
      </c>
      <c r="G91" s="12">
        <f>IFERROR('Cash Flow Data'!#REF!,0)</f>
        <v>0</v>
      </c>
      <c r="H91" s="12">
        <f>IFERROR('Cash Flow Data'!#REF!,0)</f>
        <v>0</v>
      </c>
      <c r="I91" s="12">
        <f>IFERROR('Cash Flow Data'!#REF!,0)</f>
        <v>0</v>
      </c>
      <c r="J91" s="12">
        <f>IFERROR('Cash Flow Data'!#REF!,0)</f>
        <v>0</v>
      </c>
      <c r="K91" s="12">
        <f>IFERROR('Cash Flow Data'!#REF!,0)</f>
        <v>0</v>
      </c>
      <c r="L91" s="12">
        <f>IFERROR('Cash Flow Data'!#REF!,0)</f>
        <v>0</v>
      </c>
    </row>
    <row r="92" spans="2:12" x14ac:dyDescent="0.25">
      <c r="B92" s="48" t="s">
        <v>105</v>
      </c>
      <c r="C92" s="12">
        <f>IFERROR('Cash Flow Data'!#REF!,0)</f>
        <v>0</v>
      </c>
      <c r="D92" s="12">
        <f>IFERROR('Cash Flow Data'!#REF!,0)</f>
        <v>0</v>
      </c>
      <c r="E92" s="12">
        <f>IFERROR('Cash Flow Data'!#REF!,0)</f>
        <v>0</v>
      </c>
      <c r="F92" s="12">
        <f>IFERROR('Cash Flow Data'!#REF!,0)</f>
        <v>0</v>
      </c>
      <c r="G92" s="12">
        <f>IFERROR('Cash Flow Data'!#REF!,0)</f>
        <v>0</v>
      </c>
      <c r="H92" s="12">
        <f>IFERROR('Cash Flow Data'!#REF!,0)</f>
        <v>0</v>
      </c>
      <c r="I92" s="12">
        <f>IFERROR('Cash Flow Data'!#REF!,0)</f>
        <v>0</v>
      </c>
      <c r="J92" s="12">
        <f>IFERROR('Cash Flow Data'!#REF!,0)</f>
        <v>0</v>
      </c>
      <c r="K92" s="12">
        <f>IFERROR('Cash Flow Data'!#REF!,0)</f>
        <v>0</v>
      </c>
      <c r="L92" s="12">
        <f>IFERROR('Cash Flow Data'!#REF!,0)</f>
        <v>0</v>
      </c>
    </row>
    <row r="93" spans="2:12" x14ac:dyDescent="0.25">
      <c r="B93" s="24" t="s">
        <v>116</v>
      </c>
      <c r="C93" s="12">
        <f>SUM(C81:C92)</f>
        <v>-565</v>
      </c>
      <c r="D93" s="12">
        <f t="shared" ref="D93:L93" si="38">SUM(D81:D92)</f>
        <v>-321</v>
      </c>
      <c r="E93" s="12">
        <f t="shared" si="38"/>
        <v>-865</v>
      </c>
      <c r="F93" s="12">
        <f t="shared" si="38"/>
        <v>-681</v>
      </c>
      <c r="G93" s="12">
        <f t="shared" si="38"/>
        <v>-1556</v>
      </c>
      <c r="H93" s="12">
        <f t="shared" si="38"/>
        <v>-918</v>
      </c>
      <c r="I93" s="12">
        <f t="shared" si="38"/>
        <v>-519</v>
      </c>
      <c r="J93" s="12">
        <f t="shared" si="38"/>
        <v>-541</v>
      </c>
      <c r="K93" s="12">
        <f t="shared" si="38"/>
        <v>-317</v>
      </c>
      <c r="L93" s="12">
        <f t="shared" si="38"/>
        <v>-1283</v>
      </c>
    </row>
    <row r="95" spans="2:12" x14ac:dyDescent="0.25">
      <c r="B95" s="24" t="s">
        <v>115</v>
      </c>
    </row>
    <row r="96" spans="2:12" x14ac:dyDescent="0.25">
      <c r="B96" t="s">
        <v>105</v>
      </c>
      <c r="C96" s="12">
        <f>IFERROR('Cash Flow Data'!C24,0)</f>
        <v>44</v>
      </c>
      <c r="D96" s="12">
        <f>IFERROR('Cash Flow Data'!D24,0)</f>
        <v>239</v>
      </c>
      <c r="E96" s="12">
        <f>IFERROR('Cash Flow Data'!E24,0)</f>
        <v>8</v>
      </c>
      <c r="F96" s="12">
        <f>IFERROR('Cash Flow Data'!F24,0)</f>
        <v>271</v>
      </c>
      <c r="G96" s="12">
        <f>IFERROR('Cash Flow Data'!G24,0)</f>
        <v>10</v>
      </c>
      <c r="H96" s="12">
        <f>IFERROR('Cash Flow Data'!H24,0)</f>
        <v>243</v>
      </c>
      <c r="I96" s="12">
        <f>IFERROR('Cash Flow Data'!I24,0)</f>
        <v>18</v>
      </c>
      <c r="J96" s="12">
        <f>IFERROR('Cash Flow Data'!J24,0)</f>
        <v>155</v>
      </c>
      <c r="K96" s="12">
        <f>IFERROR('Cash Flow Data'!K24,0)</f>
        <v>418</v>
      </c>
      <c r="L96" s="12">
        <f>IFERROR('Cash Flow Data'!L24,0)</f>
        <v>254</v>
      </c>
    </row>
    <row r="97" spans="2:12" x14ac:dyDescent="0.25">
      <c r="B97" t="s">
        <v>106</v>
      </c>
      <c r="C97" s="12">
        <f>IFERROR('Cash Flow Data'!C25,0)</f>
        <v>-81</v>
      </c>
      <c r="D97" s="12">
        <f>IFERROR('Cash Flow Data'!D25,0)</f>
        <v>-86</v>
      </c>
      <c r="E97" s="12">
        <f>IFERROR('Cash Flow Data'!E25,0)</f>
        <v>-119</v>
      </c>
      <c r="F97" s="12">
        <f>IFERROR('Cash Flow Data'!F25,0)</f>
        <v>-58</v>
      </c>
      <c r="G97" s="12">
        <f>IFERROR('Cash Flow Data'!G25,0)</f>
        <v>-54</v>
      </c>
      <c r="H97" s="12">
        <f>IFERROR('Cash Flow Data'!H25,0)</f>
        <v>-26</v>
      </c>
      <c r="I97" s="12">
        <f>IFERROR('Cash Flow Data'!I25,0)</f>
        <v>-279</v>
      </c>
      <c r="J97" s="12">
        <f>IFERROR('Cash Flow Data'!J25,0)</f>
        <v>-14</v>
      </c>
      <c r="K97" s="12">
        <f>IFERROR('Cash Flow Data'!K25,0)</f>
        <v>-8</v>
      </c>
      <c r="L97" s="12">
        <f>IFERROR('Cash Flow Data'!L25,0)</f>
        <v>-25</v>
      </c>
    </row>
    <row r="98" spans="2:12" x14ac:dyDescent="0.25">
      <c r="B98" t="s">
        <v>107</v>
      </c>
      <c r="C98" s="12">
        <f>IFERROR('Cash Flow Data'!C26,0)</f>
        <v>-42</v>
      </c>
      <c r="D98" s="12">
        <f>IFERROR('Cash Flow Data'!D26,0)</f>
        <v>-35</v>
      </c>
      <c r="E98" s="12">
        <f>IFERROR('Cash Flow Data'!E26,0)</f>
        <v>-40</v>
      </c>
      <c r="F98" s="12">
        <f>IFERROR('Cash Flow Data'!F26,0)</f>
        <v>-36</v>
      </c>
      <c r="G98" s="12">
        <f>IFERROR('Cash Flow Data'!G26,0)</f>
        <v>-35</v>
      </c>
      <c r="H98" s="12">
        <f>IFERROR('Cash Flow Data'!H26,0)</f>
        <v>-106</v>
      </c>
      <c r="I98" s="12">
        <f>IFERROR('Cash Flow Data'!I26,0)</f>
        <v>-101</v>
      </c>
      <c r="J98" s="12">
        <f>IFERROR('Cash Flow Data'!J26,0)</f>
        <v>-89</v>
      </c>
      <c r="K98" s="12">
        <f>IFERROR('Cash Flow Data'!K26,0)</f>
        <v>-94</v>
      </c>
      <c r="L98" s="12">
        <f>IFERROR('Cash Flow Data'!L26,0)</f>
        <v>-142</v>
      </c>
    </row>
    <row r="99" spans="2:12" x14ac:dyDescent="0.25">
      <c r="B99" t="s">
        <v>108</v>
      </c>
      <c r="C99" s="12">
        <f>IFERROR('Cash Flow Data'!C27,0)</f>
        <v>-547</v>
      </c>
      <c r="D99" s="12">
        <f>IFERROR('Cash Flow Data'!D27,0)</f>
        <v>-695</v>
      </c>
      <c r="E99" s="12">
        <f>IFERROR('Cash Flow Data'!E27,0)</f>
        <v>-764</v>
      </c>
      <c r="F99" s="12">
        <f>IFERROR('Cash Flow Data'!F27,0)</f>
        <v>-947</v>
      </c>
      <c r="G99" s="12">
        <f>IFERROR('Cash Flow Data'!G27,0)</f>
        <v>-1218</v>
      </c>
      <c r="H99" s="12">
        <f>IFERROR('Cash Flow Data'!H27,0)</f>
        <v>-1049</v>
      </c>
      <c r="I99" s="12">
        <f>IFERROR('Cash Flow Data'!I27,0)</f>
        <v>-2121</v>
      </c>
      <c r="J99" s="12">
        <f>IFERROR('Cash Flow Data'!J27,0)</f>
        <v>-499</v>
      </c>
      <c r="K99" s="12">
        <f>IFERROR('Cash Flow Data'!K27,0)</f>
        <v>-1763</v>
      </c>
      <c r="L99" s="12">
        <f>IFERROR('Cash Flow Data'!L27,0)</f>
        <v>-1936</v>
      </c>
    </row>
    <row r="100" spans="2:12" x14ac:dyDescent="0.25">
      <c r="B100" t="s">
        <v>109</v>
      </c>
      <c r="C100" s="12">
        <f>IFERROR('Cash Flow Data'!C28,0)</f>
        <v>0</v>
      </c>
      <c r="D100" s="12">
        <f>IFERROR('Cash Flow Data'!D28,0)</f>
        <v>0</v>
      </c>
      <c r="E100" s="12">
        <f>IFERROR('Cash Flow Data'!E28,0)</f>
        <v>0</v>
      </c>
      <c r="F100" s="12">
        <f>IFERROR('Cash Flow Data'!F28,0)</f>
        <v>0</v>
      </c>
      <c r="G100" s="12">
        <f>IFERROR('Cash Flow Data'!G28,0)</f>
        <v>0</v>
      </c>
      <c r="H100" s="12">
        <f>IFERROR('Cash Flow Data'!H28,0)</f>
        <v>-180</v>
      </c>
      <c r="I100" s="12">
        <f>IFERROR('Cash Flow Data'!I28,0)</f>
        <v>-179</v>
      </c>
      <c r="J100" s="12">
        <f>IFERROR('Cash Flow Data'!J28,0)</f>
        <v>-203</v>
      </c>
      <c r="K100" s="12">
        <f>IFERROR('Cash Flow Data'!K28,0)</f>
        <v>-221</v>
      </c>
      <c r="L100" s="12">
        <f>IFERROR('Cash Flow Data'!L28,0)</f>
        <v>-256</v>
      </c>
    </row>
    <row r="101" spans="2:12" x14ac:dyDescent="0.25">
      <c r="B101" t="s">
        <v>110</v>
      </c>
      <c r="C101" s="12">
        <f>IFERROR('Cash Flow Data'!C29,0)</f>
        <v>0</v>
      </c>
      <c r="D101" s="12">
        <f>IFERROR('Cash Flow Data'!D29,0)</f>
        <v>0</v>
      </c>
      <c r="E101" s="12">
        <f>IFERROR('Cash Flow Data'!E29,0)</f>
        <v>66</v>
      </c>
      <c r="F101" s="12">
        <f>IFERROR('Cash Flow Data'!F29,0)</f>
        <v>13</v>
      </c>
      <c r="G101" s="12">
        <f>IFERROR('Cash Flow Data'!G29,0)</f>
        <v>-82</v>
      </c>
      <c r="H101" s="12">
        <f>IFERROR('Cash Flow Data'!H29,0)</f>
        <v>0</v>
      </c>
      <c r="I101" s="12">
        <f>IFERROR('Cash Flow Data'!I29,0)</f>
        <v>-209</v>
      </c>
      <c r="J101" s="12">
        <f>IFERROR('Cash Flow Data'!J29,0)</f>
        <v>0</v>
      </c>
      <c r="K101" s="12">
        <f>IFERROR('Cash Flow Data'!K29,0)</f>
        <v>-140</v>
      </c>
      <c r="L101" s="12">
        <f>IFERROR('Cash Flow Data'!L29,0)</f>
        <v>-36</v>
      </c>
    </row>
    <row r="102" spans="2:12" x14ac:dyDescent="0.25">
      <c r="B102" s="24" t="s">
        <v>114</v>
      </c>
      <c r="C102" s="12">
        <f t="shared" ref="C102:L102" si="39">SUM(C97:C101)</f>
        <v>-670</v>
      </c>
      <c r="D102" s="12">
        <f t="shared" si="39"/>
        <v>-816</v>
      </c>
      <c r="E102" s="12">
        <f t="shared" si="39"/>
        <v>-857</v>
      </c>
      <c r="F102" s="12">
        <f t="shared" si="39"/>
        <v>-1028</v>
      </c>
      <c r="G102" s="12">
        <f t="shared" si="39"/>
        <v>-1389</v>
      </c>
      <c r="H102" s="12">
        <f t="shared" si="39"/>
        <v>-1361</v>
      </c>
      <c r="I102" s="12">
        <f t="shared" si="39"/>
        <v>-2889</v>
      </c>
      <c r="J102" s="12">
        <f t="shared" si="39"/>
        <v>-805</v>
      </c>
      <c r="K102" s="12">
        <f t="shared" si="39"/>
        <v>-2226</v>
      </c>
      <c r="L102" s="12">
        <f t="shared" si="39"/>
        <v>-2395</v>
      </c>
    </row>
    <row r="104" spans="2:12" x14ac:dyDescent="0.25">
      <c r="B104" s="24" t="s">
        <v>118</v>
      </c>
      <c r="C104" s="12">
        <f t="shared" ref="C104:L104" si="40">IFERROR(C78+C93+C102,0)</f>
        <v>0</v>
      </c>
      <c r="D104" s="12">
        <f t="shared" si="40"/>
        <v>-399</v>
      </c>
      <c r="E104" s="12">
        <f t="shared" si="40"/>
        <v>720</v>
      </c>
      <c r="F104" s="12">
        <f t="shared" si="40"/>
        <v>-784</v>
      </c>
      <c r="G104" s="12">
        <f t="shared" si="40"/>
        <v>-912</v>
      </c>
      <c r="H104" s="12">
        <f t="shared" si="40"/>
        <v>-220</v>
      </c>
      <c r="I104" s="12">
        <f t="shared" si="40"/>
        <v>-702</v>
      </c>
      <c r="J104" s="12">
        <f t="shared" si="40"/>
        <v>2131</v>
      </c>
      <c r="K104" s="12">
        <f t="shared" si="40"/>
        <v>-4351</v>
      </c>
      <c r="L104" s="12">
        <f t="shared" si="40"/>
        <v>-256</v>
      </c>
    </row>
  </sheetData>
  <mergeCells count="1">
    <mergeCell ref="B2:M2"/>
  </mergeCells>
  <pageMargins left="0.7" right="0.7" top="0.75" bottom="0.75" header="0.3" footer="0.3"/>
  <pageSetup orientation="portrait" r:id="rId1"/>
  <ignoredErrors>
    <ignoredError sqref="M6 M9 F15:L15 M21 M24 M30 C15:E15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43"/>
  <sheetViews>
    <sheetView showGridLines="0" topLeftCell="A4" workbookViewId="0">
      <selection activeCell="E10" sqref="E10"/>
    </sheetView>
  </sheetViews>
  <sheetFormatPr defaultRowHeight="15" x14ac:dyDescent="0.25"/>
  <cols>
    <col min="1" max="1" width="1.85546875" customWidth="1"/>
    <col min="2" max="2" width="23.7109375" bestFit="1" customWidth="1"/>
    <col min="3" max="3" width="9.85546875" bestFit="1" customWidth="1"/>
  </cols>
  <sheetData>
    <row r="4" spans="2:12" x14ac:dyDescent="0.25">
      <c r="B4" s="234" t="str">
        <f>"Common Size Income Statement"&amp;" - "&amp;'Data Sheet'!$B$1</f>
        <v>Common Size Income Statement - ASIAN PAINTS LTD</v>
      </c>
      <c r="C4" s="234"/>
      <c r="D4" s="234"/>
      <c r="E4" s="234"/>
      <c r="F4" s="234"/>
      <c r="G4" s="234"/>
      <c r="H4" s="234"/>
      <c r="I4" s="234"/>
      <c r="J4" s="234"/>
      <c r="K4" s="234"/>
      <c r="L4" s="234"/>
    </row>
    <row r="6" spans="2:12" x14ac:dyDescent="0.25">
      <c r="B6" s="48" t="s">
        <v>156</v>
      </c>
      <c r="C6" s="62">
        <f>'Data Sheet'!B16</f>
        <v>41729</v>
      </c>
      <c r="D6" s="62">
        <f>'Data Sheet'!C16</f>
        <v>42094</v>
      </c>
      <c r="E6" s="62">
        <f>'Data Sheet'!D16</f>
        <v>42460</v>
      </c>
      <c r="F6" s="62">
        <f>'Data Sheet'!E16</f>
        <v>42825</v>
      </c>
      <c r="G6" s="62">
        <f>'Data Sheet'!F16</f>
        <v>43190</v>
      </c>
      <c r="H6" s="62">
        <f>'Data Sheet'!G16</f>
        <v>43555</v>
      </c>
      <c r="I6" s="62">
        <f>'Data Sheet'!H16</f>
        <v>43921</v>
      </c>
      <c r="J6" s="62">
        <f>'Data Sheet'!I16</f>
        <v>44286</v>
      </c>
      <c r="K6" s="62">
        <f>'Data Sheet'!J16</f>
        <v>44651</v>
      </c>
      <c r="L6" s="62">
        <f>'Data Sheet'!K16</f>
        <v>45016</v>
      </c>
    </row>
    <row r="8" spans="2:12" x14ac:dyDescent="0.25">
      <c r="B8" s="63" t="str">
        <f>'Data Sheet'!A17</f>
        <v>Sales</v>
      </c>
      <c r="C8" s="14">
        <f>'Data Sheet'!B17/'Data Sheet'!B$17</f>
        <v>1</v>
      </c>
      <c r="D8" s="14">
        <f>'Data Sheet'!C17/'Data Sheet'!C$17</f>
        <v>1</v>
      </c>
      <c r="E8" s="14">
        <f>'Data Sheet'!D17/'Data Sheet'!D$17</f>
        <v>1</v>
      </c>
      <c r="F8" s="14">
        <f>'Data Sheet'!E17/'Data Sheet'!E$17</f>
        <v>1</v>
      </c>
      <c r="G8" s="14">
        <f>'Data Sheet'!F17/'Data Sheet'!F$17</f>
        <v>1</v>
      </c>
      <c r="H8" s="14">
        <f>'Data Sheet'!G17/'Data Sheet'!G$17</f>
        <v>1</v>
      </c>
      <c r="I8" s="14">
        <f>'Data Sheet'!H17/'Data Sheet'!H$17</f>
        <v>1</v>
      </c>
      <c r="J8" s="14">
        <f>'Data Sheet'!I17/'Data Sheet'!I$17</f>
        <v>1</v>
      </c>
      <c r="K8" s="14">
        <f>'Data Sheet'!J17/'Data Sheet'!J$17</f>
        <v>1</v>
      </c>
      <c r="L8" s="14">
        <f>'Data Sheet'!K17/'Data Sheet'!K$17</f>
        <v>1</v>
      </c>
    </row>
    <row r="9" spans="2:12" x14ac:dyDescent="0.25">
      <c r="B9" s="63" t="str">
        <f>'Data Sheet'!A18</f>
        <v>Raw Material Cost</v>
      </c>
      <c r="C9" s="14">
        <f>'Data Sheet'!B18/'Data Sheet'!B$17</f>
        <v>0.51878543775679453</v>
      </c>
      <c r="D9" s="14">
        <f>'Data Sheet'!C18/'Data Sheet'!C$17</f>
        <v>0.50493563839397848</v>
      </c>
      <c r="E9" s="14">
        <f>'Data Sheet'!D18/'Data Sheet'!D$17</f>
        <v>0.46034646697716919</v>
      </c>
      <c r="F9" s="14">
        <f>'Data Sheet'!E18/'Data Sheet'!E$17</f>
        <v>0.4947951764673858</v>
      </c>
      <c r="G9" s="14">
        <f>'Data Sheet'!F18/'Data Sheet'!F$17</f>
        <v>0.48311366425847946</v>
      </c>
      <c r="H9" s="14">
        <f>'Data Sheet'!G18/'Data Sheet'!G$17</f>
        <v>0.51841645560606919</v>
      </c>
      <c r="I9" s="14">
        <f>'Data Sheet'!H18/'Data Sheet'!H$17</f>
        <v>0.4938828622673016</v>
      </c>
      <c r="J9" s="14">
        <f>'Data Sheet'!I18/'Data Sheet'!I$17</f>
        <v>0.48015708713619937</v>
      </c>
      <c r="K9" s="14">
        <f>'Data Sheet'!J18/'Data Sheet'!J$17</f>
        <v>0.58840195345359381</v>
      </c>
      <c r="L9" s="14">
        <f>'Data Sheet'!K18/'Data Sheet'!K$17</f>
        <v>0.55048727709657019</v>
      </c>
    </row>
    <row r="10" spans="2:12" x14ac:dyDescent="0.25">
      <c r="B10" s="63" t="str">
        <f>'Data Sheet'!A19</f>
        <v>Change in Inventory</v>
      </c>
      <c r="C10" s="14">
        <f>'Data Sheet'!B19/'Data Sheet'!B$17</f>
        <v>7.3876650215991824E-3</v>
      </c>
      <c r="D10" s="14">
        <f>'Data Sheet'!C19/'Data Sheet'!C$17</f>
        <v>1.0875297276732136E-2</v>
      </c>
      <c r="E10" s="14">
        <f>'Data Sheet'!D19/'Data Sheet'!D$17</f>
        <v>-1.3967006948818941E-2</v>
      </c>
      <c r="F10" s="14">
        <f>'Data Sheet'!E19/'Data Sheet'!E$17</f>
        <v>3.5094964211236368E-2</v>
      </c>
      <c r="G10" s="14">
        <f>'Data Sheet'!F19/'Data Sheet'!F$17</f>
        <v>-8.4477742346749252E-3</v>
      </c>
      <c r="H10" s="14">
        <f>'Data Sheet'!G19/'Data Sheet'!G$17</f>
        <v>1.5242100755036478E-2</v>
      </c>
      <c r="I10" s="14">
        <f>'Data Sheet'!H19/'Data Sheet'!H$17</f>
        <v>1.1832519017873709E-2</v>
      </c>
      <c r="J10" s="14">
        <f>'Data Sheet'!I19/'Data Sheet'!I$17</f>
        <v>4.2578590775298802E-3</v>
      </c>
      <c r="K10" s="14">
        <f>'Data Sheet'!J19/'Data Sheet'!J$17</f>
        <v>4.5529612443164016E-2</v>
      </c>
      <c r="L10" s="14">
        <f>'Data Sheet'!K19/'Data Sheet'!K$17</f>
        <v>8.9806512820616927E-3</v>
      </c>
    </row>
    <row r="11" spans="2:12" x14ac:dyDescent="0.25">
      <c r="B11" s="63" t="str">
        <f>'Data Sheet'!A20</f>
        <v>Power and Fuel</v>
      </c>
      <c r="C11" s="14">
        <f>'Data Sheet'!B20/'Data Sheet'!B$17</f>
        <v>1.0944022153175395E-2</v>
      </c>
      <c r="D11" s="14">
        <f>'Data Sheet'!C20/'Data Sheet'!C$17</f>
        <v>9.5980539482903738E-3</v>
      </c>
      <c r="E11" s="14">
        <f>'Data Sheet'!D20/'Data Sheet'!D$17</f>
        <v>8.021587094269764E-3</v>
      </c>
      <c r="F11" s="14">
        <f>'Data Sheet'!E20/'Data Sheet'!E$17</f>
        <v>7.0389105290867941E-3</v>
      </c>
      <c r="G11" s="14">
        <f>'Data Sheet'!F20/'Data Sheet'!F$17</f>
        <v>6.5558959972183504E-3</v>
      </c>
      <c r="H11" s="14">
        <f>'Data Sheet'!G20/'Data Sheet'!G$17</f>
        <v>6.2177334560629266E-3</v>
      </c>
      <c r="I11" s="14">
        <f>'Data Sheet'!H20/'Data Sheet'!H$17</f>
        <v>4.8383944585317588E-3</v>
      </c>
      <c r="J11" s="14">
        <f>'Data Sheet'!I20/'Data Sheet'!I$17</f>
        <v>3.9631019320870327E-3</v>
      </c>
      <c r="K11" s="14">
        <f>'Data Sheet'!J20/'Data Sheet'!J$17</f>
        <v>4.0283451449558234E-3</v>
      </c>
      <c r="L11" s="14">
        <f>'Data Sheet'!K20/'Data Sheet'!K$17</f>
        <v>4.0097319142359837E-3</v>
      </c>
    </row>
    <row r="12" spans="2:12" x14ac:dyDescent="0.25">
      <c r="B12" s="63" t="str">
        <f>'Data Sheet'!A21</f>
        <v>Other Mfr. Exp</v>
      </c>
      <c r="C12" s="14">
        <f>'Data Sheet'!B21/'Data Sheet'!B$17</f>
        <v>0.10573984257432467</v>
      </c>
      <c r="D12" s="14">
        <f>'Data Sheet'!C21/'Data Sheet'!C$17</f>
        <v>0.11049880795519146</v>
      </c>
      <c r="E12" s="14">
        <f>'Data Sheet'!D21/'Data Sheet'!D$17</f>
        <v>0.10757250994815538</v>
      </c>
      <c r="F12" s="14">
        <f>'Data Sheet'!E21/'Data Sheet'!E$17</f>
        <v>0.11039377930804628</v>
      </c>
      <c r="G12" s="14">
        <f>'Data Sheet'!F21/'Data Sheet'!F$17</f>
        <v>0.10054830589822611</v>
      </c>
      <c r="H12" s="14">
        <f>'Data Sheet'!G21/'Data Sheet'!G$17</f>
        <v>9.679508402490003E-2</v>
      </c>
      <c r="I12" s="14">
        <f>'Data Sheet'!H21/'Data Sheet'!H$17</f>
        <v>9.6288947986888487E-2</v>
      </c>
      <c r="J12" s="14">
        <f>'Data Sheet'!I21/'Data Sheet'!I$17</f>
        <v>9.5257679920452407E-2</v>
      </c>
      <c r="K12" s="14">
        <f>'Data Sheet'!J21/'Data Sheet'!J$17</f>
        <v>9.8980182315004703E-2</v>
      </c>
      <c r="L12" s="14">
        <f>'Data Sheet'!K21/'Data Sheet'!K$17</f>
        <v>8.455550081925646E-2</v>
      </c>
    </row>
    <row r="13" spans="2:12" x14ac:dyDescent="0.25">
      <c r="B13" s="63" t="str">
        <f>'Data Sheet'!A22</f>
        <v>Employee Cost</v>
      </c>
      <c r="C13" s="14">
        <f>'Data Sheet'!B22/'Data Sheet'!B$17</f>
        <v>6.2485014774511738E-2</v>
      </c>
      <c r="D13" s="14">
        <f>'Data Sheet'!C22/'Data Sheet'!C$17</f>
        <v>6.8809556336052347E-2</v>
      </c>
      <c r="E13" s="14">
        <f>'Data Sheet'!D22/'Data Sheet'!D$17</f>
        <v>6.9718018230752368E-2</v>
      </c>
      <c r="F13" s="14">
        <f>'Data Sheet'!E22/'Data Sheet'!E$17</f>
        <v>6.9040677891832367E-2</v>
      </c>
      <c r="G13" s="14">
        <f>'Data Sheet'!F22/'Data Sheet'!F$17</f>
        <v>6.6681724028280112E-2</v>
      </c>
      <c r="H13" s="14">
        <f>'Data Sheet'!G22/'Data Sheet'!G$17</f>
        <v>6.4588440930492666E-2</v>
      </c>
      <c r="I13" s="14">
        <f>'Data Sheet'!H22/'Data Sheet'!H$17</f>
        <v>6.7846867462428101E-2</v>
      </c>
      <c r="J13" s="14">
        <f>'Data Sheet'!I22/'Data Sheet'!I$17</f>
        <v>7.1276422790438249E-2</v>
      </c>
      <c r="K13" s="14">
        <f>'Data Sheet'!J22/'Data Sheet'!J$17</f>
        <v>6.1667734202756716E-2</v>
      </c>
      <c r="L13" s="14">
        <f>'Data Sheet'!K22/'Data Sheet'!K$17</f>
        <v>5.9045904747048232E-2</v>
      </c>
    </row>
    <row r="14" spans="2:12" x14ac:dyDescent="0.25">
      <c r="B14" s="63" t="str">
        <f>'Data Sheet'!A23</f>
        <v>Selling and admin</v>
      </c>
      <c r="C14" s="14">
        <f>'Data Sheet'!B23/'Data Sheet'!B$17</f>
        <v>0.23128841434424652</v>
      </c>
      <c r="D14" s="14">
        <f>'Data Sheet'!C23/'Data Sheet'!C$17</f>
        <v>0.24616937171967335</v>
      </c>
      <c r="E14" s="14">
        <f>'Data Sheet'!D23/'Data Sheet'!D$17</f>
        <v>0.27413395517917194</v>
      </c>
      <c r="F14" s="14">
        <f>'Data Sheet'!E23/'Data Sheet'!E$17</f>
        <v>0.28973860691714709</v>
      </c>
      <c r="G14" s="14">
        <f>'Data Sheet'!F23/'Data Sheet'!F$17</f>
        <v>0.13402557572119314</v>
      </c>
      <c r="H14" s="14">
        <f>'Data Sheet'!G23/'Data Sheet'!G$17</f>
        <v>0.12301736006981241</v>
      </c>
      <c r="I14" s="14">
        <f>'Data Sheet'!H23/'Data Sheet'!H$17</f>
        <v>0.11436749335147506</v>
      </c>
      <c r="J14" s="14">
        <f>'Data Sheet'!I23/'Data Sheet'!I$17</f>
        <v>0.10342705842961683</v>
      </c>
      <c r="K14" s="14">
        <f>'Data Sheet'!J23/'Data Sheet'!J$17</f>
        <v>0.10109452230279906</v>
      </c>
      <c r="L14" s="14">
        <f>'Data Sheet'!K23/'Data Sheet'!K$17</f>
        <v>0.10150719411840266</v>
      </c>
    </row>
    <row r="15" spans="2:12" x14ac:dyDescent="0.25">
      <c r="B15" s="63" t="str">
        <f>'Data Sheet'!A24</f>
        <v>Other Expenses</v>
      </c>
      <c r="C15" s="14">
        <f>'Data Sheet'!B24/'Data Sheet'!B$17</f>
        <v>-8.5815732256879287E-2</v>
      </c>
      <c r="D15" s="14">
        <f>'Data Sheet'!C24/'Data Sheet'!C$17</f>
        <v>-9.3869672705478996E-2</v>
      </c>
      <c r="E15" s="14">
        <f>'Data Sheet'!D24/'Data Sheet'!D$17</f>
        <v>-0.12470246624564078</v>
      </c>
      <c r="F15" s="14">
        <f>'Data Sheet'!E24/'Data Sheet'!E$17</f>
        <v>-0.13467476741121193</v>
      </c>
      <c r="G15" s="14">
        <f>'Data Sheet'!F24/'Data Sheet'!F$17</f>
        <v>1.0190465718251008E-2</v>
      </c>
      <c r="H15" s="14">
        <f>'Data Sheet'!G24/'Data Sheet'!G$17</f>
        <v>1.0525396657922789E-2</v>
      </c>
      <c r="I15" s="14">
        <f>'Data Sheet'!H24/'Data Sheet'!H$17</f>
        <v>2.8939328344362667E-2</v>
      </c>
      <c r="J15" s="14">
        <f>'Data Sheet'!I24/'Data Sheet'!I$17</f>
        <v>2.6547947085565692E-2</v>
      </c>
      <c r="K15" s="14">
        <f>'Data Sheet'!J24/'Data Sheet'!J$17</f>
        <v>2.6291627034962038E-2</v>
      </c>
      <c r="L15" s="14">
        <f>'Data Sheet'!K24/'Data Sheet'!K$17</f>
        <v>2.7870376840572496E-2</v>
      </c>
    </row>
    <row r="16" spans="2:12" x14ac:dyDescent="0.25">
      <c r="B16" s="63" t="str">
        <f>'Data Sheet'!A25</f>
        <v>Other Income</v>
      </c>
      <c r="C16" s="14">
        <f>'Data Sheet'!B25/'Data Sheet'!B$17</f>
        <v>1.0168268227557758E-2</v>
      </c>
      <c r="D16" s="14">
        <f>'Data Sheet'!C25/'Data Sheet'!C$17</f>
        <v>1.0439756567263496E-2</v>
      </c>
      <c r="E16" s="14">
        <f>'Data Sheet'!D25/'Data Sheet'!D$17</f>
        <v>1.4952187893485543E-2</v>
      </c>
      <c r="F16" s="14">
        <f>'Data Sheet'!E25/'Data Sheet'!E$17</f>
        <v>2.2433954610247383E-2</v>
      </c>
      <c r="G16" s="14">
        <f>'Data Sheet'!F25/'Data Sheet'!F$17</f>
        <v>1.9995185606747286E-2</v>
      </c>
      <c r="H16" s="14">
        <f>'Data Sheet'!G25/'Data Sheet'!G$17</f>
        <v>1.422911383654892E-2</v>
      </c>
      <c r="I16" s="14">
        <f>'Data Sheet'!H25/'Data Sheet'!H$17</f>
        <v>1.7566949100129878E-2</v>
      </c>
      <c r="J16" s="14">
        <f>'Data Sheet'!I25/'Data Sheet'!I$17</f>
        <v>1.5274407388456295E-2</v>
      </c>
      <c r="K16" s="14">
        <f>'Data Sheet'!J25/'Data Sheet'!J$17</f>
        <v>1.0167250375241226E-2</v>
      </c>
      <c r="L16" s="14">
        <f>'Data Sheet'!K25/'Data Sheet'!K$17</f>
        <v>1.2510224395952401E-2</v>
      </c>
    </row>
    <row r="17" spans="2:12" x14ac:dyDescent="0.25">
      <c r="B17" s="63" t="str">
        <f>'Data Sheet'!A26</f>
        <v>Depreciation</v>
      </c>
      <c r="C17" s="14">
        <f>'Data Sheet'!B26/'Data Sheet'!B$17</f>
        <v>2.0102500988104288E-2</v>
      </c>
      <c r="D17" s="14">
        <f>'Data Sheet'!C26/'Data Sheet'!C$17</f>
        <v>1.953102621617215E-2</v>
      </c>
      <c r="E17" s="14">
        <f>'Data Sheet'!D26/'Data Sheet'!D$17</f>
        <v>1.9309826794539322E-2</v>
      </c>
      <c r="F17" s="14">
        <f>'Data Sheet'!E26/'Data Sheet'!E$17</f>
        <v>2.2227474590011016E-2</v>
      </c>
      <c r="G17" s="14">
        <f>'Data Sheet'!F26/'Data Sheet'!F$17</f>
        <v>2.1425238713665449E-2</v>
      </c>
      <c r="H17" s="14">
        <f>'Data Sheet'!G26/'Data Sheet'!G$17</f>
        <v>3.2335540352378074E-2</v>
      </c>
      <c r="I17" s="14">
        <f>'Data Sheet'!H26/'Data Sheet'!H$17</f>
        <v>3.8617106809326486E-2</v>
      </c>
      <c r="J17" s="14">
        <f>'Data Sheet'!I26/'Data Sheet'!I$17</f>
        <v>3.6442576011650275E-2</v>
      </c>
      <c r="K17" s="14">
        <f>'Data Sheet'!J26/'Data Sheet'!J$17</f>
        <v>2.8052374328551871E-2</v>
      </c>
      <c r="L17" s="14">
        <f>'Data Sheet'!K26/'Data Sheet'!K$17</f>
        <v>2.4878372818372688E-2</v>
      </c>
    </row>
    <row r="18" spans="2:12" x14ac:dyDescent="0.25">
      <c r="B18" s="63" t="str">
        <f>'Data Sheet'!A27</f>
        <v>Interest</v>
      </c>
      <c r="C18" s="14">
        <f>'Data Sheet'!B27/'Data Sheet'!B$17</f>
        <v>3.9270496719821081E-3</v>
      </c>
      <c r="D18" s="14">
        <f>'Data Sheet'!C27/'Data Sheet'!C$17</f>
        <v>3.1024012762150706E-3</v>
      </c>
      <c r="E18" s="14">
        <f>'Data Sheet'!D27/'Data Sheet'!D$17</f>
        <v>3.4334186549547386E-3</v>
      </c>
      <c r="F18" s="14">
        <f>'Data Sheet'!E27/'Data Sheet'!E$17</f>
        <v>2.4784241657310885E-3</v>
      </c>
      <c r="G18" s="14">
        <f>'Data Sheet'!F27/'Data Sheet'!F$17</f>
        <v>2.4648504714836358E-3</v>
      </c>
      <c r="H18" s="14">
        <f>'Data Sheet'!G27/'Data Sheet'!G$17</f>
        <v>5.7416451967840128E-3</v>
      </c>
      <c r="I18" s="14">
        <f>'Data Sheet'!H27/'Data Sheet'!H$17</f>
        <v>5.0630218319005502E-3</v>
      </c>
      <c r="J18" s="14">
        <f>'Data Sheet'!I27/'Data Sheet'!I$17</f>
        <v>4.2200933182700148E-3</v>
      </c>
      <c r="K18" s="14">
        <f>'Data Sheet'!J27/'Data Sheet'!J$17</f>
        <v>3.2785499469439143E-3</v>
      </c>
      <c r="L18" s="14">
        <f>'Data Sheet'!K27/'Data Sheet'!K$17</f>
        <v>4.1883417095335005E-3</v>
      </c>
    </row>
    <row r="19" spans="2:12" x14ac:dyDescent="0.25">
      <c r="B19" s="63" t="str">
        <f>'Data Sheet'!A28</f>
        <v>Profit before tax</v>
      </c>
      <c r="C19" s="14">
        <f>'Data Sheet'!B28/'Data Sheet'!B$17</f>
        <v>0.1500993832428969</v>
      </c>
      <c r="D19" s="14">
        <f>'Data Sheet'!C28/'Data Sheet'!C$17</f>
        <v>0.15253987070390135</v>
      </c>
      <c r="E19" s="14">
        <f>'Data Sheet'!D28/'Data Sheet'!D$17</f>
        <v>0.18315186431129477</v>
      </c>
      <c r="F19" s="14">
        <f>'Data Sheet'!E28/'Data Sheet'!E$17</f>
        <v>0.19649063636345529</v>
      </c>
      <c r="G19" s="14">
        <f>'Data Sheet'!F28/'Data Sheet'!F$17</f>
        <v>0.18654169056527517</v>
      </c>
      <c r="H19" s="14">
        <f>'Data Sheet'!G28/'Data Sheet'!G$17</f>
        <v>0.17183355829716326</v>
      </c>
      <c r="I19" s="14">
        <f>'Data Sheet'!H28/'Data Sheet'!H$17</f>
        <v>0.17955544560578884</v>
      </c>
      <c r="J19" s="14">
        <f>'Data Sheet'!I28/'Data Sheet'!I$17</f>
        <v>0.19824029984170621</v>
      </c>
      <c r="K19" s="14">
        <f>'Data Sheet'!J28/'Data Sheet'!J$17</f>
        <v>0.14390157408883733</v>
      </c>
      <c r="L19" s="14">
        <f>'Data Sheet'!K28/'Data Sheet'!K$17</f>
        <v>0.16494817561402192</v>
      </c>
    </row>
    <row r="20" spans="2:12" x14ac:dyDescent="0.25">
      <c r="B20" s="63" t="str">
        <f>'Data Sheet'!A29</f>
        <v>Tax</v>
      </c>
      <c r="C20" s="14">
        <f>'Data Sheet'!B29/'Data Sheet'!B$17</f>
        <v>4.676699641663877E-2</v>
      </c>
      <c r="D20" s="14">
        <f>'Data Sheet'!C29/'Data Sheet'!C$17</f>
        <v>4.7706764321797747E-2</v>
      </c>
      <c r="E20" s="14">
        <f>'Data Sheet'!D29/'Data Sheet'!D$17</f>
        <v>5.9173218773933209E-2</v>
      </c>
      <c r="F20" s="14">
        <f>'Data Sheet'!E29/'Data Sheet'!E$17</f>
        <v>6.2627182729506528E-2</v>
      </c>
      <c r="G20" s="14">
        <f>'Data Sheet'!F29/'Data Sheet'!F$17</f>
        <v>6.1871491362324706E-2</v>
      </c>
      <c r="H20" s="14">
        <f>'Data Sheet'!G29/'Data Sheet'!G$17</f>
        <v>5.7071339954563712E-2</v>
      </c>
      <c r="I20" s="14">
        <f>'Data Sheet'!H29/'Data Sheet'!H$17</f>
        <v>4.2295751128703075E-2</v>
      </c>
      <c r="J20" s="14">
        <f>'Data Sheet'!I29/'Data Sheet'!I$17</f>
        <v>5.05508504434483E-2</v>
      </c>
      <c r="K20" s="14">
        <f>'Data Sheet'!J29/'Data Sheet'!J$17</f>
        <v>3.7899020249281136E-2</v>
      </c>
      <c r="L20" s="14">
        <f>'Data Sheet'!K29/'Data Sheet'!K$17</f>
        <v>4.3304176830656176E-2</v>
      </c>
    </row>
    <row r="21" spans="2:12" x14ac:dyDescent="0.25">
      <c r="B21" s="63" t="str">
        <f>'Data Sheet'!A30</f>
        <v>Net profit</v>
      </c>
      <c r="C21" s="14">
        <f>'Data Sheet'!B30/'Data Sheet'!B$17</f>
        <v>9.9735932709075076E-2</v>
      </c>
      <c r="D21" s="14">
        <f>'Data Sheet'!C30/'Data Sheet'!C$17</f>
        <v>0.10246958192498712</v>
      </c>
      <c r="E21" s="14">
        <f>'Data Sheet'!D30/'Data Sheet'!D$17</f>
        <v>0.12228295714042473</v>
      </c>
      <c r="F21" s="14">
        <f>'Data Sheet'!E30/'Data Sheet'!E$17</f>
        <v>0.12876319795724203</v>
      </c>
      <c r="G21" s="14">
        <f>'Data Sheet'!F30/'Data Sheet'!F$17</f>
        <v>0.12118778808348515</v>
      </c>
      <c r="H21" s="14">
        <f>'Data Sheet'!G30/'Data Sheet'!G$17</f>
        <v>0.11205329693718286</v>
      </c>
      <c r="I21" s="14">
        <f>'Data Sheet'!H30/'Data Sheet'!H$17</f>
        <v>0.13384476467313997</v>
      </c>
      <c r="J21" s="14">
        <f>'Data Sheet'!I30/'Data Sheet'!I$17</f>
        <v>0.14458252486207437</v>
      </c>
      <c r="K21" s="14">
        <f>'Data Sheet'!J30/'Data Sheet'!J$17</f>
        <v>0.10413871829692715</v>
      </c>
      <c r="L21" s="14">
        <f>'Data Sheet'!K30/'Data Sheet'!K$17</f>
        <v>0.11906691459407301</v>
      </c>
    </row>
    <row r="22" spans="2:12" x14ac:dyDescent="0.25">
      <c r="B22" s="63" t="str">
        <f>'Data Sheet'!A31</f>
        <v>Dividend Amount</v>
      </c>
      <c r="C22" s="14">
        <f>'Data Sheet'!B31/'Data Sheet'!B$17</f>
        <v>4.1601031719988836E-2</v>
      </c>
      <c r="D22" s="14">
        <f>'Data Sheet'!C31/'Data Sheet'!C$17</f>
        <v>4.2974574117571017E-2</v>
      </c>
      <c r="E22" s="14">
        <f>'Data Sheet'!D31/'Data Sheet'!D$17</f>
        <v>5.0408191436213036E-2</v>
      </c>
      <c r="F22" s="14">
        <f>'Data Sheet'!E31/'Data Sheet'!E$17</f>
        <v>6.559425414570054E-2</v>
      </c>
      <c r="G22" s="14">
        <f>'Data Sheet'!F31/'Data Sheet'!F$17</f>
        <v>4.9600137893732674E-2</v>
      </c>
      <c r="H22" s="14">
        <f>'Data Sheet'!G31/'Data Sheet'!G$17</f>
        <v>5.2346839652330827E-2</v>
      </c>
      <c r="I22" s="14">
        <f>'Data Sheet'!H31/'Data Sheet'!H$17</f>
        <v>5.6950460758241075E-2</v>
      </c>
      <c r="J22" s="14">
        <f>'Data Sheet'!I31/'Data Sheet'!I$17</f>
        <v>7.8855365892637475E-2</v>
      </c>
      <c r="K22" s="14">
        <f>'Data Sheet'!J31/'Data Sheet'!J$17</f>
        <v>6.3119904004222488E-2</v>
      </c>
      <c r="L22" s="14">
        <f>'Data Sheet'!K31/'Data Sheet'!K$17</f>
        <v>7.1338086016273797E-2</v>
      </c>
    </row>
    <row r="23" spans="2:12" x14ac:dyDescent="0.25">
      <c r="B23" s="63" t="str">
        <f>'Data Sheet'!A34</f>
        <v>EBITDA</v>
      </c>
      <c r="C23" s="14">
        <f>'Data Sheet'!B34/'Data Sheet'!B$17</f>
        <v>0.17053247978580025</v>
      </c>
      <c r="D23" s="14">
        <f>'Data Sheet'!C34/'Data Sheet'!C$17</f>
        <v>0.17280977373917211</v>
      </c>
      <c r="E23" s="14">
        <f>'Data Sheet'!D34/'Data Sheet'!D$17</f>
        <v>0.204199421363852</v>
      </c>
      <c r="F23" s="14">
        <f>'Data Sheet'!E34/'Data Sheet'!E$17</f>
        <v>0.21609627944249069</v>
      </c>
      <c r="G23" s="14">
        <f>'Data Sheet'!F34/'Data Sheet'!F$17</f>
        <v>0.20694936863095892</v>
      </c>
      <c r="H23" s="14">
        <f>'Data Sheet'!G34/'Data Sheet'!G$17</f>
        <v>0.20720182244090865</v>
      </c>
      <c r="I23" s="14">
        <f>'Data Sheet'!H34/'Data Sheet'!H$17</f>
        <v>0.21982064444307009</v>
      </c>
      <c r="J23" s="14">
        <f>'Data Sheet'!I34/'Data Sheet'!I$17</f>
        <v>0.23579604463544296</v>
      </c>
      <c r="K23" s="14">
        <f>'Data Sheet'!J34/'Data Sheet'!J$17</f>
        <v>0.17336866282170407</v>
      </c>
      <c r="L23" s="14">
        <f>'Data Sheet'!K34/'Data Sheet'!K$17</f>
        <v>0.19143780595263538</v>
      </c>
    </row>
    <row r="26" spans="2:12" x14ac:dyDescent="0.25">
      <c r="B26" s="234" t="str">
        <f>"Common Size Balance sheet"&amp;" - "&amp;'Data Sheet'!$B$1</f>
        <v>Common Size Balance sheet - ASIAN PAINTS LTD</v>
      </c>
      <c r="C26" s="234"/>
      <c r="D26" s="234"/>
      <c r="E26" s="234"/>
      <c r="F26" s="234"/>
      <c r="G26" s="234"/>
      <c r="H26" s="234"/>
      <c r="I26" s="234"/>
      <c r="J26" s="234"/>
      <c r="K26" s="234"/>
      <c r="L26" s="234"/>
    </row>
    <row r="27" spans="2:12" x14ac:dyDescent="0.25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</row>
    <row r="28" spans="2:12" s="68" customFormat="1" x14ac:dyDescent="0.25">
      <c r="B28" s="69" t="s">
        <v>156</v>
      </c>
      <c r="C28" s="70">
        <f>C6</f>
        <v>41729</v>
      </c>
      <c r="D28" s="70">
        <f t="shared" ref="D28:L28" si="0">D6</f>
        <v>42094</v>
      </c>
      <c r="E28" s="70">
        <f t="shared" si="0"/>
        <v>42460</v>
      </c>
      <c r="F28" s="70">
        <f t="shared" si="0"/>
        <v>42825</v>
      </c>
      <c r="G28" s="70">
        <f t="shared" si="0"/>
        <v>43190</v>
      </c>
      <c r="H28" s="70">
        <f t="shared" si="0"/>
        <v>43555</v>
      </c>
      <c r="I28" s="70">
        <f t="shared" si="0"/>
        <v>43921</v>
      </c>
      <c r="J28" s="70">
        <f t="shared" si="0"/>
        <v>44286</v>
      </c>
      <c r="K28" s="70">
        <f t="shared" si="0"/>
        <v>44651</v>
      </c>
      <c r="L28" s="70">
        <f t="shared" si="0"/>
        <v>45016</v>
      </c>
    </row>
    <row r="29" spans="2:12" x14ac:dyDescent="0.25"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</row>
    <row r="30" spans="2:12" s="66" customFormat="1" x14ac:dyDescent="0.25">
      <c r="B30" s="67" t="s">
        <v>157</v>
      </c>
      <c r="C30" s="71">
        <f>'Data Sheet'!B61/'Data Sheet'!B$61</f>
        <v>1</v>
      </c>
      <c r="D30" s="71">
        <f>'Data Sheet'!C61/'Data Sheet'!C$61</f>
        <v>1</v>
      </c>
      <c r="E30" s="71">
        <f>'Data Sheet'!D61/'Data Sheet'!D$61</f>
        <v>1</v>
      </c>
      <c r="F30" s="71">
        <f>'Data Sheet'!E61/'Data Sheet'!E$61</f>
        <v>1</v>
      </c>
      <c r="G30" s="71">
        <f>'Data Sheet'!F61/'Data Sheet'!F$61</f>
        <v>1</v>
      </c>
      <c r="H30" s="71">
        <f>'Data Sheet'!G61/'Data Sheet'!G$61</f>
        <v>1</v>
      </c>
      <c r="I30" s="71">
        <f>'Data Sheet'!H61/'Data Sheet'!H$61</f>
        <v>1</v>
      </c>
      <c r="J30" s="71">
        <f>'Data Sheet'!I61/'Data Sheet'!I$61</f>
        <v>1</v>
      </c>
      <c r="K30" s="71">
        <f>'Data Sheet'!J61/'Data Sheet'!J$61</f>
        <v>1</v>
      </c>
      <c r="L30" s="71">
        <f>'Data Sheet'!K61/'Data Sheet'!K$61</f>
        <v>1</v>
      </c>
    </row>
    <row r="31" spans="2:12" x14ac:dyDescent="0.25">
      <c r="B31" s="63" t="str">
        <f>'Data Sheet'!A57</f>
        <v>Equity Share Capital</v>
      </c>
      <c r="C31" s="14">
        <f>'Data Sheet'!B57/'Data Sheet'!B$61</f>
        <v>1.1878049384550612E-2</v>
      </c>
      <c r="D31" s="14">
        <f>'Data Sheet'!C57/'Data Sheet'!C$61</f>
        <v>1.0759997756464188E-2</v>
      </c>
      <c r="E31" s="14">
        <f>'Data Sheet'!D57/'Data Sheet'!D$61</f>
        <v>9.0841677691984955E-3</v>
      </c>
      <c r="F31" s="14">
        <f>'Data Sheet'!E57/'Data Sheet'!E$61</f>
        <v>7.732247551226543E-3</v>
      </c>
      <c r="G31" s="14">
        <f>'Data Sheet'!F57/'Data Sheet'!F$61</f>
        <v>6.969167681429406E-3</v>
      </c>
      <c r="H31" s="14">
        <f>'Data Sheet'!G57/'Data Sheet'!G$61</f>
        <v>5.9031906277617358E-3</v>
      </c>
      <c r="I31" s="14">
        <f>'Data Sheet'!H57/'Data Sheet'!H$61</f>
        <v>5.9437463324073601E-3</v>
      </c>
      <c r="J31" s="14">
        <f>'Data Sheet'!I57/'Data Sheet'!I$61</f>
        <v>4.712276974985434E-3</v>
      </c>
      <c r="K31" s="14">
        <f>'Data Sheet'!J57/'Data Sheet'!J$61</f>
        <v>4.1779860382439044E-3</v>
      </c>
      <c r="L31" s="14">
        <f>'Data Sheet'!K57/'Data Sheet'!K$61</f>
        <v>3.7208104322338864E-3</v>
      </c>
    </row>
    <row r="32" spans="2:12" x14ac:dyDescent="0.25">
      <c r="B32" s="63" t="str">
        <f>'Data Sheet'!A58</f>
        <v>Reserves</v>
      </c>
      <c r="C32" s="14">
        <f>'Data Sheet'!B58/'Data Sheet'!B$61</f>
        <v>0.48831017658567999</v>
      </c>
      <c r="D32" s="14">
        <f>'Data Sheet'!C58/'Data Sheet'!C$61</f>
        <v>0.52122272701777994</v>
      </c>
      <c r="E32" s="14">
        <f>'Data Sheet'!D58/'Data Sheet'!D$61</f>
        <v>0.60885327534820899</v>
      </c>
      <c r="F32" s="14">
        <f>'Data Sheet'!E58/'Data Sheet'!E$61</f>
        <v>0.60522813435344402</v>
      </c>
      <c r="G32" s="14">
        <f>'Data Sheet'!F58/'Data Sheet'!F$61</f>
        <v>0.60408486807115636</v>
      </c>
      <c r="H32" s="14">
        <f>'Data Sheet'!G58/'Data Sheet'!G$61</f>
        <v>0.57694149243884485</v>
      </c>
      <c r="I32" s="14">
        <f>'Data Sheet'!H58/'Data Sheet'!H$61</f>
        <v>0.62177832775745645</v>
      </c>
      <c r="J32" s="14">
        <f>'Data Sheet'!I58/'Data Sheet'!I$61</f>
        <v>0.62442435252862394</v>
      </c>
      <c r="K32" s="14">
        <f>'Data Sheet'!J58/'Data Sheet'!J$61</f>
        <v>0.59741193104232293</v>
      </c>
      <c r="L32" s="14">
        <f>'Data Sheet'!K58/'Data Sheet'!K$61</f>
        <v>0.61663006757739625</v>
      </c>
    </row>
    <row r="33" spans="2:12" x14ac:dyDescent="0.25">
      <c r="B33" s="63" t="str">
        <f>'Data Sheet'!A59</f>
        <v>Borrowings</v>
      </c>
      <c r="C33" s="14">
        <f>'Data Sheet'!B59/'Data Sheet'!B$61</f>
        <v>3.0852960844044878E-2</v>
      </c>
      <c r="D33" s="14">
        <f>'Data Sheet'!C59/'Data Sheet'!C$61</f>
        <v>4.6908968534410234E-2</v>
      </c>
      <c r="E33" s="14">
        <f>'Data Sheet'!D59/'Data Sheet'!D$61</f>
        <v>3.0617395726690803E-2</v>
      </c>
      <c r="F33" s="14">
        <f>'Data Sheet'!E59/'Data Sheet'!E$61</f>
        <v>4.5169803928839465E-2</v>
      </c>
      <c r="G33" s="14">
        <f>'Data Sheet'!F59/'Data Sheet'!F$61</f>
        <v>3.8756913222528021E-2</v>
      </c>
      <c r="H33" s="14">
        <f>'Data Sheet'!G59/'Data Sheet'!G$61</f>
        <v>8.1211951130049892E-2</v>
      </c>
      <c r="I33" s="14">
        <f>'Data Sheet'!H59/'Data Sheet'!H$61</f>
        <v>6.9308593336088742E-2</v>
      </c>
      <c r="J33" s="14">
        <f>'Data Sheet'!I59/'Data Sheet'!I$61</f>
        <v>5.3701878720768106E-2</v>
      </c>
      <c r="K33" s="14">
        <f>'Data Sheet'!J59/'Data Sheet'!J$61</f>
        <v>6.9119708969646448E-2</v>
      </c>
      <c r="L33" s="14">
        <f>'Data Sheet'!K59/'Data Sheet'!K$61</f>
        <v>7.4967813360548932E-2</v>
      </c>
    </row>
    <row r="34" spans="2:12" x14ac:dyDescent="0.25">
      <c r="B34" s="63" t="str">
        <f>'Data Sheet'!A60</f>
        <v>Other Liabilities</v>
      </c>
      <c r="C34" s="14">
        <f>'Data Sheet'!B60/'Data Sheet'!B$61</f>
        <v>0.46895881318572458</v>
      </c>
      <c r="D34" s="14">
        <f>'Data Sheet'!C60/'Data Sheet'!C$61</f>
        <v>0.42110830669134552</v>
      </c>
      <c r="E34" s="14">
        <f>'Data Sheet'!D60/'Data Sheet'!D$61</f>
        <v>0.35144516115590163</v>
      </c>
      <c r="F34" s="14">
        <f>'Data Sheet'!E60/'Data Sheet'!E$61</f>
        <v>0.34186981416648998</v>
      </c>
      <c r="G34" s="14">
        <f>'Data Sheet'!F60/'Data Sheet'!F$61</f>
        <v>0.35018905102488612</v>
      </c>
      <c r="H34" s="14">
        <f>'Data Sheet'!G60/'Data Sheet'!G$61</f>
        <v>0.3359433658033435</v>
      </c>
      <c r="I34" s="14">
        <f>'Data Sheet'!H60/'Data Sheet'!H$61</f>
        <v>0.30296933257404746</v>
      </c>
      <c r="J34" s="14">
        <f>'Data Sheet'!I60/'Data Sheet'!I$61</f>
        <v>0.31716149177562253</v>
      </c>
      <c r="K34" s="14">
        <f>'Data Sheet'!J60/'Data Sheet'!J$61</f>
        <v>0.32929037394978661</v>
      </c>
      <c r="L34" s="14">
        <f>'Data Sheet'!K60/'Data Sheet'!K$61</f>
        <v>0.30468130862982085</v>
      </c>
    </row>
    <row r="35" spans="2:12" x14ac:dyDescent="0.25">
      <c r="B35" s="63"/>
    </row>
    <row r="36" spans="2:12" x14ac:dyDescent="0.25">
      <c r="B36" s="65" t="s">
        <v>85</v>
      </c>
      <c r="C36" s="14">
        <f>'Data Sheet'!B76/'Data Sheet'!B$76</f>
        <v>1</v>
      </c>
      <c r="D36" s="14">
        <f>'Data Sheet'!C76/'Data Sheet'!C$76</f>
        <v>1</v>
      </c>
      <c r="E36" s="14">
        <f>'Data Sheet'!D76/'Data Sheet'!D$76</f>
        <v>1</v>
      </c>
      <c r="F36" s="14">
        <f>'Data Sheet'!E76/'Data Sheet'!E$76</f>
        <v>1</v>
      </c>
      <c r="G36" s="14">
        <f>'Data Sheet'!F76/'Data Sheet'!F$76</f>
        <v>1</v>
      </c>
      <c r="H36" s="14">
        <f>'Data Sheet'!G76/'Data Sheet'!G$76</f>
        <v>1</v>
      </c>
      <c r="I36" s="14">
        <f>'Data Sheet'!H76/'Data Sheet'!H$76</f>
        <v>1</v>
      </c>
      <c r="J36" s="14">
        <f>'Data Sheet'!I76/'Data Sheet'!I$76</f>
        <v>1</v>
      </c>
      <c r="K36" s="14">
        <f>'Data Sheet'!J76/'Data Sheet'!J$76</f>
        <v>1</v>
      </c>
      <c r="L36" s="14">
        <f>'Data Sheet'!K76/'Data Sheet'!K$76</f>
        <v>1</v>
      </c>
    </row>
    <row r="37" spans="2:12" x14ac:dyDescent="0.25">
      <c r="B37" s="63" t="str">
        <f>'Data Sheet'!A62</f>
        <v>Net Block</v>
      </c>
      <c r="C37" s="14">
        <f>'Data Sheet'!B62/'Data Sheet'!B$76</f>
        <v>0.31720781633107958</v>
      </c>
      <c r="D37" s="14">
        <f>'Data Sheet'!C62/'Data Sheet'!C$76</f>
        <v>0.29839475012619887</v>
      </c>
      <c r="E37" s="14">
        <f>'Data Sheet'!D62/'Data Sheet'!D$76</f>
        <v>0.32354771224250711</v>
      </c>
      <c r="F37" s="14">
        <f>'Data Sheet'!E62/'Data Sheet'!E$76</f>
        <v>0.26631917769901142</v>
      </c>
      <c r="G37" s="14">
        <f>'Data Sheet'!F62/'Data Sheet'!F$76</f>
        <v>0.2711697913609058</v>
      </c>
      <c r="H37" s="14">
        <f>'Data Sheet'!G62/'Data Sheet'!G$76</f>
        <v>0.39981684846425963</v>
      </c>
      <c r="I37" s="14">
        <f>'Data Sheet'!H62/'Data Sheet'!H$76</f>
        <v>0.38866784360114692</v>
      </c>
      <c r="J37" s="14">
        <f>'Data Sheet'!I62/'Data Sheet'!I$76</f>
        <v>0.28781243644173965</v>
      </c>
      <c r="K37" s="14">
        <f>'Data Sheet'!J62/'Data Sheet'!J$76</f>
        <v>0.240393615765538</v>
      </c>
      <c r="L37" s="14">
        <f>'Data Sheet'!K62/'Data Sheet'!K$76</f>
        <v>0.22384057304825222</v>
      </c>
    </row>
    <row r="38" spans="2:12" x14ac:dyDescent="0.25">
      <c r="B38" s="63" t="str">
        <f>'Data Sheet'!A63</f>
        <v>Capital Work in Progress</v>
      </c>
      <c r="C38" s="14">
        <f>'Data Sheet'!B63/'Data Sheet'!B$76</f>
        <v>8.8664338608613804E-3</v>
      </c>
      <c r="D38" s="14">
        <f>'Data Sheet'!C63/'Data Sheet'!C$76</f>
        <v>2.1986650961915981E-2</v>
      </c>
      <c r="E38" s="14">
        <f>'Data Sheet'!D63/'Data Sheet'!D$76</f>
        <v>1.0094677257285944E-2</v>
      </c>
      <c r="F38" s="14">
        <f>'Data Sheet'!E63/'Data Sheet'!E$76</f>
        <v>2.0760665495651417E-2</v>
      </c>
      <c r="G38" s="14">
        <f>'Data Sheet'!F63/'Data Sheet'!F$76</f>
        <v>0.10208973311982143</v>
      </c>
      <c r="H38" s="14">
        <f>'Data Sheet'!G63/'Data Sheet'!G$76</f>
        <v>1.2903690355742316E-2</v>
      </c>
      <c r="I38" s="14">
        <f>'Data Sheet'!H63/'Data Sheet'!H$76</f>
        <v>8.6900644876648069E-3</v>
      </c>
      <c r="J38" s="14">
        <f>'Data Sheet'!I63/'Data Sheet'!I$76</f>
        <v>8.9892873319728384E-3</v>
      </c>
      <c r="K38" s="14">
        <f>'Data Sheet'!J63/'Data Sheet'!J$76</f>
        <v>1.8574005278235488E-2</v>
      </c>
      <c r="L38" s="14">
        <f>'Data Sheet'!K63/'Data Sheet'!K$76</f>
        <v>3.9550678780247588E-2</v>
      </c>
    </row>
    <row r="39" spans="2:12" x14ac:dyDescent="0.25">
      <c r="B39" s="63" t="str">
        <f>'Data Sheet'!A64</f>
        <v>Investments</v>
      </c>
      <c r="C39" s="14">
        <f>'Data Sheet'!B64/'Data Sheet'!B$76</f>
        <v>0.17628228942219581</v>
      </c>
      <c r="D39" s="14">
        <f>'Data Sheet'!C64/'Data Sheet'!C$76</f>
        <v>0.17811318638173762</v>
      </c>
      <c r="E39" s="14">
        <f>'Data Sheet'!D64/'Data Sheet'!D$76</f>
        <v>0.25685408602873561</v>
      </c>
      <c r="F39" s="14">
        <f>'Data Sheet'!E64/'Data Sheet'!E$76</f>
        <v>0.21378068372995493</v>
      </c>
      <c r="G39" s="14">
        <f>'Data Sheet'!F64/'Data Sheet'!F$76</f>
        <v>0.15553479207293502</v>
      </c>
      <c r="H39" s="14">
        <f>'Data Sheet'!G64/'Data Sheet'!G$76</f>
        <v>0.15807774585755044</v>
      </c>
      <c r="I39" s="14">
        <f>'Data Sheet'!H64/'Data Sheet'!H$76</f>
        <v>0.12509937743099039</v>
      </c>
      <c r="J39" s="14">
        <f>'Data Sheet'!I64/'Data Sheet'!I$76</f>
        <v>0.23270552100824649</v>
      </c>
      <c r="K39" s="14">
        <f>'Data Sheet'!J64/'Data Sheet'!J$76</f>
        <v>0.14145261675123255</v>
      </c>
      <c r="L39" s="14">
        <f>'Data Sheet'!K64/'Data Sheet'!K$76</f>
        <v>0.16531500236817637</v>
      </c>
    </row>
    <row r="40" spans="2:12" x14ac:dyDescent="0.25">
      <c r="B40" s="63" t="str">
        <f>'Data Sheet'!A65</f>
        <v>Other Assets</v>
      </c>
      <c r="C40" s="14">
        <f>'Data Sheet'!B74/'Data Sheet'!B$76</f>
        <v>7.5477375733709814E-2</v>
      </c>
      <c r="D40" s="14">
        <f>'Data Sheet'!C74/'Data Sheet'!C$76</f>
        <v>9.2623254248695955E-2</v>
      </c>
      <c r="E40" s="14">
        <f>'Data Sheet'!D74/'Data Sheet'!D$76</f>
        <v>6.7684247511371809E-2</v>
      </c>
      <c r="F40" s="14">
        <f>'Data Sheet'!E74/'Data Sheet'!E$76</f>
        <v>0.10617894607015289</v>
      </c>
      <c r="G40" s="14">
        <f>'Data Sheet'!F74/'Data Sheet'!F$76</f>
        <v>0.12292240043942376</v>
      </c>
      <c r="H40" s="14">
        <f>'Data Sheet'!G74/'Data Sheet'!G$76</f>
        <v>9.0588620479984977E-2</v>
      </c>
      <c r="I40" s="14">
        <f>'Data Sheet'!H74/'Data Sheet'!H$76</f>
        <v>0.10774031678085906</v>
      </c>
      <c r="J40" s="14">
        <f>'Data Sheet'!I74/'Data Sheet'!I$76</f>
        <v>0.1260367058472126</v>
      </c>
      <c r="K40" s="14">
        <f>'Data Sheet'!J74/'Data Sheet'!J$76</f>
        <v>0.12529863758105408</v>
      </c>
      <c r="L40" s="14">
        <f>'Data Sheet'!K74/'Data Sheet'!K$76</f>
        <v>0.11777536499203044</v>
      </c>
    </row>
    <row r="41" spans="2:12" x14ac:dyDescent="0.25">
      <c r="B41" s="63" t="str">
        <f>'Data Sheet'!A67</f>
        <v>Receivables</v>
      </c>
      <c r="C41" s="14">
        <f>'Data Sheet'!B67/'Data Sheet'!B$76</f>
        <v>0.13749164128092725</v>
      </c>
      <c r="D41" s="14">
        <f>'Data Sheet'!C67/'Data Sheet'!C$76</f>
        <v>0.13260081889057154</v>
      </c>
      <c r="E41" s="14">
        <f>'Data Sheet'!D67/'Data Sheet'!D$76</f>
        <v>0.11240047618010365</v>
      </c>
      <c r="F41" s="14">
        <f>'Data Sheet'!E67/'Data Sheet'!E$76</f>
        <v>0.11661248235617511</v>
      </c>
      <c r="G41" s="14">
        <f>'Data Sheet'!F67/'Data Sheet'!F$76</f>
        <v>0.12574072836230374</v>
      </c>
      <c r="H41" s="14">
        <f>'Data Sheet'!G67/'Data Sheet'!G$76</f>
        <v>0.11738253315313585</v>
      </c>
      <c r="I41" s="14">
        <f>'Data Sheet'!H67/'Data Sheet'!H$76</f>
        <v>0.111241996360137</v>
      </c>
      <c r="J41" s="14">
        <f>'Data Sheet'!I67/'Data Sheet'!I$76</f>
        <v>0.12783721618012767</v>
      </c>
      <c r="K41" s="14">
        <f>'Data Sheet'!J67/'Data Sheet'!J$76</f>
        <v>0.168628255503534</v>
      </c>
      <c r="L41" s="14">
        <f>'Data Sheet'!K67/'Data Sheet'!K$76</f>
        <v>0.17987046211053581</v>
      </c>
    </row>
    <row r="42" spans="2:12" x14ac:dyDescent="0.25">
      <c r="B42" s="63" t="str">
        <f>'Data Sheet'!A68</f>
        <v>Inventory</v>
      </c>
      <c r="C42" s="14">
        <f>'Data Sheet'!B68/'Data Sheet'!B$76</f>
        <v>0.256316714961488</v>
      </c>
      <c r="D42" s="14">
        <f>'Data Sheet'!C68/'Data Sheet'!C$76</f>
        <v>0.2533535251556453</v>
      </c>
      <c r="E42" s="14">
        <f>'Data Sheet'!D68/'Data Sheet'!D$76</f>
        <v>0.18924465599586324</v>
      </c>
      <c r="F42" s="14">
        <f>'Data Sheet'!E68/'Data Sheet'!E$76</f>
        <v>0.21176136762113276</v>
      </c>
      <c r="G42" s="14">
        <f>'Data Sheet'!F68/'Data Sheet'!F$76</f>
        <v>0.19314228668912223</v>
      </c>
      <c r="H42" s="14">
        <f>'Data Sheet'!G68/'Data Sheet'!G$76</f>
        <v>0.19385137646748937</v>
      </c>
      <c r="I42" s="14">
        <f>'Data Sheet'!H68/'Data Sheet'!H$76</f>
        <v>0.21005182188342153</v>
      </c>
      <c r="J42" s="14">
        <f>'Data Sheet'!I68/'Data Sheet'!I$76</f>
        <v>0.18661442157193148</v>
      </c>
      <c r="K42" s="14">
        <f>'Data Sheet'!J68/'Data Sheet'!J$76</f>
        <v>0.26800525994155522</v>
      </c>
      <c r="L42" s="14">
        <f>'Data Sheet'!K68/'Data Sheet'!K$76</f>
        <v>0.24091549314896857</v>
      </c>
    </row>
    <row r="43" spans="2:12" x14ac:dyDescent="0.25">
      <c r="B43" s="63" t="str">
        <f>'Data Sheet'!A69</f>
        <v>Cash &amp; Bank</v>
      </c>
      <c r="C43" s="14">
        <f>'Data Sheet'!B69/'Data Sheet'!B$76</f>
        <v>2.8357728409738218E-2</v>
      </c>
      <c r="D43" s="14">
        <f>'Data Sheet'!C69/'Data Sheet'!C$76</f>
        <v>2.2927814235234729E-2</v>
      </c>
      <c r="E43" s="14">
        <f>'Data Sheet'!D69/'Data Sheet'!D$76</f>
        <v>4.0174144784132629E-2</v>
      </c>
      <c r="F43" s="14">
        <f>'Data Sheet'!E69/'Data Sheet'!E$76</f>
        <v>6.4586677027921383E-2</v>
      </c>
      <c r="G43" s="14">
        <f>'Data Sheet'!F69/'Data Sheet'!F$76</f>
        <v>2.9400267955488002E-2</v>
      </c>
      <c r="H43" s="14">
        <f>'Data Sheet'!G69/'Data Sheet'!G$76</f>
        <v>2.7379185221837375E-2</v>
      </c>
      <c r="I43" s="14">
        <f>'Data Sheet'!H69/'Data Sheet'!H$76</f>
        <v>4.8508579455780382E-2</v>
      </c>
      <c r="J43" s="14">
        <f>'Data Sheet'!I69/'Data Sheet'!I$76</f>
        <v>3.0004411618769326E-2</v>
      </c>
      <c r="K43" s="14">
        <f>'Data Sheet'!J69/'Data Sheet'!J$76</f>
        <v>3.7647609178850648E-2</v>
      </c>
      <c r="L43" s="14">
        <f>'Data Sheet'!K69/'Data Sheet'!K$76</f>
        <v>3.2732425551788971E-2</v>
      </c>
    </row>
  </sheetData>
  <mergeCells count="2">
    <mergeCell ref="B4:L4"/>
    <mergeCell ref="B26:L2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7"/>
  <sheetViews>
    <sheetView showGridLines="0" workbookViewId="0">
      <pane ySplit="3" topLeftCell="A4" activePane="bottomLeft" state="frozen"/>
      <selection pane="bottomLeft" activeCell="B3" sqref="B3"/>
    </sheetView>
  </sheetViews>
  <sheetFormatPr defaultRowHeight="15" x14ac:dyDescent="0.25"/>
  <cols>
    <col min="1" max="1" width="1.85546875" customWidth="1"/>
    <col min="2" max="2" width="26.140625" bestFit="1" customWidth="1"/>
    <col min="3" max="3" width="9.5703125" bestFit="1" customWidth="1"/>
    <col min="4" max="9" width="9.28515625" bestFit="1" customWidth="1"/>
    <col min="10" max="11" width="9.85546875" bestFit="1" customWidth="1"/>
    <col min="12" max="12" width="9.28515625" bestFit="1" customWidth="1"/>
    <col min="13" max="13" width="13.140625" customWidth="1"/>
    <col min="14" max="15" width="9.140625" bestFit="1" customWidth="1"/>
  </cols>
  <sheetData>
    <row r="2" spans="2:15" x14ac:dyDescent="0.25">
      <c r="B2" s="234" t="str">
        <f>"Ratio Analysis - "&amp;'Data Sheet'!B1</f>
        <v>Ratio Analysis - ASIAN PAINTS LTD</v>
      </c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</row>
    <row r="3" spans="2:15" x14ac:dyDescent="0.25">
      <c r="B3" s="10" t="s">
        <v>54</v>
      </c>
      <c r="C3" s="11">
        <f>'Data Sheet'!B16</f>
        <v>41729</v>
      </c>
      <c r="D3" s="11">
        <f>'Data Sheet'!C16</f>
        <v>42094</v>
      </c>
      <c r="E3" s="11">
        <f>'Data Sheet'!D16</f>
        <v>42460</v>
      </c>
      <c r="F3" s="11">
        <f>'Data Sheet'!E16</f>
        <v>42825</v>
      </c>
      <c r="G3" s="11">
        <f>'Data Sheet'!F16</f>
        <v>43190</v>
      </c>
      <c r="H3" s="11">
        <f>'Data Sheet'!G16</f>
        <v>43555</v>
      </c>
      <c r="I3" s="11">
        <f>'Data Sheet'!H16</f>
        <v>43921</v>
      </c>
      <c r="J3" s="11">
        <f>'Data Sheet'!I16</f>
        <v>44286</v>
      </c>
      <c r="K3" s="11">
        <f>'Data Sheet'!J16</f>
        <v>44651</v>
      </c>
      <c r="L3" s="11">
        <f>'Data Sheet'!K16</f>
        <v>45016</v>
      </c>
      <c r="M3" s="45" t="s">
        <v>152</v>
      </c>
      <c r="N3" s="46" t="s">
        <v>150</v>
      </c>
      <c r="O3" s="46" t="s">
        <v>151</v>
      </c>
    </row>
    <row r="5" spans="2:15" x14ac:dyDescent="0.25">
      <c r="B5" s="29" t="s">
        <v>119</v>
      </c>
      <c r="C5" s="29"/>
      <c r="D5" s="30">
        <f>IFERROR(HistoricalFS!D7,0)</f>
        <v>0.11414466174101112</v>
      </c>
      <c r="E5" s="30">
        <f>IFERROR(HistoricalFS!E7,0)</f>
        <v>4.8198124751198224E-2</v>
      </c>
      <c r="F5" s="30">
        <f>IFERROR(HistoricalFS!F7,0)</f>
        <v>5.5390151974320734E-2</v>
      </c>
      <c r="G5" s="30">
        <f>IFERROR(HistoricalFS!G7,0)</f>
        <v>0.11702039371955486</v>
      </c>
      <c r="H5" s="30">
        <f>IFERROR(HistoricalFS!H7,0)</f>
        <v>0.14357471670861943</v>
      </c>
      <c r="I5" s="30">
        <f>IFERROR(HistoricalFS!I7,0)</f>
        <v>5.0473671435691925E-2</v>
      </c>
      <c r="J5" s="30">
        <f>IFERROR(HistoricalFS!J7,0)</f>
        <v>7.4292287711052118E-2</v>
      </c>
      <c r="K5" s="30">
        <f>IFERROR(HistoricalFS!K7,0)</f>
        <v>0.34028284711453471</v>
      </c>
      <c r="L5" s="30">
        <f>IFERROR(HistoricalFS!L7,0)</f>
        <v>0.18512278497715551</v>
      </c>
      <c r="M5" s="35"/>
      <c r="N5" s="36">
        <f>IFERROR(AVERAGE(D5:L5),0)</f>
        <v>0.12538884890368207</v>
      </c>
      <c r="O5" s="36">
        <f>IFERROR(MEDIAN(D5:L5),0)</f>
        <v>0.11414466174101112</v>
      </c>
    </row>
    <row r="6" spans="2:15" x14ac:dyDescent="0.25">
      <c r="B6" s="31" t="s">
        <v>121</v>
      </c>
      <c r="C6" s="31"/>
      <c r="D6" s="32">
        <f>IFERROR(HistoricalFS!D18/HistoricalFS!C18-1,0)</f>
        <v>0.11939650439695271</v>
      </c>
      <c r="E6" s="32">
        <f>IFERROR(HistoricalFS!E18/HistoricalFS!D18-1,0)</f>
        <v>0.21496818836412013</v>
      </c>
      <c r="F6" s="32">
        <f>IFERROR(HistoricalFS!F18/HistoricalFS!E18-1,0)</f>
        <v>9.861139652995865E-2</v>
      </c>
      <c r="G6" s="32">
        <f>IFERROR(HistoricalFS!G18/HistoricalFS!F18-1,0)</f>
        <v>7.0229410507188561E-2</v>
      </c>
      <c r="H6" s="32">
        <f>IFERROR(HistoricalFS!H18/HistoricalFS!G18-1,0)</f>
        <v>0.17507123885381137</v>
      </c>
      <c r="I6" s="32">
        <f>IFERROR(HistoricalFS!I18/HistoricalFS!H18-1,0)</f>
        <v>0.10408665211132084</v>
      </c>
      <c r="J6" s="32">
        <f>IFERROR(HistoricalFS!J18/HistoricalFS!I18-1,0)</f>
        <v>0.16810446447043792</v>
      </c>
      <c r="K6" s="32">
        <f>IFERROR(HistoricalFS!K18/HistoricalFS!J18-1,0)</f>
        <v>-1.0707224647830249E-2</v>
      </c>
      <c r="L6" s="32">
        <f>IFERROR(HistoricalFS!L18/HistoricalFS!K18-1,0)</f>
        <v>0.3031532534906034</v>
      </c>
      <c r="M6" s="31"/>
      <c r="N6" s="32">
        <f t="shared" ref="N6:N8" si="0">IFERROR(AVERAGE(D6:L6),0)</f>
        <v>0.13810154267517369</v>
      </c>
      <c r="O6" s="32">
        <f t="shared" ref="O6:O8" si="1">IFERROR(MEDIAN(D6:L6),0)</f>
        <v>0.11939650439695271</v>
      </c>
    </row>
    <row r="7" spans="2:15" x14ac:dyDescent="0.25">
      <c r="B7" s="31" t="s">
        <v>120</v>
      </c>
      <c r="C7" s="31"/>
      <c r="D7" s="32">
        <f>IFERROR(HistoricalFS!D27/HistoricalFS!C27-1,0)</f>
        <v>0.13141443617288662</v>
      </c>
      <c r="E7" s="32">
        <f>IFERROR(HistoricalFS!E27/HistoricalFS!D27-1,0)</f>
        <v>0.24072092746791629</v>
      </c>
      <c r="F7" s="32">
        <f>IFERROR(HistoricalFS!F27/HistoricalFS!E27-1,0)</f>
        <v>9.2140673037667264E-2</v>
      </c>
      <c r="G7" s="32">
        <f>IFERROR(HistoricalFS!G27/HistoricalFS!F27-1,0)</f>
        <v>6.8823331960147449E-2</v>
      </c>
      <c r="H7" s="32">
        <f>IFERROR(HistoricalFS!H27/HistoricalFS!G27-1,0)</f>
        <v>8.2174963509120014E-2</v>
      </c>
      <c r="I7" s="32">
        <f>IFERROR(HistoricalFS!I27/HistoricalFS!H27-1,0)</f>
        <v>7.9694492354063229E-2</v>
      </c>
      <c r="J7" s="32">
        <f>IFERROR(HistoricalFS!J27/HistoricalFS!I27-1,0)</f>
        <v>0.21341238061203782</v>
      </c>
      <c r="K7" s="32">
        <f>IFERROR(HistoricalFS!K27/HistoricalFS!J27-1,0)</f>
        <v>-2.0353915473104944E-2</v>
      </c>
      <c r="L7" s="32">
        <f>IFERROR(HistoricalFS!L27/HistoricalFS!K27-1,0)</f>
        <v>0.35087002548922808</v>
      </c>
      <c r="M7" s="31"/>
      <c r="N7" s="32">
        <f t="shared" si="0"/>
        <v>0.13765525723666241</v>
      </c>
      <c r="O7" s="32">
        <f t="shared" si="1"/>
        <v>9.2140673037667264E-2</v>
      </c>
    </row>
    <row r="8" spans="2:15" x14ac:dyDescent="0.25">
      <c r="B8" s="31" t="s">
        <v>122</v>
      </c>
      <c r="C8" s="31"/>
      <c r="D8" s="32">
        <f>IFERROR(HistoricalFS!D33/HistoricalFS!C33-1,0)</f>
        <v>0.12884497145366547</v>
      </c>
      <c r="E8" s="32">
        <f>IFERROR(HistoricalFS!E33/HistoricalFS!D33-1,0)</f>
        <v>0.21069258241972122</v>
      </c>
      <c r="F8" s="32">
        <f>IFERROR(HistoricalFS!F33/HistoricalFS!E33-1,0)</f>
        <v>7.8651902028958665E-2</v>
      </c>
      <c r="G8" s="32">
        <f>IFERROR(HistoricalFS!G33/HistoricalFS!F33-1,0)</f>
        <v>4.9310334554771407E-2</v>
      </c>
      <c r="H8" s="32">
        <f>IFERROR(HistoricalFS!H33/HistoricalFS!G33-1,0)</f>
        <v>9.8324352255112046E-2</v>
      </c>
      <c r="I8" s="32">
        <f>IFERROR(HistoricalFS!I33/HistoricalFS!H33-1,0)</f>
        <v>0.25067338065523237</v>
      </c>
      <c r="J8" s="32">
        <f>IFERROR(HistoricalFS!J33/HistoricalFS!I33-1,0)</f>
        <v>0.18848020370875829</v>
      </c>
      <c r="K8" s="32">
        <f>IFERROR(HistoricalFS!K33/HistoricalFS!J33-1,0)</f>
        <v>-2.9971131438908061E-2</v>
      </c>
      <c r="L8" s="32">
        <f>IFERROR(HistoricalFS!L33/HistoricalFS!K33-1,0)</f>
        <v>0.34957492658474654</v>
      </c>
      <c r="M8" s="31"/>
      <c r="N8" s="32">
        <f t="shared" si="0"/>
        <v>0.14717572469133977</v>
      </c>
      <c r="O8" s="32">
        <f t="shared" si="1"/>
        <v>0.12884497145366547</v>
      </c>
    </row>
    <row r="9" spans="2:15" x14ac:dyDescent="0.25">
      <c r="B9" s="33" t="s">
        <v>123</v>
      </c>
      <c r="C9" s="33"/>
      <c r="D9" s="34">
        <f>IFERROR(HistoricalFS!D41/HistoricalFS!C41-1,0)</f>
        <v>0.15093040638892163</v>
      </c>
      <c r="E9" s="34">
        <f>IFERROR(HistoricalFS!E41/HistoricalFS!D41-1,0)</f>
        <v>0.22951239937789469</v>
      </c>
      <c r="F9" s="34">
        <f>IFERROR(HistoricalFS!F41/HistoricalFS!E41-1,0)</f>
        <v>0.37333889352237981</v>
      </c>
      <c r="G9" s="34">
        <f>IFERROR(HistoricalFS!G41/HistoricalFS!F41-1,0)</f>
        <v>-0.15534727423632066</v>
      </c>
      <c r="H9" s="34">
        <f>IFERROR(HistoricalFS!H41/HistoricalFS!G41-1,0)</f>
        <v>0.20690233672858005</v>
      </c>
      <c r="I9" s="34">
        <f>IFERROR(HistoricalFS!I41/HistoricalFS!H41-1,0)</f>
        <v>0.14285714285714279</v>
      </c>
      <c r="J9" s="34">
        <f>IFERROR(HistoricalFS!J41/HistoricalFS!I41-1,0)</f>
        <v>0.48749826244092298</v>
      </c>
      <c r="K9" s="34">
        <f>IFERROR(HistoricalFS!K41/HistoricalFS!J41-1,0)</f>
        <v>7.2831552941588606E-2</v>
      </c>
      <c r="L9" s="34">
        <f>IFERROR(HistoricalFS!L41/HistoricalFS!K41-1,0)</f>
        <v>0.33942521789783719</v>
      </c>
      <c r="M9" s="37"/>
      <c r="N9" s="38"/>
      <c r="O9" s="38"/>
    </row>
    <row r="10" spans="2:15" x14ac:dyDescent="0.25">
      <c r="N10" s="14"/>
      <c r="O10" s="14"/>
    </row>
    <row r="11" spans="2:15" x14ac:dyDescent="0.25">
      <c r="B11" s="35" t="s">
        <v>124</v>
      </c>
      <c r="C11" s="36">
        <f>IFERROR(HistoricalFS!C13,0)</f>
        <v>0.30943334776279285</v>
      </c>
      <c r="D11" s="36">
        <f>IFERROR(HistoricalFS!D13,0)</f>
        <v>0.31703324064321942</v>
      </c>
      <c r="E11" s="36">
        <f>IFERROR(HistoricalFS!E13,0)</f>
        <v>0.34037441080083447</v>
      </c>
      <c r="F11" s="36">
        <f>IFERROR(HistoricalFS!F13,0)</f>
        <v>0.35382642001488518</v>
      </c>
      <c r="G11" s="36">
        <f>IFERROR(HistoricalFS!G13,0)</f>
        <v>0.33465263558312119</v>
      </c>
      <c r="H11" s="36">
        <f>IFERROR(HistoricalFS!H13,0)</f>
        <v>0.3292243867375117</v>
      </c>
      <c r="I11" s="36">
        <f>IFERROR(HistoricalFS!I13,0)</f>
        <v>0.34897544684272364</v>
      </c>
      <c r="J11" s="36">
        <f>IFERROR(HistoricalFS!J13,0)</f>
        <v>0.35360356729835285</v>
      </c>
      <c r="K11" s="36">
        <f>IFERROR(HistoricalFS!K13,0)</f>
        <v>0.29245139732685294</v>
      </c>
      <c r="L11" s="36">
        <f>IFERROR(HistoricalFS!L13,0)</f>
        <v>0.31088223670495074</v>
      </c>
      <c r="M11" s="35"/>
      <c r="N11" s="36">
        <f>IFERROR(AVERAGE(C11:L11),0)</f>
        <v>0.32904570897152452</v>
      </c>
      <c r="O11" s="36">
        <f>IFERROR(MEDIAN(C11:L11),0)</f>
        <v>0.33193851116031647</v>
      </c>
    </row>
    <row r="12" spans="2:15" x14ac:dyDescent="0.25">
      <c r="B12" s="31" t="s">
        <v>125</v>
      </c>
      <c r="C12" s="32">
        <f>IFERROR(HistoricalFS!C19,0)</f>
        <v>0.16396066567542564</v>
      </c>
      <c r="D12" s="32">
        <f>IFERROR(HistoricalFS!D19,0)</f>
        <v>0.16473354162902507</v>
      </c>
      <c r="E12" s="32">
        <f>IFERROR(HistoricalFS!E19,0)</f>
        <v>0.19094292186730338</v>
      </c>
      <c r="F12" s="32">
        <f>IFERROR(HistoricalFS!F19,0)</f>
        <v>0.19876258050895004</v>
      </c>
      <c r="G12" s="32">
        <f>IFERROR(HistoricalFS!G19,0)</f>
        <v>0.19043659414367703</v>
      </c>
      <c r="H12" s="32">
        <f>IFERROR(HistoricalFS!H19,0)</f>
        <v>0.19568163000977651</v>
      </c>
      <c r="I12" s="32">
        <f>IFERROR(HistoricalFS!I19,0)</f>
        <v>0.20566862514688591</v>
      </c>
      <c r="J12" s="32">
        <f>IFERROR(HistoricalFS!J19,0)</f>
        <v>0.22362856178317034</v>
      </c>
      <c r="K12" s="32">
        <f>IFERROR(HistoricalFS!K19,0)</f>
        <v>0.16506524798909186</v>
      </c>
      <c r="L12" s="32">
        <f>IFERROR(HistoricalFS!L19,0)</f>
        <v>0.1815046657459756</v>
      </c>
      <c r="M12" s="31"/>
      <c r="N12" s="32">
        <f t="shared" ref="N12:N41" si="2">IFERROR(AVERAGE(C12:L12),0)</f>
        <v>0.18803850344992817</v>
      </c>
      <c r="O12" s="32">
        <f t="shared" ref="O12:O41" si="3">IFERROR(MEDIAN(C12:L12),0)</f>
        <v>0.19068975800549021</v>
      </c>
    </row>
    <row r="13" spans="2:15" x14ac:dyDescent="0.25">
      <c r="B13" s="31" t="s">
        <v>126</v>
      </c>
      <c r="C13" s="32">
        <f>IFERROR((HistoricalFS!C18-HistoricalFS!C24)/HistoricalFS!C6,0)</f>
        <v>0.14385816468732135</v>
      </c>
      <c r="D13" s="32">
        <f>IFERROR((HistoricalFS!D18-HistoricalFS!D24)/HistoricalFS!D6,0)</f>
        <v>0.14520251541285292</v>
      </c>
      <c r="E13" s="32">
        <f>IFERROR((HistoricalFS!E18-HistoricalFS!E24)/HistoricalFS!E6,0)</f>
        <v>0.17163309507276406</v>
      </c>
      <c r="F13" s="32">
        <f>IFERROR((HistoricalFS!F18-HistoricalFS!F24)/HistoricalFS!F6,0)</f>
        <v>0.17653510591893901</v>
      </c>
      <c r="G13" s="32">
        <f>IFERROR((HistoricalFS!G18-HistoricalFS!G24)/HistoricalFS!G6,0)</f>
        <v>0.16901135543001156</v>
      </c>
      <c r="H13" s="32">
        <f>IFERROR((HistoricalFS!H18-HistoricalFS!H24)/HistoricalFS!H6,0)</f>
        <v>0.16334608965739844</v>
      </c>
      <c r="I13" s="32">
        <f>IFERROR((HistoricalFS!I18-HistoricalFS!I24)/HistoricalFS!I6,0)</f>
        <v>0.16705151833755943</v>
      </c>
      <c r="J13" s="32">
        <f>IFERROR((HistoricalFS!J18-HistoricalFS!J24)/HistoricalFS!J6,0)</f>
        <v>0.18718598577152007</v>
      </c>
      <c r="K13" s="32">
        <f>IFERROR((HistoricalFS!K18-HistoricalFS!K24)/HistoricalFS!K6,0)</f>
        <v>0.13701287366053996</v>
      </c>
      <c r="L13" s="32">
        <f>IFERROR((HistoricalFS!L18-HistoricalFS!L24)/HistoricalFS!L6,0)</f>
        <v>0.15662629292760291</v>
      </c>
      <c r="M13" s="31"/>
      <c r="N13" s="32">
        <f t="shared" si="2"/>
        <v>0.161746299687651</v>
      </c>
      <c r="O13" s="32">
        <f t="shared" si="3"/>
        <v>0.16519880399747894</v>
      </c>
    </row>
    <row r="14" spans="2:15" x14ac:dyDescent="0.25">
      <c r="B14" s="31" t="s">
        <v>127</v>
      </c>
      <c r="C14" s="32">
        <f>IFERROR(HistoricalFS!C28,0)</f>
        <v>0.13993111501533925</v>
      </c>
      <c r="D14" s="32">
        <f>IFERROR(HistoricalFS!D28,0)</f>
        <v>0.14210011413663784</v>
      </c>
      <c r="E14" s="32">
        <f>IFERROR(HistoricalFS!E28,0)</f>
        <v>0.16819967641780931</v>
      </c>
      <c r="F14" s="32">
        <f>IFERROR(HistoricalFS!F28,0)</f>
        <v>0.17405668175320793</v>
      </c>
      <c r="G14" s="32">
        <f>IFERROR(HistoricalFS!G28,0)</f>
        <v>0.16654650495852794</v>
      </c>
      <c r="H14" s="32">
        <f>IFERROR(HistoricalFS!H28,0)</f>
        <v>0.15760444446061442</v>
      </c>
      <c r="I14" s="32">
        <f>IFERROR(HistoricalFS!I28,0)</f>
        <v>0.16198849650565889</v>
      </c>
      <c r="J14" s="32">
        <f>IFERROR(HistoricalFS!J28,0)</f>
        <v>0.18296589245325004</v>
      </c>
      <c r="K14" s="32">
        <f>IFERROR(HistoricalFS!K28,0)</f>
        <v>0.13373432371359606</v>
      </c>
      <c r="L14" s="32">
        <f>IFERROR(HistoricalFS!L28,0)</f>
        <v>0.15243795121806938</v>
      </c>
      <c r="M14" s="31"/>
      <c r="N14" s="32">
        <f t="shared" si="2"/>
        <v>0.15795652006327107</v>
      </c>
      <c r="O14" s="32">
        <f t="shared" si="3"/>
        <v>0.15979647048313667</v>
      </c>
    </row>
    <row r="15" spans="2:15" x14ac:dyDescent="0.25">
      <c r="B15" s="37" t="s">
        <v>128</v>
      </c>
      <c r="C15" s="38">
        <f>IFERROR(HistoricalFS!C34,0)</f>
        <v>9.3164118598700496E-2</v>
      </c>
      <c r="D15" s="38">
        <f>IFERROR(HistoricalFS!D34,0)</f>
        <v>9.43933498148401E-2</v>
      </c>
      <c r="E15" s="38">
        <f>IFERROR(HistoricalFS!E34,0)</f>
        <v>0.10902645764387611</v>
      </c>
      <c r="F15" s="38">
        <f>IFERROR(HistoricalFS!F34,0)</f>
        <v>0.1114294990237014</v>
      </c>
      <c r="G15" s="38">
        <f>IFERROR(HistoricalFS!G34,0)</f>
        <v>0.10467501359620324</v>
      </c>
      <c r="H15" s="38">
        <f>IFERROR(HistoricalFS!H34,0)</f>
        <v>0.1005331045060507</v>
      </c>
      <c r="I15" s="38">
        <f>IFERROR(HistoricalFS!I34,0)</f>
        <v>0.1196927453769558</v>
      </c>
      <c r="J15" s="38">
        <f>IFERROR(HistoricalFS!J34,0)</f>
        <v>0.13241504200980173</v>
      </c>
      <c r="K15" s="38">
        <f>IFERROR(HistoricalFS!K34,0)</f>
        <v>9.5835303464314917E-2</v>
      </c>
      <c r="L15" s="38">
        <f>IFERROR(HistoricalFS!L34,0)</f>
        <v>0.10913377438741322</v>
      </c>
      <c r="M15" s="37"/>
      <c r="N15" s="38">
        <f t="shared" si="2"/>
        <v>0.10702984084218577</v>
      </c>
      <c r="O15" s="38">
        <f t="shared" si="3"/>
        <v>0.10685073562003967</v>
      </c>
    </row>
    <row r="16" spans="2:15" x14ac:dyDescent="0.25">
      <c r="N16" s="14"/>
      <c r="O16" s="14"/>
    </row>
    <row r="17" spans="2:15" x14ac:dyDescent="0.25">
      <c r="B17" s="35" t="s">
        <v>130</v>
      </c>
      <c r="C17" s="36">
        <f>IFERROR(HistoricalFS!C16,0)</f>
        <v>0.14547268208736722</v>
      </c>
      <c r="D17" s="36">
        <f>IFERROR(HistoricalFS!D16,0)</f>
        <v>0.15229969901419435</v>
      </c>
      <c r="E17" s="36">
        <f>IFERROR(HistoricalFS!E16,0)</f>
        <v>0.14943148893353111</v>
      </c>
      <c r="F17" s="36">
        <f>IFERROR(HistoricalFS!F16,0)</f>
        <v>0.15506383950593511</v>
      </c>
      <c r="G17" s="36">
        <f>IFERROR(HistoricalFS!G16,0)</f>
        <v>0.14421604143944414</v>
      </c>
      <c r="H17" s="36">
        <f>IFERROR(HistoricalFS!H16,0)</f>
        <v>0.13354275672773522</v>
      </c>
      <c r="I17" s="36">
        <f>IFERROR(HistoricalFS!I16,0)</f>
        <v>0.14330682169583772</v>
      </c>
      <c r="J17" s="36">
        <f>IFERROR(HistoricalFS!J16,0)</f>
        <v>0.12997500551518251</v>
      </c>
      <c r="K17" s="36">
        <f>IFERROR(HistoricalFS!K16,0)</f>
        <v>0.1273861493377611</v>
      </c>
      <c r="L17" s="36">
        <f>IFERROR(HistoricalFS!L16,0)</f>
        <v>0.12937757095897515</v>
      </c>
      <c r="M17" s="35"/>
      <c r="N17" s="36">
        <f t="shared" si="2"/>
        <v>0.14100720552159635</v>
      </c>
      <c r="O17" s="36">
        <f t="shared" si="3"/>
        <v>0.14376143156764093</v>
      </c>
    </row>
    <row r="18" spans="2:15" x14ac:dyDescent="0.25">
      <c r="B18" s="31" t="s">
        <v>129</v>
      </c>
      <c r="C18" s="32">
        <f>IFERROR(HistoricalFS!C25,0)</f>
        <v>2.0102500988104288E-2</v>
      </c>
      <c r="D18" s="32">
        <f>IFERROR(HistoricalFS!D25,0)</f>
        <v>1.953102621617215E-2</v>
      </c>
      <c r="E18" s="32">
        <f>IFERROR(HistoricalFS!E25,0)</f>
        <v>1.9309826794539322E-2</v>
      </c>
      <c r="F18" s="32">
        <f>IFERROR(HistoricalFS!F25,0)</f>
        <v>2.2227474590011016E-2</v>
      </c>
      <c r="G18" s="32">
        <f>IFERROR(HistoricalFS!G25,0)</f>
        <v>2.1425238713665449E-2</v>
      </c>
      <c r="H18" s="32">
        <f>IFERROR(HistoricalFS!H25,0)</f>
        <v>3.2335540352378074E-2</v>
      </c>
      <c r="I18" s="32">
        <f>IFERROR(HistoricalFS!I25,0)</f>
        <v>3.8617106809326486E-2</v>
      </c>
      <c r="J18" s="32">
        <f>IFERROR(HistoricalFS!J25,0)</f>
        <v>3.6442576011650275E-2</v>
      </c>
      <c r="K18" s="32">
        <f>IFERROR(HistoricalFS!K25,0)</f>
        <v>2.8052374328551871E-2</v>
      </c>
      <c r="L18" s="32">
        <f>IFERROR(HistoricalFS!L25,0)</f>
        <v>2.4878372818372688E-2</v>
      </c>
      <c r="M18" s="31"/>
      <c r="N18" s="32">
        <f t="shared" si="2"/>
        <v>2.6292203762277162E-2</v>
      </c>
      <c r="O18" s="32">
        <f t="shared" si="3"/>
        <v>2.3552923704191854E-2</v>
      </c>
    </row>
    <row r="19" spans="2:15" x14ac:dyDescent="0.25">
      <c r="B19" s="37" t="s">
        <v>131</v>
      </c>
      <c r="C19" s="38">
        <f>C13</f>
        <v>0.14385816468732135</v>
      </c>
      <c r="D19" s="38">
        <f t="shared" ref="D19:L19" si="4">D13</f>
        <v>0.14520251541285292</v>
      </c>
      <c r="E19" s="38">
        <f t="shared" si="4"/>
        <v>0.17163309507276406</v>
      </c>
      <c r="F19" s="38">
        <f t="shared" si="4"/>
        <v>0.17653510591893901</v>
      </c>
      <c r="G19" s="38">
        <f t="shared" si="4"/>
        <v>0.16901135543001156</v>
      </c>
      <c r="H19" s="38">
        <f t="shared" si="4"/>
        <v>0.16334608965739844</v>
      </c>
      <c r="I19" s="38">
        <f t="shared" si="4"/>
        <v>0.16705151833755943</v>
      </c>
      <c r="J19" s="38">
        <f t="shared" si="4"/>
        <v>0.18718598577152007</v>
      </c>
      <c r="K19" s="38">
        <f t="shared" si="4"/>
        <v>0.13701287366053996</v>
      </c>
      <c r="L19" s="38">
        <f t="shared" si="4"/>
        <v>0.15662629292760291</v>
      </c>
      <c r="M19" s="37"/>
      <c r="N19" s="38">
        <f t="shared" si="2"/>
        <v>0.161746299687651</v>
      </c>
      <c r="O19" s="38">
        <f t="shared" si="3"/>
        <v>0.16519880399747894</v>
      </c>
    </row>
    <row r="20" spans="2:15" x14ac:dyDescent="0.25">
      <c r="N20" s="14"/>
      <c r="O20" s="14"/>
    </row>
    <row r="21" spans="2:15" x14ac:dyDescent="0.25">
      <c r="B21" s="35" t="s">
        <v>132</v>
      </c>
      <c r="C21" s="36">
        <f>IFERROR((HistoricalFS!C18-HistoricalFS!C24)/(SUM(HistoricalFS!C47:C49)),0)</f>
        <v>0.40994597014716583</v>
      </c>
      <c r="D21" s="36">
        <f>IFERROR((HistoricalFS!D18-HistoricalFS!D24)/(SUM(HistoricalFS!D47:D49)),0)</f>
        <v>0.38309437208968844</v>
      </c>
      <c r="E21" s="36">
        <f>IFERROR((HistoricalFS!E18-HistoricalFS!E24)/(SUM(HistoricalFS!E47:E49)),0)</f>
        <v>0.35768409093896003</v>
      </c>
      <c r="F21" s="36">
        <f>IFERROR((HistoricalFS!F18-HistoricalFS!F24)/(SUM(HistoricalFS!F47:F49)),0)</f>
        <v>0.32568533713528403</v>
      </c>
      <c r="G21" s="36">
        <f>IFERROR((HistoricalFS!G18-HistoricalFS!G24)/(SUM(HistoricalFS!G47:G49)),0)</f>
        <v>0.31793918820706524</v>
      </c>
      <c r="H21" s="36">
        <f>IFERROR((HistoricalFS!H18-HistoricalFS!H24)/(SUM(HistoricalFS!H47:H49)),0)</f>
        <v>0.29126564505590763</v>
      </c>
      <c r="I21" s="36">
        <f>IFERROR((HistoricalFS!I18-HistoricalFS!I24)/(SUM(HistoricalFS!I47:I49)),0)</f>
        <v>0.30015308490077913</v>
      </c>
      <c r="J21" s="36">
        <f>IFERROR((HistoricalFS!J18-HistoricalFS!J24)/(SUM(HistoricalFS!J47:J49)),0)</f>
        <v>0.29241025338485616</v>
      </c>
      <c r="K21" s="36">
        <f>IFERROR((HistoricalFS!K18-HistoricalFS!K24)/(SUM(HistoricalFS!K47:K49)),0)</f>
        <v>0.2589385678029722</v>
      </c>
      <c r="L21" s="36">
        <f>IFERROR((HistoricalFS!L18-HistoricalFS!L24)/(SUM(HistoricalFS!L47:L49)),0)</f>
        <v>0.30135928613070662</v>
      </c>
      <c r="M21" s="35"/>
      <c r="N21" s="36">
        <f t="shared" si="2"/>
        <v>0.32384757957933852</v>
      </c>
      <c r="O21" s="36">
        <f t="shared" si="3"/>
        <v>0.30964923716888593</v>
      </c>
    </row>
    <row r="22" spans="2:15" x14ac:dyDescent="0.25">
      <c r="B22" s="31" t="s">
        <v>133</v>
      </c>
      <c r="C22" s="32">
        <f>IFERROR(HistoricalFS!C33/(SUM(HistoricalFS!C47:C48)),0)</f>
        <v>0.28186134946846209</v>
      </c>
      <c r="D22" s="32">
        <f>IFERROR(HistoricalFS!D33/(SUM(HistoricalFS!D47:D48)),0)</f>
        <v>0.27100220143557213</v>
      </c>
      <c r="E22" s="32">
        <f>IFERROR(HistoricalFS!E33/(SUM(HistoricalFS!E47:E48)),0)</f>
        <v>0.23846941371562763</v>
      </c>
      <c r="F22" s="32">
        <f>IFERROR(HistoricalFS!F33/(SUM(HistoricalFS!F47:F48)),0)</f>
        <v>0.22072255122049375</v>
      </c>
      <c r="G22" s="32">
        <f>IFERROR(HistoricalFS!G33/(SUM(HistoricalFS!G47:G48)),0)</f>
        <v>0.20940093196024379</v>
      </c>
      <c r="H22" s="32">
        <f>IFERROR(HistoricalFS!H33/(SUM(HistoricalFS!H47:H48)),0)</f>
        <v>0.20424051401449772</v>
      </c>
      <c r="I22" s="32">
        <f>IFERROR(HistoricalFS!I33/(SUM(HistoricalFS!I47:I48)),0)</f>
        <v>0.23880570494444295</v>
      </c>
      <c r="J22" s="32">
        <f>IFERROR(HistoricalFS!J33/(SUM(HistoricalFS!J47:J48)),0)</f>
        <v>0.22450686342414569</v>
      </c>
      <c r="K22" s="32">
        <f>IFERROR(HistoricalFS!K33/(SUM(HistoricalFS!K47:K48)),0)</f>
        <v>0.20192722617865025</v>
      </c>
      <c r="L22" s="32">
        <f>IFERROR(HistoricalFS!L33/(SUM(HistoricalFS!L47:L48)),0)</f>
        <v>0.23535616983997826</v>
      </c>
      <c r="M22" s="31"/>
      <c r="N22" s="32">
        <f t="shared" si="2"/>
        <v>0.23262929262021143</v>
      </c>
      <c r="O22" s="32">
        <f t="shared" si="3"/>
        <v>0.22993151663206196</v>
      </c>
    </row>
    <row r="23" spans="2:15" x14ac:dyDescent="0.25">
      <c r="B23" s="31" t="s">
        <v>134</v>
      </c>
      <c r="C23" s="32">
        <f>IFERROR(HistoricalFS!C44,0)</f>
        <v>0.55346508563899932</v>
      </c>
      <c r="D23" s="32">
        <f>IFERROR(HistoricalFS!D44,0)</f>
        <v>0.54472879496416871</v>
      </c>
      <c r="E23" s="32">
        <f>IFERROR(HistoricalFS!E44,0)</f>
        <v>0.53765175421119982</v>
      </c>
      <c r="F23" s="32">
        <f>IFERROR(HistoricalFS!F44,0)</f>
        <v>0.4113385169958591</v>
      </c>
      <c r="G23" s="32">
        <f>IFERROR(HistoricalFS!G44,0)</f>
        <v>0.52615112060007641</v>
      </c>
      <c r="H23" s="32">
        <f>IFERROR(HistoricalFS!H44,0)</f>
        <v>0.47930743898214867</v>
      </c>
      <c r="I23" s="32">
        <f>IFERROR(HistoricalFS!I44,0)</f>
        <v>0.5241945484759043</v>
      </c>
      <c r="J23" s="32">
        <f>IFERROR(HistoricalFS!J44,0)</f>
        <v>0.40448332231922424</v>
      </c>
      <c r="K23" s="32">
        <f>IFERROR(HistoricalFS!K44,0)</f>
        <v>0.34137106345444268</v>
      </c>
      <c r="L23" s="32">
        <f>IFERROR(HistoricalFS!L44,0)</f>
        <v>0.34632439483829069</v>
      </c>
      <c r="M23" s="31"/>
      <c r="N23" s="32">
        <f t="shared" si="2"/>
        <v>0.46690160404803144</v>
      </c>
      <c r="O23" s="32">
        <f t="shared" si="3"/>
        <v>0.50175099372902654</v>
      </c>
    </row>
    <row r="24" spans="2:15" x14ac:dyDescent="0.25">
      <c r="B24" s="31" t="s">
        <v>135</v>
      </c>
      <c r="C24" s="32">
        <f>C23*C22</f>
        <v>0.15600041592188629</v>
      </c>
      <c r="D24" s="32">
        <f t="shared" ref="D24:L24" si="5">D23*D22</f>
        <v>0.14762270262063612</v>
      </c>
      <c r="E24" s="32">
        <f t="shared" si="5"/>
        <v>0.12821349860992354</v>
      </c>
      <c r="F24" s="32">
        <f t="shared" si="5"/>
        <v>9.0791686886580444E-2</v>
      </c>
      <c r="G24" s="32">
        <f t="shared" si="5"/>
        <v>0.11017653500558262</v>
      </c>
      <c r="H24" s="32">
        <f t="shared" si="5"/>
        <v>9.789399770868655E-2</v>
      </c>
      <c r="I24" s="32">
        <f t="shared" si="5"/>
        <v>0.1251806486768223</v>
      </c>
      <c r="J24" s="32">
        <f t="shared" si="5"/>
        <v>9.0809282001266783E-2</v>
      </c>
      <c r="K24" s="32">
        <f t="shared" si="5"/>
        <v>6.893211194101162E-2</v>
      </c>
      <c r="L24" s="32">
        <f t="shared" si="5"/>
        <v>8.1509583091288432E-2</v>
      </c>
      <c r="M24" s="31"/>
      <c r="N24" s="32">
        <f t="shared" si="2"/>
        <v>0.10971304624636849</v>
      </c>
      <c r="O24" s="32">
        <f t="shared" si="3"/>
        <v>0.10403526635713459</v>
      </c>
    </row>
    <row r="25" spans="2:15" x14ac:dyDescent="0.25">
      <c r="B25" s="37" t="s">
        <v>136</v>
      </c>
      <c r="C25" s="39">
        <f>IFERROR((HistoricalFS!C18-HistoricalFS!C24)/HistoricalFS!C21,0)</f>
        <v>36.632631798291335</v>
      </c>
      <c r="D25" s="39">
        <f>IFERROR((HistoricalFS!D18-HistoricalFS!D24)/HistoricalFS!D21,0)</f>
        <v>46.80326704545454</v>
      </c>
      <c r="E25" s="39">
        <f>IFERROR((HistoricalFS!E18-HistoricalFS!E24)/HistoricalFS!E21,0)</f>
        <v>49.988979591836767</v>
      </c>
      <c r="F25" s="39">
        <f>IFERROR((HistoricalFS!F18-HistoricalFS!F24)/HistoricalFS!F21,0)</f>
        <v>71.228770425930904</v>
      </c>
      <c r="G25" s="39">
        <f>IFERROR((HistoricalFS!G18-HistoricalFS!G24)/HistoricalFS!G21,0)</f>
        <v>68.568603809983145</v>
      </c>
      <c r="H25" s="39">
        <f>IFERROR((HistoricalFS!H18-HistoricalFS!H24)/HistoricalFS!H21,0)</f>
        <v>28.449352765456698</v>
      </c>
      <c r="I25" s="39">
        <f>IFERROR((HistoricalFS!I18-HistoricalFS!I24)/HistoricalFS!I21,0)</f>
        <v>32.994429785986497</v>
      </c>
      <c r="J25" s="39">
        <f>IFERROR((HistoricalFS!J18-HistoricalFS!J24)/HistoricalFS!J21,0)</f>
        <v>44.355887809669362</v>
      </c>
      <c r="K25" s="39">
        <f>IFERROR((HistoricalFS!K18-HistoricalFS!K24)/HistoricalFS!K21,0)</f>
        <v>41.790692799496895</v>
      </c>
      <c r="L25" s="39">
        <f>IFERROR((HistoricalFS!L18-HistoricalFS!L24)/HistoricalFS!L21,0)</f>
        <v>37.39577708549669</v>
      </c>
      <c r="M25" s="37"/>
      <c r="N25" s="39">
        <f t="shared" si="2"/>
        <v>45.820839291760272</v>
      </c>
      <c r="O25" s="39">
        <f t="shared" si="3"/>
        <v>43.073290304583125</v>
      </c>
    </row>
    <row r="26" spans="2:15" x14ac:dyDescent="0.25">
      <c r="C26" s="28"/>
      <c r="D26" s="28"/>
      <c r="E26" s="28"/>
      <c r="F26" s="28"/>
      <c r="G26" s="28"/>
      <c r="H26" s="28"/>
      <c r="I26" s="28"/>
      <c r="J26" s="28"/>
      <c r="K26" s="28"/>
      <c r="L26" s="28"/>
      <c r="N26" s="14"/>
      <c r="O26" s="14"/>
    </row>
    <row r="27" spans="2:15" x14ac:dyDescent="0.25">
      <c r="B27" s="35" t="s">
        <v>137</v>
      </c>
      <c r="C27" s="40">
        <f>IFERROR(HistoricalFS!C6/HistoricalFS!C59,0)</f>
        <v>11.006367648383321</v>
      </c>
      <c r="D27" s="40">
        <f>IFERROR(HistoricalFS!D6/HistoricalFS!D59,0)</f>
        <v>11.518150363345658</v>
      </c>
      <c r="E27" s="40">
        <f>IFERROR(HistoricalFS!E6/HistoricalFS!E59,0)</f>
        <v>12.024780088301709</v>
      </c>
      <c r="F27" s="40">
        <f>IFERROR(HistoricalFS!F6/HistoricalFS!F59,0)</f>
        <v>10.41199364025992</v>
      </c>
      <c r="G27" s="40">
        <f>IFERROR(HistoricalFS!G6/HistoricalFS!G59,0)</f>
        <v>9.7216331624899599</v>
      </c>
      <c r="H27" s="40">
        <f>IFERROR(HistoricalFS!H6/HistoricalFS!H59,0)</f>
        <v>10.08746782150965</v>
      </c>
      <c r="I27" s="40">
        <f>IFERROR(HistoricalFS!I6/HistoricalFS!I59,0)</f>
        <v>11.258369447755706</v>
      </c>
      <c r="J27" s="40">
        <f>IFERROR(HistoricalFS!J6/HistoricalFS!J59,0)</f>
        <v>8.3441089552181449</v>
      </c>
      <c r="K27" s="40">
        <f>IFERROR(HistoricalFS!K6/HistoricalFS!K59,0)</f>
        <v>7.5169136032070751</v>
      </c>
      <c r="L27" s="40">
        <f>IFERROR(HistoricalFS!L6/HistoricalFS!L59,0)</f>
        <v>7.4377908707035241</v>
      </c>
      <c r="M27" s="35"/>
      <c r="N27" s="40">
        <f>IFERROR(AVERAGE(C27:L27),0)</f>
        <v>9.9327575601174676</v>
      </c>
      <c r="O27" s="40">
        <f t="shared" si="3"/>
        <v>10.249730730884785</v>
      </c>
    </row>
    <row r="28" spans="2:15" x14ac:dyDescent="0.25">
      <c r="B28" s="31" t="s">
        <v>138</v>
      </c>
      <c r="C28" s="41">
        <f>IFERROR(HistoricalFS!C6/HistoricalFS!C50,0)</f>
        <v>3.2269007639231799</v>
      </c>
      <c r="D28" s="41">
        <f>IFERROR(HistoricalFS!D6/HistoricalFS!D50,0)</f>
        <v>3.6268963257564661</v>
      </c>
      <c r="E28" s="41">
        <f>IFERROR(HistoricalFS!E6/HistoricalFS!E50,0)</f>
        <v>3.8458091254998759</v>
      </c>
      <c r="F28" s="41">
        <f>IFERROR(HistoricalFS!F6/HistoricalFS!F50,0)</f>
        <v>3.5515520070927336</v>
      </c>
      <c r="G28" s="41">
        <f>IFERROR(HistoricalFS!G6/HistoricalFS!G50,0)</f>
        <v>3.4907008975438916</v>
      </c>
      <c r="H28" s="41">
        <f>IFERROR(HistoricalFS!H6/HistoricalFS!H50,0)</f>
        <v>3.5246789980746303</v>
      </c>
      <c r="I28" s="41">
        <f>IFERROR(HistoricalFS!I6/HistoricalFS!I50,0)</f>
        <v>4.1337632508472559</v>
      </c>
      <c r="J28" s="41">
        <f>IFERROR(HistoricalFS!J6/HistoricalFS!J50,0)</f>
        <v>3.3632319433451108</v>
      </c>
      <c r="K28" s="41">
        <f>IFERROR(HistoricalFS!K6/HistoricalFS!K50,0)</f>
        <v>3.8493807531491444</v>
      </c>
      <c r="L28" s="41">
        <f>IFERROR(HistoricalFS!L6/HistoricalFS!L50,0)</f>
        <v>4.3909450402827428</v>
      </c>
      <c r="M28" s="31"/>
      <c r="N28" s="40">
        <f t="shared" si="2"/>
        <v>3.7003859105515033</v>
      </c>
      <c r="O28" s="40">
        <f t="shared" si="3"/>
        <v>3.5892241664246001</v>
      </c>
    </row>
    <row r="29" spans="2:15" x14ac:dyDescent="0.25">
      <c r="B29" s="31" t="s">
        <v>139</v>
      </c>
      <c r="C29" s="41">
        <f>IFERROR(HistoricalFS!C6/HistoricalFS!C60,0)</f>
        <v>5.9039596880948473</v>
      </c>
      <c r="D29" s="41">
        <f>IFERROR(HistoricalFS!D6/HistoricalFS!D60,0)</f>
        <v>6.0283991286329099</v>
      </c>
      <c r="E29" s="41">
        <f>IFERROR(HistoricalFS!E6/HistoricalFS!E60,0)</f>
        <v>7.142029986388021</v>
      </c>
      <c r="F29" s="41">
        <f>IFERROR(HistoricalFS!F6/HistoricalFS!F60,0)</f>
        <v>5.7336635020213631</v>
      </c>
      <c r="G29" s="41">
        <f>IFERROR(HistoricalFS!G6/HistoricalFS!G60,0)</f>
        <v>6.3290398787199385</v>
      </c>
      <c r="H29" s="41">
        <f>IFERROR(HistoricalFS!H6/HistoricalFS!H60,0)</f>
        <v>6.1082492555224679</v>
      </c>
      <c r="I29" s="41">
        <f>IFERROR(HistoricalFS!I6/HistoricalFS!I60,0)</f>
        <v>5.9623548222466747</v>
      </c>
      <c r="J29" s="41">
        <f>IFERROR(HistoricalFS!J6/HistoricalFS!J60,0)</f>
        <v>5.7159979992628864</v>
      </c>
      <c r="K29" s="41">
        <f>IFERROR(HistoricalFS!K6/HistoricalFS!K60,0)</f>
        <v>4.7296236945350056</v>
      </c>
      <c r="L29" s="41">
        <f>IFERROR(HistoricalFS!L6/HistoricalFS!L60,0)</f>
        <v>5.5531458915667296</v>
      </c>
      <c r="M29" s="31"/>
      <c r="N29" s="40">
        <f t="shared" si="2"/>
        <v>5.9206463846990847</v>
      </c>
      <c r="O29" s="40">
        <f t="shared" si="3"/>
        <v>5.9331572551707605</v>
      </c>
    </row>
    <row r="30" spans="2:15" x14ac:dyDescent="0.25">
      <c r="B30" s="31" t="s">
        <v>140</v>
      </c>
      <c r="C30" s="41">
        <f>IFERROR(HistoricalFS!C6/(SUM(HistoricalFS!C47:C48)),0)</f>
        <v>3.02542817672719</v>
      </c>
      <c r="D30" s="41">
        <f>IFERROR(HistoricalFS!D6/(SUM(HistoricalFS!D47:D48)),0)</f>
        <v>2.870988284314139</v>
      </c>
      <c r="E30" s="41">
        <f>IFERROR(HistoricalFS!E6/(SUM(HistoricalFS!E47:E48)),0)</f>
        <v>2.1872618708255556</v>
      </c>
      <c r="F30" s="41">
        <f>IFERROR(HistoricalFS!F6/(SUM(HistoricalFS!F47:F48)),0)</f>
        <v>1.9808269188533763</v>
      </c>
      <c r="G30" s="41">
        <f>IFERROR(HistoricalFS!G6/(SUM(HistoricalFS!G47:G48)),0)</f>
        <v>2.0004863125027494</v>
      </c>
      <c r="H30" s="41">
        <f>IFERROR(HistoricalFS!H6/(SUM(HistoricalFS!H47:H48)),0)</f>
        <v>2.0315747237488848</v>
      </c>
      <c r="I30" s="41">
        <f>IFERROR(HistoricalFS!I6/(SUM(HistoricalFS!I47:I48)),0)</f>
        <v>1.995156048867935</v>
      </c>
      <c r="J30" s="41">
        <f>IFERROR(HistoricalFS!J6/(SUM(HistoricalFS!J47:J48)),0)</f>
        <v>1.6954785499937921</v>
      </c>
      <c r="K30" s="41">
        <f>IFERROR(HistoricalFS!K6/(SUM(HistoricalFS!K47:K48)),0)</f>
        <v>2.1070233919991659</v>
      </c>
      <c r="L30" s="41">
        <f>IFERROR(HistoricalFS!L6/(SUM(HistoricalFS!L47:L48)),0)</f>
        <v>2.1565841661857039</v>
      </c>
      <c r="M30" s="31"/>
      <c r="N30" s="40">
        <f t="shared" si="2"/>
        <v>2.2050808444018495</v>
      </c>
      <c r="O30" s="40">
        <f t="shared" si="3"/>
        <v>2.0692990578740256</v>
      </c>
    </row>
    <row r="31" spans="2:15" x14ac:dyDescent="0.25">
      <c r="B31" s="37" t="s">
        <v>141</v>
      </c>
      <c r="C31" s="39">
        <f>IFERROR(HistoricalFS!C6/HistoricalFS!C53,0)</f>
        <v>4.7706376533233401</v>
      </c>
      <c r="D31" s="39">
        <f>IFERROR(HistoricalFS!D6/HistoricalFS!D53,0)</f>
        <v>5.1184418279424371</v>
      </c>
      <c r="E31" s="39">
        <f>IFERROR(HistoricalFS!E6/HistoricalFS!E53,0)</f>
        <v>4.1774086378737545</v>
      </c>
      <c r="F31" s="39">
        <f>IFERROR(HistoricalFS!F6/HistoricalFS!F53,0)</f>
        <v>4.5590724451682032</v>
      </c>
      <c r="G31" s="39">
        <f>IFERROR(HistoricalFS!G6/HistoricalFS!G53,0)</f>
        <v>4.50789606241828</v>
      </c>
      <c r="H31" s="39">
        <f>IFERROR(HistoricalFS!H6/HistoricalFS!H53,0)</f>
        <v>2.9615873631583485</v>
      </c>
      <c r="I31" s="39">
        <f>IFERROR(HistoricalFS!I6/HistoricalFS!I53,0)</f>
        <v>3.2222976861794139</v>
      </c>
      <c r="J31" s="39">
        <f>IFERROR(HistoricalFS!J6/HistoricalFS!J53,0)</f>
        <v>3.7061903006220001</v>
      </c>
      <c r="K31" s="39">
        <f>IFERROR(HistoricalFS!K6/HistoricalFS!K53,0)</f>
        <v>5.2728689305787571</v>
      </c>
      <c r="L31" s="39">
        <f>IFERROR(HistoricalFS!L6/HistoricalFS!L53,0)</f>
        <v>5.9767488207179316</v>
      </c>
      <c r="M31" s="37"/>
      <c r="N31" s="40">
        <f t="shared" si="2"/>
        <v>4.4273149727982464</v>
      </c>
      <c r="O31" s="40">
        <f t="shared" si="3"/>
        <v>4.533484253793242</v>
      </c>
    </row>
    <row r="32" spans="2:15" x14ac:dyDescent="0.25">
      <c r="N32" s="14"/>
      <c r="O32" s="14"/>
    </row>
    <row r="33" spans="2:15" x14ac:dyDescent="0.25">
      <c r="B33" s="42" t="s">
        <v>142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6"/>
      <c r="O33" s="36"/>
    </row>
    <row r="34" spans="2:15" x14ac:dyDescent="0.25">
      <c r="B34" s="31" t="s">
        <v>143</v>
      </c>
      <c r="C34" s="43">
        <f>IFERROR(365/C27,0)</f>
        <v>33.162621099033821</v>
      </c>
      <c r="D34" s="43">
        <f t="shared" ref="D34:L34" si="6">IFERROR(365/D27,0)</f>
        <v>31.689115742189273</v>
      </c>
      <c r="E34" s="43">
        <f t="shared" si="6"/>
        <v>30.353985463325834</v>
      </c>
      <c r="F34" s="43">
        <f t="shared" si="6"/>
        <v>35.055726368162503</v>
      </c>
      <c r="G34" s="43">
        <f t="shared" si="6"/>
        <v>37.545131964896534</v>
      </c>
      <c r="H34" s="43">
        <f t="shared" si="6"/>
        <v>36.183510714324697</v>
      </c>
      <c r="I34" s="43">
        <f t="shared" si="6"/>
        <v>32.420325313872226</v>
      </c>
      <c r="J34" s="43">
        <f t="shared" si="6"/>
        <v>43.743436472235949</v>
      </c>
      <c r="K34" s="43">
        <f t="shared" si="6"/>
        <v>48.557163121347244</v>
      </c>
      <c r="L34" s="43">
        <f t="shared" si="6"/>
        <v>49.073711044725229</v>
      </c>
      <c r="M34" s="31"/>
      <c r="N34" s="43">
        <f t="shared" si="2"/>
        <v>37.77847273041133</v>
      </c>
      <c r="O34" s="43">
        <f t="shared" si="3"/>
        <v>35.619618541243597</v>
      </c>
    </row>
    <row r="35" spans="2:15" x14ac:dyDescent="0.25">
      <c r="B35" s="31" t="s">
        <v>144</v>
      </c>
      <c r="C35" s="43">
        <f>IFERROR(365/C28,0)</f>
        <v>113.11162837131772</v>
      </c>
      <c r="D35" s="43">
        <f t="shared" ref="D35:L35" si="7">IFERROR(365/D28,0)</f>
        <v>100.63700950257284</v>
      </c>
      <c r="E35" s="43">
        <f t="shared" si="7"/>
        <v>94.908506399822301</v>
      </c>
      <c r="F35" s="43">
        <f t="shared" si="7"/>
        <v>102.77197103437196</v>
      </c>
      <c r="G35" s="43">
        <f t="shared" si="7"/>
        <v>104.56352770207822</v>
      </c>
      <c r="H35" s="43">
        <f t="shared" si="7"/>
        <v>103.55552951045547</v>
      </c>
      <c r="I35" s="43">
        <f t="shared" si="7"/>
        <v>88.297267610860303</v>
      </c>
      <c r="J35" s="43">
        <f t="shared" si="7"/>
        <v>108.52656199410578</v>
      </c>
      <c r="K35" s="43">
        <f t="shared" si="7"/>
        <v>94.820446042235943</v>
      </c>
      <c r="L35" s="43">
        <f t="shared" si="7"/>
        <v>83.125613427513272</v>
      </c>
      <c r="M35" s="31"/>
      <c r="N35" s="43">
        <f t="shared" si="2"/>
        <v>99.431806159533394</v>
      </c>
      <c r="O35" s="43">
        <f t="shared" si="3"/>
        <v>101.7044902684724</v>
      </c>
    </row>
    <row r="36" spans="2:15" x14ac:dyDescent="0.25">
      <c r="B36" s="31" t="s">
        <v>145</v>
      </c>
      <c r="C36" s="43">
        <f>IFERROR(365/C29,0)</f>
        <v>61.822915345443711</v>
      </c>
      <c r="D36" s="43">
        <f t="shared" ref="D36:L36" si="8">IFERROR(365/D29,0)</f>
        <v>60.546754156732959</v>
      </c>
      <c r="E36" s="43">
        <f t="shared" si="8"/>
        <v>51.105918162714616</v>
      </c>
      <c r="F36" s="43">
        <f t="shared" si="8"/>
        <v>63.659124723891068</v>
      </c>
      <c r="G36" s="43">
        <f t="shared" si="8"/>
        <v>57.670674698580349</v>
      </c>
      <c r="H36" s="43">
        <f t="shared" si="8"/>
        <v>59.755256331428114</v>
      </c>
      <c r="I36" s="43">
        <f t="shared" si="8"/>
        <v>61.217423464654587</v>
      </c>
      <c r="J36" s="43">
        <f t="shared" si="8"/>
        <v>63.855865598110604</v>
      </c>
      <c r="K36" s="43">
        <f t="shared" si="8"/>
        <v>77.173158706421162</v>
      </c>
      <c r="L36" s="43">
        <f t="shared" si="8"/>
        <v>65.728509051834251</v>
      </c>
      <c r="M36" s="31"/>
      <c r="N36" s="43">
        <f t="shared" si="2"/>
        <v>62.253560023981152</v>
      </c>
      <c r="O36" s="43">
        <f t="shared" si="3"/>
        <v>61.520169405049145</v>
      </c>
    </row>
    <row r="37" spans="2:15" x14ac:dyDescent="0.25">
      <c r="B37" s="37" t="s">
        <v>146</v>
      </c>
      <c r="C37" s="44">
        <f>IFERROR(SUM(C34,C36)-C35,0)</f>
        <v>-18.126091926840189</v>
      </c>
      <c r="D37" s="44">
        <f t="shared" ref="D37:L37" si="9">IFERROR(SUM(D34,D36)-D35,0)</f>
        <v>-8.4011396036506056</v>
      </c>
      <c r="E37" s="44">
        <f t="shared" si="9"/>
        <v>-13.448602773781857</v>
      </c>
      <c r="F37" s="44">
        <f t="shared" si="9"/>
        <v>-4.0571199423183799</v>
      </c>
      <c r="G37" s="44">
        <f t="shared" si="9"/>
        <v>-9.3477210386013354</v>
      </c>
      <c r="H37" s="44">
        <f t="shared" si="9"/>
        <v>-7.6167624647026599</v>
      </c>
      <c r="I37" s="44">
        <f t="shared" si="9"/>
        <v>5.3404811676665105</v>
      </c>
      <c r="J37" s="44">
        <f t="shared" si="9"/>
        <v>-0.92725992375922317</v>
      </c>
      <c r="K37" s="44">
        <f t="shared" si="9"/>
        <v>30.909875785532464</v>
      </c>
      <c r="L37" s="44">
        <f t="shared" si="9"/>
        <v>31.676606669046208</v>
      </c>
      <c r="M37" s="37"/>
      <c r="N37" s="44">
        <f t="shared" si="2"/>
        <v>0.60022659485909313</v>
      </c>
      <c r="O37" s="44">
        <f t="shared" si="3"/>
        <v>-5.8369412035105199</v>
      </c>
    </row>
    <row r="38" spans="2:15" x14ac:dyDescent="0.25">
      <c r="N38" s="14"/>
      <c r="O38" s="14"/>
    </row>
    <row r="39" spans="2:15" x14ac:dyDescent="0.25">
      <c r="B39" s="35" t="s">
        <v>147</v>
      </c>
      <c r="C39" s="36">
        <f>IFERROR(HistoricalFS!C78/HistoricalFS!C6,0)</f>
        <v>0.10106076984575753</v>
      </c>
      <c r="D39" s="36">
        <f>IFERROR(HistoricalFS!D78/HistoricalFS!D6,0)</f>
        <v>5.4203885933871258E-2</v>
      </c>
      <c r="E39" s="36">
        <f>IFERROR(HistoricalFS!E78/HistoricalFS!E6,0)</f>
        <v>0.17111037459998921</v>
      </c>
      <c r="F39" s="36">
        <f>IFERROR(HistoricalFS!F78/HistoricalFS!F6,0)</f>
        <v>6.1412867755190385E-2</v>
      </c>
      <c r="G39" s="36">
        <f>IFERROR(HistoricalFS!G78/HistoricalFS!G6,0)</f>
        <v>0.12083532694782327</v>
      </c>
      <c r="H39" s="36">
        <f>IFERROR(HistoricalFS!H78/HistoricalFS!H6,0)</f>
        <v>0.10701590893616622</v>
      </c>
      <c r="I39" s="36">
        <f>IFERROR(HistoricalFS!I78/HistoricalFS!I6,0)</f>
        <v>0.13388583091100253</v>
      </c>
      <c r="J39" s="36">
        <f>IFERROR(HistoricalFS!J78/HistoricalFS!J6,0)</f>
        <v>0.16013603042262187</v>
      </c>
      <c r="K39" s="36">
        <f>IFERROR(HistoricalFS!K78/HistoricalFS!K6,0)</f>
        <v>-6.2127851420968425E-2</v>
      </c>
      <c r="L39" s="36">
        <f>IFERROR(HistoricalFS!L78/HistoricalFS!L6,0)</f>
        <v>9.9221220699367535E-2</v>
      </c>
      <c r="M39" s="35"/>
      <c r="N39" s="36">
        <f t="shared" si="2"/>
        <v>9.467543646308213E-2</v>
      </c>
      <c r="O39" s="36">
        <f t="shared" si="3"/>
        <v>0.10403833939096188</v>
      </c>
    </row>
    <row r="40" spans="2:15" x14ac:dyDescent="0.25">
      <c r="B40" s="31" t="s">
        <v>148</v>
      </c>
      <c r="C40" s="32">
        <f>IFERROR(HistoricalFS!C78/HistoricalFS!C64,0)</f>
        <v>0.15293360081234367</v>
      </c>
      <c r="D40" s="32">
        <f>IFERROR(HistoricalFS!D78/HistoricalFS!D64,0)</f>
        <v>8.278647147905098E-2</v>
      </c>
      <c r="E40" s="32">
        <f>IFERROR(HistoricalFS!E78/HistoricalFS!E64,0)</f>
        <v>0.2312712436653746</v>
      </c>
      <c r="F40" s="32">
        <f>IFERROR(HistoricalFS!F78/HistoricalFS!F64,0)</f>
        <v>7.4565564896627953E-2</v>
      </c>
      <c r="G40" s="32">
        <f>IFERROR(HistoricalFS!G78/HistoricalFS!G64,0)</f>
        <v>0.14770973620043767</v>
      </c>
      <c r="H40" s="32">
        <f>IFERROR(HistoricalFS!H78/HistoricalFS!H64,0)</f>
        <v>0.12671673793329247</v>
      </c>
      <c r="I40" s="32">
        <f>IFERROR(HistoricalFS!I78/HistoricalFS!I64,0)</f>
        <v>0.16767908231332687</v>
      </c>
      <c r="J40" s="32">
        <f>IFERROR(HistoricalFS!J78/HistoricalFS!J64,0)</f>
        <v>0.17081512762744322</v>
      </c>
      <c r="K40" s="32">
        <f>IFERROR(HistoricalFS!K78/HistoricalFS!K64,0)</f>
        <v>-7.8751029578242066E-2</v>
      </c>
      <c r="L40" s="32">
        <f>IFERROR(HistoricalFS!L78/HistoricalFS!L64,0)</f>
        <v>0.13274200687139656</v>
      </c>
      <c r="M40" s="31"/>
      <c r="N40" s="32">
        <f t="shared" si="2"/>
        <v>0.12084685422210517</v>
      </c>
      <c r="O40" s="32">
        <f t="shared" si="3"/>
        <v>0.14022587153591712</v>
      </c>
    </row>
    <row r="41" spans="2:15" x14ac:dyDescent="0.25">
      <c r="B41" s="37" t="s">
        <v>149</v>
      </c>
      <c r="C41" s="38">
        <f>IFERROR(HistoricalFS!C78/HistoricalFS!C49,0)</f>
        <v>4.9568533012241618</v>
      </c>
      <c r="D41" s="38">
        <f>IFERROR(HistoricalFS!D78/HistoricalFS!D49,0)</f>
        <v>1.7648324843962981</v>
      </c>
      <c r="E41" s="38">
        <f>IFERROR(HistoricalFS!E78/HistoricalFS!E49,0)</f>
        <v>7.5535896563456957</v>
      </c>
      <c r="F41" s="38">
        <f>IFERROR(HistoricalFS!F78/HistoricalFS!F49,0)</f>
        <v>1.6507834529035941</v>
      </c>
      <c r="G41" s="38">
        <f>IFERROR(HistoricalFS!G78/HistoricalFS!G49,0)</f>
        <v>3.8111842228596071</v>
      </c>
      <c r="H41" s="38">
        <f>IFERROR(HistoricalFS!H78/HistoricalFS!H49,0)</f>
        <v>1.5603213094877237</v>
      </c>
      <c r="I41" s="38">
        <f>IFERROR(HistoricalFS!I78/HistoricalFS!I49,0)</f>
        <v>2.4193115780062584</v>
      </c>
      <c r="J41" s="38">
        <f>IFERROR(HistoricalFS!J78/HistoricalFS!J49,0)</f>
        <v>3.1808035714285716</v>
      </c>
      <c r="K41" s="38">
        <f>IFERROR(HistoricalFS!K78/HistoricalFS!K49,0)</f>
        <v>-1.1393426093970558</v>
      </c>
      <c r="L41" s="38">
        <f>IFERROR(HistoricalFS!L78/HistoricalFS!L49,0)</f>
        <v>1.7706533100143846</v>
      </c>
      <c r="M41" s="37"/>
      <c r="N41" s="38">
        <f t="shared" si="2"/>
        <v>2.7528990277269241</v>
      </c>
      <c r="O41" s="38">
        <f t="shared" si="3"/>
        <v>2.0949824440103217</v>
      </c>
    </row>
    <row r="46" spans="2:15" x14ac:dyDescent="0.25">
      <c r="E46" s="41"/>
    </row>
    <row r="47" spans="2:15" x14ac:dyDescent="0.25">
      <c r="E47" s="31"/>
    </row>
  </sheetData>
  <mergeCells count="1">
    <mergeCell ref="B2:O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  <x14:sparkline>
              <xm:f>'Ratio Analysis'!C41:L41</xm:f>
              <xm:sqref>M41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0"/>
  <sheetViews>
    <sheetView showGridLines="0" workbookViewId="0">
      <selection activeCell="R5" sqref="R5"/>
    </sheetView>
  </sheetViews>
  <sheetFormatPr defaultRowHeight="15" x14ac:dyDescent="0.25"/>
  <cols>
    <col min="1" max="1" width="1.85546875" customWidth="1"/>
    <col min="2" max="2" width="11.7109375" bestFit="1" customWidth="1"/>
    <col min="3" max="3" width="6.7109375" bestFit="1" customWidth="1"/>
    <col min="4" max="4" width="9.7109375" bestFit="1" customWidth="1"/>
    <col min="5" max="5" width="12.5703125" bestFit="1" customWidth="1"/>
    <col min="6" max="6" width="2.7109375" customWidth="1"/>
    <col min="7" max="7" width="11.7109375" bestFit="1" customWidth="1"/>
    <col min="8" max="8" width="6" bestFit="1" customWidth="1"/>
    <col min="9" max="9" width="9" bestFit="1" customWidth="1"/>
    <col min="10" max="10" width="14.42578125" bestFit="1" customWidth="1"/>
    <col min="11" max="11" width="2.7109375" customWidth="1"/>
    <col min="12" max="12" width="12.28515625" customWidth="1"/>
    <col min="13" max="13" width="7.5703125" customWidth="1"/>
    <col min="14" max="14" width="8.85546875" customWidth="1"/>
    <col min="15" max="15" width="11.140625" bestFit="1" customWidth="1"/>
  </cols>
  <sheetData>
    <row r="2" spans="2:15" ht="18.75" x14ac:dyDescent="0.3">
      <c r="B2" s="237" t="s">
        <v>379</v>
      </c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</row>
    <row r="4" spans="2:15" x14ac:dyDescent="0.25">
      <c r="B4" s="235" t="str">
        <f>'Data Sheet'!B1&amp;" - "&amp;'Data Sheet'!A17&amp;" Forecasting "</f>
        <v xml:space="preserve">ASIAN PAINTS LTD - Sales Forecasting </v>
      </c>
      <c r="C4" s="235"/>
      <c r="D4" s="235"/>
      <c r="E4" s="235"/>
      <c r="G4" s="236" t="str">
        <f>'Data Sheet'!B1&amp;" - "&amp;HistoricalFS!B18&amp;" Forecasting "</f>
        <v xml:space="preserve">ASIAN PAINTS LTD - EBITDA Forecasting </v>
      </c>
      <c r="H4" s="236"/>
      <c r="I4" s="236"/>
      <c r="J4" s="236"/>
      <c r="L4" s="234" t="str">
        <f>'Data Sheet'!B1&amp;" - "&amp;HistoricalFS!B38&amp;" Forecasting "</f>
        <v xml:space="preserve">ASIAN PAINTS LTD - EPS Forecasting </v>
      </c>
      <c r="M4" s="234"/>
      <c r="N4" s="234"/>
      <c r="O4" s="234"/>
    </row>
    <row r="5" spans="2:15" x14ac:dyDescent="0.25">
      <c r="B5" s="52" t="s">
        <v>153</v>
      </c>
      <c r="C5" s="52" t="s">
        <v>154</v>
      </c>
      <c r="D5" s="53" t="s">
        <v>33</v>
      </c>
      <c r="E5" s="52" t="s">
        <v>119</v>
      </c>
      <c r="G5" s="52" t="s">
        <v>153</v>
      </c>
      <c r="H5" s="52" t="s">
        <v>154</v>
      </c>
      <c r="I5" s="52" t="s">
        <v>64</v>
      </c>
      <c r="J5" s="52" t="s">
        <v>121</v>
      </c>
      <c r="L5" s="56" t="s">
        <v>153</v>
      </c>
      <c r="M5" s="61" t="s">
        <v>154</v>
      </c>
      <c r="N5" s="61" t="s">
        <v>75</v>
      </c>
      <c r="O5" s="56" t="s">
        <v>155</v>
      </c>
    </row>
    <row r="6" spans="2:15" x14ac:dyDescent="0.25">
      <c r="B6" s="51">
        <v>1</v>
      </c>
      <c r="C6" s="54">
        <f t="array" ref="C6:C15">TRANSPOSE('Data Sheet'!B16:K16)</f>
        <v>41729</v>
      </c>
      <c r="D6" s="72">
        <f t="array" ref="D6:D15">TRANSPOSE('Data Sheet'!B17:K17)</f>
        <v>12220.37</v>
      </c>
      <c r="G6" s="51">
        <v>1</v>
      </c>
      <c r="H6" s="54">
        <f t="array" ref="H6:H15">TRANSPOSE('Data Sheet'!B16:K16)</f>
        <v>41729</v>
      </c>
      <c r="I6" s="72">
        <f t="array" ref="I6:I15">TRANSPOSE(HistoricalFS!C18:L18)</f>
        <v>2003.6600000000014</v>
      </c>
      <c r="L6" s="51">
        <v>1</v>
      </c>
      <c r="M6" s="54">
        <f t="array" ref="M6:M15">TRANSPOSE('Data Sheet'!B16:K16)</f>
        <v>41729</v>
      </c>
      <c r="N6" s="55">
        <f t="array" ref="N6:N15">TRANSPOSE(HistoricalFS!C38:L38)</f>
        <v>11.869266055045887</v>
      </c>
    </row>
    <row r="7" spans="2:15" x14ac:dyDescent="0.25">
      <c r="B7" s="51">
        <f>1+B6</f>
        <v>2</v>
      </c>
      <c r="C7" s="54">
        <v>42094</v>
      </c>
      <c r="D7" s="72">
        <v>263158.98</v>
      </c>
      <c r="E7" s="14">
        <f>IFERROR(D7/D6-1,0)</f>
        <v>20.534452721153283</v>
      </c>
      <c r="G7" s="51">
        <f>1+G6</f>
        <v>2</v>
      </c>
      <c r="H7" s="54">
        <v>42094</v>
      </c>
      <c r="I7" s="72">
        <v>2242.89</v>
      </c>
      <c r="J7" s="14">
        <f>IFERROR(I7/I6-1,0)</f>
        <v>0.11939650439695271</v>
      </c>
      <c r="L7" s="51">
        <f>1+L6</f>
        <v>2</v>
      </c>
      <c r="M7" s="54">
        <v>42094</v>
      </c>
      <c r="N7" s="55">
        <v>13.398561301084236</v>
      </c>
      <c r="O7" s="14">
        <f>IFERROR(N7/N6-1,0)</f>
        <v>0.12884497145366547</v>
      </c>
    </row>
    <row r="8" spans="2:15" x14ac:dyDescent="0.25">
      <c r="B8" s="51">
        <f t="shared" ref="B8:B20" si="0">1+B7</f>
        <v>3</v>
      </c>
      <c r="C8" s="54">
        <v>42460</v>
      </c>
      <c r="D8" s="72">
        <v>273045.59999999998</v>
      </c>
      <c r="E8" s="14">
        <f t="shared" ref="E8:E20" si="1">IFERROR(D8/D7-1,0)</f>
        <v>3.75690010654397E-2</v>
      </c>
      <c r="G8" s="51">
        <f t="shared" ref="G8:G20" si="2">1+G7</f>
        <v>3</v>
      </c>
      <c r="H8" s="54">
        <v>42460</v>
      </c>
      <c r="I8" s="72">
        <v>2725.0400000000013</v>
      </c>
      <c r="J8" s="14">
        <f t="shared" ref="J8:J20" si="3">IFERROR(I8/I7-1,0)</f>
        <v>0.21496818836412013</v>
      </c>
      <c r="L8" s="51">
        <f t="shared" ref="L8:L20" si="4">1+L7</f>
        <v>3</v>
      </c>
      <c r="M8" s="54">
        <v>42460</v>
      </c>
      <c r="N8" s="55">
        <v>16.221538782318614</v>
      </c>
      <c r="O8" s="14">
        <f t="shared" ref="O8:O20" si="5">IFERROR(N8/N7-1,0)</f>
        <v>0.21069258241972122</v>
      </c>
    </row>
    <row r="9" spans="2:15" x14ac:dyDescent="0.25">
      <c r="B9" s="51">
        <f t="shared" si="0"/>
        <v>4</v>
      </c>
      <c r="C9" s="54">
        <v>42825</v>
      </c>
      <c r="D9" s="72">
        <v>269692.51</v>
      </c>
      <c r="E9" s="14">
        <f t="shared" si="1"/>
        <v>-1.2280329732469508E-2</v>
      </c>
      <c r="G9" s="51">
        <f t="shared" si="2"/>
        <v>4</v>
      </c>
      <c r="H9" s="54">
        <v>42825</v>
      </c>
      <c r="I9" s="72">
        <v>2993.76</v>
      </c>
      <c r="J9" s="14">
        <f t="shared" si="3"/>
        <v>9.861139652995865E-2</v>
      </c>
      <c r="L9" s="51">
        <f t="shared" si="4"/>
        <v>4</v>
      </c>
      <c r="M9" s="54">
        <v>42825</v>
      </c>
      <c r="N9" s="55">
        <v>17.497393661384489</v>
      </c>
      <c r="O9" s="14">
        <f t="shared" si="5"/>
        <v>7.8651902028958443E-2</v>
      </c>
    </row>
    <row r="10" spans="2:15" x14ac:dyDescent="0.25">
      <c r="B10" s="51">
        <f t="shared" si="0"/>
        <v>5</v>
      </c>
      <c r="C10" s="54">
        <v>43190</v>
      </c>
      <c r="D10" s="72">
        <v>291550.48</v>
      </c>
      <c r="E10" s="14">
        <f t="shared" si="1"/>
        <v>8.104774581985974E-2</v>
      </c>
      <c r="F10" s="50"/>
      <c r="G10" s="51">
        <f t="shared" si="2"/>
        <v>5</v>
      </c>
      <c r="H10" s="54">
        <v>43190</v>
      </c>
      <c r="I10" s="72">
        <v>3204.0100000000011</v>
      </c>
      <c r="J10" s="14">
        <f t="shared" si="3"/>
        <v>7.0229410507188561E-2</v>
      </c>
      <c r="L10" s="51">
        <f t="shared" si="4"/>
        <v>5</v>
      </c>
      <c r="M10" s="54">
        <v>43190</v>
      </c>
      <c r="N10" s="55">
        <v>18.360195996663897</v>
      </c>
      <c r="O10" s="14">
        <f t="shared" si="5"/>
        <v>4.9310334554771629E-2</v>
      </c>
    </row>
    <row r="11" spans="2:15" x14ac:dyDescent="0.25">
      <c r="B11" s="51">
        <f t="shared" si="0"/>
        <v>6</v>
      </c>
      <c r="C11" s="54">
        <v>43555</v>
      </c>
      <c r="D11" s="72">
        <v>301938.40000000002</v>
      </c>
      <c r="E11" s="14">
        <f t="shared" si="1"/>
        <v>3.5629919045237157E-2</v>
      </c>
      <c r="G11" s="51">
        <f t="shared" si="2"/>
        <v>6</v>
      </c>
      <c r="H11" s="54">
        <v>43555</v>
      </c>
      <c r="I11" s="72">
        <v>3764.9400000000014</v>
      </c>
      <c r="J11" s="14">
        <f t="shared" si="3"/>
        <v>0.17507123885381137</v>
      </c>
      <c r="L11" s="51">
        <f t="shared" si="4"/>
        <v>6</v>
      </c>
      <c r="M11" s="54">
        <v>43555</v>
      </c>
      <c r="N11" s="55">
        <v>20.165450375312773</v>
      </c>
      <c r="O11" s="14">
        <f t="shared" si="5"/>
        <v>9.8324352255111824E-2</v>
      </c>
    </row>
    <row r="12" spans="2:15" x14ac:dyDescent="0.25">
      <c r="B12" s="51">
        <f t="shared" si="0"/>
        <v>7</v>
      </c>
      <c r="C12" s="54">
        <v>43921</v>
      </c>
      <c r="D12" s="72">
        <v>261067.97</v>
      </c>
      <c r="E12" s="14">
        <f t="shared" si="1"/>
        <v>-0.135360159555724</v>
      </c>
      <c r="G12" s="51">
        <f t="shared" si="2"/>
        <v>7</v>
      </c>
      <c r="H12" s="54">
        <v>43921</v>
      </c>
      <c r="I12" s="72">
        <v>4156.8199999999979</v>
      </c>
      <c r="J12" s="14">
        <f t="shared" si="3"/>
        <v>0.10408665211132084</v>
      </c>
      <c r="L12" s="51">
        <f t="shared" si="4"/>
        <v>7</v>
      </c>
      <c r="M12" s="54">
        <v>43921</v>
      </c>
      <c r="N12" s="55">
        <v>25.220391993327752</v>
      </c>
      <c r="O12" s="14">
        <f t="shared" si="5"/>
        <v>0.25067338065523237</v>
      </c>
    </row>
    <row r="13" spans="2:15" x14ac:dyDescent="0.25">
      <c r="B13" s="51">
        <f t="shared" si="0"/>
        <v>8</v>
      </c>
      <c r="C13" s="54">
        <v>44286</v>
      </c>
      <c r="D13" s="72">
        <v>249794.75</v>
      </c>
      <c r="E13" s="14">
        <f t="shared" si="1"/>
        <v>-4.3181168490336042E-2</v>
      </c>
      <c r="G13" s="51">
        <f t="shared" si="2"/>
        <v>8</v>
      </c>
      <c r="H13" s="54">
        <v>44286</v>
      </c>
      <c r="I13" s="72">
        <v>4855.6000000000031</v>
      </c>
      <c r="J13" s="14">
        <f t="shared" si="3"/>
        <v>0.16810446447043792</v>
      </c>
      <c r="L13" s="51">
        <f t="shared" si="4"/>
        <v>8</v>
      </c>
      <c r="M13" s="54">
        <v>44286</v>
      </c>
      <c r="N13" s="55">
        <v>29.973936613844902</v>
      </c>
      <c r="O13" s="14">
        <f t="shared" si="5"/>
        <v>0.18848020370875829</v>
      </c>
    </row>
    <row r="14" spans="2:15" x14ac:dyDescent="0.25">
      <c r="B14" s="51">
        <f t="shared" si="0"/>
        <v>9</v>
      </c>
      <c r="C14" s="54">
        <v>44651</v>
      </c>
      <c r="D14" s="72">
        <v>278453.62</v>
      </c>
      <c r="E14" s="14">
        <f t="shared" si="1"/>
        <v>0.11472967306158344</v>
      </c>
      <c r="G14" s="51">
        <f t="shared" si="2"/>
        <v>9</v>
      </c>
      <c r="H14" s="54">
        <v>44651</v>
      </c>
      <c r="I14" s="72">
        <v>4803.6099999999988</v>
      </c>
      <c r="J14" s="14">
        <f t="shared" si="3"/>
        <v>-1.0707224647830249E-2</v>
      </c>
      <c r="L14" s="51">
        <f t="shared" si="4"/>
        <v>9</v>
      </c>
      <c r="M14" s="54">
        <v>44651</v>
      </c>
      <c r="N14" s="55">
        <v>29.075583819849857</v>
      </c>
      <c r="O14" s="14">
        <f t="shared" si="5"/>
        <v>-2.9971131438908061E-2</v>
      </c>
    </row>
    <row r="15" spans="2:15" x14ac:dyDescent="0.25">
      <c r="B15" s="51">
        <f t="shared" si="0"/>
        <v>10</v>
      </c>
      <c r="C15" s="54">
        <v>45016</v>
      </c>
      <c r="D15" s="72">
        <v>345966.97</v>
      </c>
      <c r="E15" s="14">
        <f t="shared" si="1"/>
        <v>0.24245815155859707</v>
      </c>
      <c r="G15" s="51">
        <f t="shared" si="2"/>
        <v>10</v>
      </c>
      <c r="H15" s="54">
        <v>45016</v>
      </c>
      <c r="I15" s="72">
        <v>6259.8399999999956</v>
      </c>
      <c r="J15" s="14">
        <f t="shared" si="3"/>
        <v>0.3031532534906034</v>
      </c>
      <c r="L15" s="51">
        <f t="shared" si="4"/>
        <v>10</v>
      </c>
      <c r="M15" s="54">
        <v>45016</v>
      </c>
      <c r="N15" s="55">
        <v>39.23967889908252</v>
      </c>
      <c r="O15" s="14">
        <f t="shared" si="5"/>
        <v>0.34957492658474676</v>
      </c>
    </row>
    <row r="16" spans="2:15" x14ac:dyDescent="0.25">
      <c r="B16" s="57">
        <f t="shared" si="0"/>
        <v>11</v>
      </c>
      <c r="C16" s="58">
        <f>365+C15</f>
        <v>45381</v>
      </c>
      <c r="D16" s="73">
        <f>FORECAST(B16,$D$6:$D$15,$B$6:$B$15)</f>
        <v>353990.36266666662</v>
      </c>
      <c r="E16" s="60">
        <f t="shared" si="1"/>
        <v>2.3191210035647725E-2</v>
      </c>
      <c r="G16" s="57">
        <f t="shared" si="2"/>
        <v>11</v>
      </c>
      <c r="H16" s="58">
        <f>365+H15</f>
        <v>45381</v>
      </c>
      <c r="I16" s="73">
        <f>FORECAST(G16,$I$6:$I$15,$G$6:$G$15)</f>
        <v>6065.4693333333316</v>
      </c>
      <c r="J16" s="60">
        <f t="shared" si="3"/>
        <v>-3.1050420884026431E-2</v>
      </c>
      <c r="L16" s="57">
        <f t="shared" si="4"/>
        <v>11</v>
      </c>
      <c r="M16" s="58">
        <f t="shared" ref="M16:M20" si="6">365+M15</f>
        <v>45381</v>
      </c>
      <c r="N16" s="59">
        <f>FORECAST(L16,$N$6:$N$15,$L$6:$L$15)</f>
        <v>37.095836808451466</v>
      </c>
      <c r="O16" s="60">
        <f t="shared" si="5"/>
        <v>-5.4634547243483711E-2</v>
      </c>
    </row>
    <row r="17" spans="2:15" x14ac:dyDescent="0.25">
      <c r="B17" s="57">
        <f t="shared" si="0"/>
        <v>12</v>
      </c>
      <c r="C17" s="58">
        <f t="shared" ref="C17:C20" si="7">365+C16</f>
        <v>45746</v>
      </c>
      <c r="D17" s="73">
        <f t="shared" ref="D17:D20" si="8">FORECAST(B17,$D$6:$D$15,$B$6:$B$15)</f>
        <v>372045.16224242421</v>
      </c>
      <c r="E17" s="60">
        <f t="shared" si="1"/>
        <v>5.100364721725148E-2</v>
      </c>
      <c r="G17" s="57">
        <f t="shared" si="2"/>
        <v>12</v>
      </c>
      <c r="H17" s="58">
        <f t="shared" ref="H17:H20" si="9">365+H16</f>
        <v>45746</v>
      </c>
      <c r="I17" s="73">
        <f>FORECAST(G17,$I$6:$I$15,$G$6:$G$15)</f>
        <v>6495.3697575757551</v>
      </c>
      <c r="J17" s="60">
        <f t="shared" si="3"/>
        <v>7.0876695704298998E-2</v>
      </c>
      <c r="L17" s="57">
        <f t="shared" si="4"/>
        <v>12</v>
      </c>
      <c r="M17" s="58">
        <f t="shared" si="6"/>
        <v>45746</v>
      </c>
      <c r="N17" s="59">
        <f t="shared" ref="N17:N20" si="10">FORECAST(L17,$N$6:$N$15,$L$6:$L$15)</f>
        <v>39.821952637298736</v>
      </c>
      <c r="O17" s="60">
        <f t="shared" si="5"/>
        <v>7.3488457557215225E-2</v>
      </c>
    </row>
    <row r="18" spans="2:15" x14ac:dyDescent="0.25">
      <c r="B18" s="57">
        <f t="shared" si="0"/>
        <v>13</v>
      </c>
      <c r="C18" s="58">
        <f t="shared" si="7"/>
        <v>46111</v>
      </c>
      <c r="D18" s="73">
        <f t="shared" si="8"/>
        <v>390099.96181818173</v>
      </c>
      <c r="E18" s="60">
        <f t="shared" si="1"/>
        <v>4.8528515911713477E-2</v>
      </c>
      <c r="G18" s="57">
        <f t="shared" si="2"/>
        <v>13</v>
      </c>
      <c r="H18" s="58">
        <f t="shared" si="9"/>
        <v>46111</v>
      </c>
      <c r="I18" s="73">
        <f t="shared" ref="I18:I20" si="11">FORECAST(G18,$I$6:$I$15,$G$6:$G$15)</f>
        <v>6925.2701818181786</v>
      </c>
      <c r="J18" s="60">
        <f t="shared" si="3"/>
        <v>6.6185673839586512E-2</v>
      </c>
      <c r="L18" s="57">
        <f t="shared" si="4"/>
        <v>13</v>
      </c>
      <c r="M18" s="58">
        <f t="shared" si="6"/>
        <v>46111</v>
      </c>
      <c r="N18" s="59">
        <f t="shared" si="10"/>
        <v>42.548068466146006</v>
      </c>
      <c r="O18" s="60">
        <f t="shared" si="5"/>
        <v>6.845761315817267E-2</v>
      </c>
    </row>
    <row r="19" spans="2:15" x14ac:dyDescent="0.25">
      <c r="B19" s="57">
        <f t="shared" si="0"/>
        <v>14</v>
      </c>
      <c r="C19" s="58">
        <f t="shared" si="7"/>
        <v>46476</v>
      </c>
      <c r="D19" s="73">
        <f t="shared" si="8"/>
        <v>408154.76139393932</v>
      </c>
      <c r="E19" s="60">
        <f t="shared" si="1"/>
        <v>4.6282495111272581E-2</v>
      </c>
      <c r="G19" s="57">
        <f t="shared" si="2"/>
        <v>14</v>
      </c>
      <c r="H19" s="58">
        <f t="shared" si="9"/>
        <v>46476</v>
      </c>
      <c r="I19" s="73">
        <f>FORECAST(G19,$I$6:$I$15,$G$6:$G$15)</f>
        <v>7355.1706060606029</v>
      </c>
      <c r="J19" s="60">
        <f t="shared" si="3"/>
        <v>6.2077061682170642E-2</v>
      </c>
      <c r="L19" s="57">
        <f t="shared" si="4"/>
        <v>14</v>
      </c>
      <c r="M19" s="58">
        <f t="shared" si="6"/>
        <v>46476</v>
      </c>
      <c r="N19" s="59">
        <f t="shared" si="10"/>
        <v>45.274184294993276</v>
      </c>
      <c r="O19" s="60">
        <f t="shared" si="5"/>
        <v>6.4071435605034477E-2</v>
      </c>
    </row>
    <row r="20" spans="2:15" x14ac:dyDescent="0.25">
      <c r="B20" s="57">
        <f t="shared" si="0"/>
        <v>15</v>
      </c>
      <c r="C20" s="58">
        <f t="shared" si="7"/>
        <v>46841</v>
      </c>
      <c r="D20" s="73">
        <f t="shared" si="8"/>
        <v>426209.56096969685</v>
      </c>
      <c r="E20" s="60">
        <f t="shared" si="1"/>
        <v>4.4235180582228972E-2</v>
      </c>
      <c r="G20" s="57">
        <f t="shared" si="2"/>
        <v>15</v>
      </c>
      <c r="H20" s="58">
        <f t="shared" si="9"/>
        <v>46841</v>
      </c>
      <c r="I20" s="73">
        <f t="shared" si="11"/>
        <v>7785.0710303030273</v>
      </c>
      <c r="J20" s="60">
        <f t="shared" si="3"/>
        <v>5.8448735898551485E-2</v>
      </c>
      <c r="L20" s="57">
        <f t="shared" si="4"/>
        <v>15</v>
      </c>
      <c r="M20" s="58">
        <f t="shared" si="6"/>
        <v>46841</v>
      </c>
      <c r="N20" s="59">
        <f t="shared" si="10"/>
        <v>48.000300123840539</v>
      </c>
      <c r="O20" s="60">
        <f t="shared" si="5"/>
        <v>6.0213472010554492E-2</v>
      </c>
    </row>
  </sheetData>
  <mergeCells count="4">
    <mergeCell ref="B4:E4"/>
    <mergeCell ref="G4:J4"/>
    <mergeCell ref="L4:O4"/>
    <mergeCell ref="B2:O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5"/>
  <sheetViews>
    <sheetView showGridLines="0" workbookViewId="0">
      <selection activeCell="J8" sqref="J8"/>
    </sheetView>
  </sheetViews>
  <sheetFormatPr defaultRowHeight="15" x14ac:dyDescent="0.25"/>
  <cols>
    <col min="1" max="1" width="1.85546875" customWidth="1"/>
    <col min="2" max="2" width="23.5703125" bestFit="1" customWidth="1"/>
    <col min="3" max="3" width="12" customWidth="1"/>
    <col min="4" max="4" width="9.42578125" customWidth="1"/>
    <col min="5" max="5" width="11.5703125" customWidth="1"/>
    <col min="7" max="7" width="14.140625" bestFit="1" customWidth="1"/>
  </cols>
  <sheetData>
    <row r="2" spans="2:8" ht="18.75" x14ac:dyDescent="0.3">
      <c r="B2" s="237" t="s">
        <v>380</v>
      </c>
      <c r="C2" s="237"/>
      <c r="D2" s="237"/>
      <c r="E2" s="237"/>
      <c r="F2" s="237"/>
      <c r="G2" s="237"/>
      <c r="H2" s="237"/>
    </row>
    <row r="4" spans="2:8" x14ac:dyDescent="0.25">
      <c r="B4" s="89" t="s">
        <v>188</v>
      </c>
      <c r="C4" s="89"/>
      <c r="D4" s="90">
        <f>'Raw FS'!H$3</f>
        <v>43525</v>
      </c>
      <c r="E4" s="90">
        <f>'Raw FS'!I$3</f>
        <v>43891</v>
      </c>
      <c r="F4" s="90">
        <f>'Raw FS'!J$3</f>
        <v>44256</v>
      </c>
      <c r="G4" s="90">
        <f>'Raw FS'!K$3</f>
        <v>44621</v>
      </c>
      <c r="H4" s="90">
        <f>'Raw FS'!L$3</f>
        <v>44986</v>
      </c>
    </row>
    <row r="6" spans="2:8" x14ac:dyDescent="0.25">
      <c r="B6" s="24" t="s">
        <v>189</v>
      </c>
    </row>
    <row r="7" spans="2:8" x14ac:dyDescent="0.25">
      <c r="B7" s="117" t="str">
        <f>'Raw FS'!B36</f>
        <v>Inventories</v>
      </c>
      <c r="C7" s="117"/>
      <c r="D7" s="118">
        <f>'Raw FS'!H36</f>
        <v>3150</v>
      </c>
      <c r="E7" s="118">
        <f>'Raw FS'!I36</f>
        <v>3390</v>
      </c>
      <c r="F7" s="118">
        <f>'Raw FS'!J36</f>
        <v>3799</v>
      </c>
      <c r="G7" s="118">
        <f>'Raw FS'!K36</f>
        <v>6153</v>
      </c>
      <c r="H7" s="118">
        <f>'Raw FS'!L36</f>
        <v>6211</v>
      </c>
    </row>
    <row r="8" spans="2:8" x14ac:dyDescent="0.25">
      <c r="B8" s="117" t="str">
        <f>'Raw FS'!B37</f>
        <v>Trade receivables</v>
      </c>
      <c r="C8" s="117"/>
      <c r="D8" s="118">
        <f>'Raw FS'!H37</f>
        <v>1907</v>
      </c>
      <c r="E8" s="118">
        <f>'Raw FS'!I37</f>
        <v>1795</v>
      </c>
      <c r="F8" s="118">
        <f>'Raw FS'!J37</f>
        <v>2602</v>
      </c>
      <c r="G8" s="118">
        <f>'Raw FS'!K37</f>
        <v>3871</v>
      </c>
      <c r="H8" s="118">
        <f>'Raw FS'!L37</f>
        <v>4637</v>
      </c>
    </row>
    <row r="9" spans="2:8" x14ac:dyDescent="0.25">
      <c r="B9" s="117" t="str">
        <f>'Raw FS'!B39</f>
        <v>Short term loans</v>
      </c>
      <c r="C9" s="117"/>
      <c r="D9" s="118">
        <f>'Raw FS'!H39</f>
        <v>16</v>
      </c>
      <c r="E9" s="118">
        <f>'Raw FS'!I39</f>
        <v>12</v>
      </c>
      <c r="F9" s="118">
        <f>'Raw FS'!J39</f>
        <v>11</v>
      </c>
      <c r="G9" s="118">
        <f>'Raw FS'!K39</f>
        <v>8</v>
      </c>
      <c r="H9" s="118">
        <f>'Raw FS'!L39</f>
        <v>12</v>
      </c>
    </row>
    <row r="10" spans="2:8" x14ac:dyDescent="0.25">
      <c r="B10" t="str">
        <f>'Raw FS'!B40</f>
        <v>Other asset items</v>
      </c>
      <c r="D10" s="102">
        <f>'Raw FS'!H40</f>
        <v>1456</v>
      </c>
      <c r="E10" s="102">
        <f>'Raw FS'!I40</f>
        <v>1727</v>
      </c>
      <c r="F10" s="102">
        <f>'Raw FS'!J40</f>
        <v>2555</v>
      </c>
      <c r="G10" s="102">
        <f>'Raw FS'!K40</f>
        <v>2869</v>
      </c>
      <c r="H10" s="102">
        <f>'Raw FS'!L40</f>
        <v>3024</v>
      </c>
    </row>
    <row r="11" spans="2:8" x14ac:dyDescent="0.25">
      <c r="B11" s="91" t="s">
        <v>84</v>
      </c>
      <c r="C11" s="92"/>
      <c r="D11" s="103">
        <f>SUM(D7:D10)</f>
        <v>6529</v>
      </c>
      <c r="E11" s="103">
        <f>SUM(E7:E10)</f>
        <v>6924</v>
      </c>
      <c r="F11" s="103">
        <f t="shared" ref="F11:H11" si="0">SUM(F7:F10)</f>
        <v>8967</v>
      </c>
      <c r="G11" s="103">
        <f t="shared" si="0"/>
        <v>12901</v>
      </c>
      <c r="H11" s="103">
        <f t="shared" si="0"/>
        <v>13884</v>
      </c>
    </row>
    <row r="12" spans="2:8" x14ac:dyDescent="0.25">
      <c r="D12" s="102"/>
      <c r="E12" s="102"/>
      <c r="F12" s="102"/>
      <c r="G12" s="102"/>
      <c r="H12" s="102"/>
    </row>
    <row r="13" spans="2:8" x14ac:dyDescent="0.25">
      <c r="B13" s="24" t="s">
        <v>190</v>
      </c>
      <c r="D13" s="102"/>
      <c r="E13" s="102"/>
      <c r="F13" s="102"/>
      <c r="G13" s="102"/>
      <c r="H13" s="102"/>
    </row>
    <row r="14" spans="2:8" x14ac:dyDescent="0.25">
      <c r="B14" s="117" t="str">
        <f>'Raw FS'!B14</f>
        <v>Trade Payables</v>
      </c>
      <c r="C14" s="117"/>
      <c r="D14" s="118">
        <f>'Raw FS'!H14</f>
        <v>2394</v>
      </c>
      <c r="E14" s="118">
        <f>'Raw FS'!I14</f>
        <v>2137</v>
      </c>
      <c r="F14" s="118">
        <f>'Raw FS'!J14</f>
        <v>3379</v>
      </c>
      <c r="G14" s="118">
        <f>'Raw FS'!K14</f>
        <v>4164</v>
      </c>
      <c r="H14" s="118">
        <f>'Raw FS'!L14</f>
        <v>3635</v>
      </c>
    </row>
    <row r="15" spans="2:8" x14ac:dyDescent="0.25">
      <c r="B15" s="117" t="str">
        <f>'Raw FS'!B15</f>
        <v>Advance from Customers</v>
      </c>
      <c r="C15" s="117"/>
      <c r="D15" s="118">
        <f>'Raw FS'!H15</f>
        <v>13</v>
      </c>
      <c r="E15" s="118">
        <f>'Raw FS'!I15</f>
        <v>29</v>
      </c>
      <c r="F15" s="118">
        <f>'Raw FS'!J15</f>
        <v>41</v>
      </c>
      <c r="G15" s="118">
        <f>'Raw FS'!K15</f>
        <v>76</v>
      </c>
      <c r="H15" s="118">
        <f>'Raw FS'!L15</f>
        <v>108</v>
      </c>
    </row>
    <row r="16" spans="2:8" x14ac:dyDescent="0.25">
      <c r="B16" s="37" t="str">
        <f>'Raw FS'!B16</f>
        <v>Other liability items</v>
      </c>
      <c r="C16" s="37"/>
      <c r="D16" s="106">
        <f>'Raw FS'!H16</f>
        <v>2690</v>
      </c>
      <c r="E16" s="106">
        <f>'Raw FS'!I16</f>
        <v>2320</v>
      </c>
      <c r="F16" s="106">
        <f>'Raw FS'!J16</f>
        <v>2613</v>
      </c>
      <c r="G16" s="106">
        <f>'Raw FS'!K16</f>
        <v>2932</v>
      </c>
      <c r="H16" s="106">
        <f>'Raw FS'!L16</f>
        <v>3657</v>
      </c>
    </row>
    <row r="17" spans="1:8" x14ac:dyDescent="0.25">
      <c r="B17" s="91" t="s">
        <v>191</v>
      </c>
      <c r="C17" s="92"/>
      <c r="D17" s="103">
        <f>SUM(D14:D16)</f>
        <v>5097</v>
      </c>
      <c r="E17" s="103">
        <f>SUM(E14:E16)</f>
        <v>4486</v>
      </c>
      <c r="F17" s="103">
        <f>SUM(F14:F16)</f>
        <v>6033</v>
      </c>
      <c r="G17" s="103">
        <f>SUM(G14:G16)</f>
        <v>7172</v>
      </c>
      <c r="H17" s="103">
        <f>SUM(H14:H16)</f>
        <v>7400</v>
      </c>
    </row>
    <row r="18" spans="1:8" x14ac:dyDescent="0.25">
      <c r="D18" s="102"/>
      <c r="E18" s="102"/>
      <c r="F18" s="102"/>
      <c r="G18" s="102"/>
      <c r="H18" s="102"/>
    </row>
    <row r="19" spans="1:8" ht="15.75" thickBot="1" x14ac:dyDescent="0.3">
      <c r="A19" t="s">
        <v>194</v>
      </c>
      <c r="B19" s="94" t="s">
        <v>192</v>
      </c>
      <c r="C19" s="94"/>
      <c r="D19" s="104">
        <f>D11-D17</f>
        <v>1432</v>
      </c>
      <c r="E19" s="104">
        <f t="shared" ref="E19:H19" si="1">E11-E17</f>
        <v>2438</v>
      </c>
      <c r="F19" s="104">
        <f t="shared" si="1"/>
        <v>2934</v>
      </c>
      <c r="G19" s="104">
        <f t="shared" si="1"/>
        <v>5729</v>
      </c>
      <c r="H19" s="104">
        <f t="shared" si="1"/>
        <v>6484</v>
      </c>
    </row>
    <row r="20" spans="1:8" x14ac:dyDescent="0.25">
      <c r="D20" s="105"/>
      <c r="E20" s="105"/>
      <c r="F20" s="105"/>
      <c r="G20" s="105"/>
      <c r="H20" s="105"/>
    </row>
    <row r="21" spans="1:8" x14ac:dyDescent="0.25">
      <c r="B21" s="24" t="s">
        <v>193</v>
      </c>
      <c r="D21" s="87"/>
      <c r="E21" s="87"/>
      <c r="F21" s="87"/>
      <c r="G21" s="87"/>
      <c r="H21" s="87"/>
    </row>
    <row r="22" spans="1:8" x14ac:dyDescent="0.25">
      <c r="B22" s="117" t="str">
        <f>'Raw FS'!B20</f>
        <v>Land</v>
      </c>
      <c r="C22" s="117"/>
      <c r="D22" s="118">
        <f>'Raw FS'!H20</f>
        <v>605</v>
      </c>
      <c r="E22" s="118">
        <f>'Raw FS'!I20</f>
        <v>640</v>
      </c>
      <c r="F22" s="118">
        <f>'Raw FS'!J20</f>
        <v>644</v>
      </c>
      <c r="G22" s="118">
        <f>'Raw FS'!K20</f>
        <v>644</v>
      </c>
      <c r="H22" s="118">
        <f>'Raw FS'!L20</f>
        <v>799</v>
      </c>
    </row>
    <row r="23" spans="1:8" x14ac:dyDescent="0.25">
      <c r="B23" s="117" t="str">
        <f>'Raw FS'!B21</f>
        <v>Building</v>
      </c>
      <c r="C23" s="117"/>
      <c r="D23" s="118">
        <f>'Raw FS'!H21</f>
        <v>2402</v>
      </c>
      <c r="E23" s="118">
        <f>'Raw FS'!I21</f>
        <v>2257</v>
      </c>
      <c r="F23" s="118">
        <f>'Raw FS'!J21</f>
        <v>2249</v>
      </c>
      <c r="G23" s="118">
        <f>'Raw FS'!K21</f>
        <v>2325</v>
      </c>
      <c r="H23" s="118">
        <f>'Raw FS'!L21</f>
        <v>2617</v>
      </c>
    </row>
    <row r="24" spans="1:8" x14ac:dyDescent="0.25">
      <c r="B24" s="117" t="str">
        <f>'Raw FS'!B22</f>
        <v>Plant Machinery</v>
      </c>
      <c r="C24" s="117"/>
      <c r="D24" s="118">
        <f>'Raw FS'!H22</f>
        <v>4006</v>
      </c>
      <c r="E24" s="118">
        <f>'Raw FS'!I22</f>
        <v>4208</v>
      </c>
      <c r="F24" s="118">
        <f>'Raw FS'!J22</f>
        <v>4340</v>
      </c>
      <c r="G24" s="118">
        <f>'Raw FS'!K22</f>
        <v>4531</v>
      </c>
      <c r="H24" s="118">
        <f>'Raw FS'!L22</f>
        <v>4825</v>
      </c>
    </row>
    <row r="25" spans="1:8" x14ac:dyDescent="0.25">
      <c r="B25" s="117" t="str">
        <f>'Raw FS'!B23</f>
        <v>Equipments</v>
      </c>
      <c r="C25" s="117"/>
      <c r="D25" s="118">
        <f>'Raw FS'!H23</f>
        <v>221</v>
      </c>
      <c r="E25" s="118">
        <f>'Raw FS'!I23</f>
        <v>241</v>
      </c>
      <c r="F25" s="118">
        <f>'Raw FS'!J23</f>
        <v>243</v>
      </c>
      <c r="G25" s="118">
        <f>'Raw FS'!K23</f>
        <v>253</v>
      </c>
      <c r="H25" s="118">
        <f>'Raw FS'!L23</f>
        <v>270</v>
      </c>
    </row>
    <row r="26" spans="1:8" x14ac:dyDescent="0.25">
      <c r="B26" s="117" t="str">
        <f>'Raw FS'!B24</f>
        <v>Furniture n fittings</v>
      </c>
      <c r="C26" s="117"/>
      <c r="D26" s="118">
        <f>'Raw FS'!H24</f>
        <v>88</v>
      </c>
      <c r="E26" s="118">
        <f>'Raw FS'!I24</f>
        <v>94</v>
      </c>
      <c r="F26" s="118">
        <f>'Raw FS'!J24</f>
        <v>99</v>
      </c>
      <c r="G26" s="118">
        <f>'Raw FS'!K24</f>
        <v>113</v>
      </c>
      <c r="H26" s="118">
        <f>'Raw FS'!L24</f>
        <v>146</v>
      </c>
    </row>
    <row r="27" spans="1:8" x14ac:dyDescent="0.25">
      <c r="B27" s="117" t="str">
        <f>'Raw FS'!B25</f>
        <v>Vehicles</v>
      </c>
      <c r="C27" s="117"/>
      <c r="D27" s="118">
        <f>'Raw FS'!H25</f>
        <v>47</v>
      </c>
      <c r="E27" s="118">
        <f>'Raw FS'!I25</f>
        <v>43</v>
      </c>
      <c r="F27" s="118">
        <f>'Raw FS'!J25</f>
        <v>38</v>
      </c>
      <c r="G27" s="118">
        <f>'Raw FS'!K25</f>
        <v>32</v>
      </c>
      <c r="H27" s="118">
        <f>'Raw FS'!L25</f>
        <v>30</v>
      </c>
    </row>
    <row r="28" spans="1:8" x14ac:dyDescent="0.25">
      <c r="B28" s="117" t="str">
        <f>'Raw FS'!B26</f>
        <v>Intangible Assets</v>
      </c>
      <c r="C28" s="117"/>
      <c r="D28" s="118">
        <f>'Raw FS'!H26</f>
        <v>512</v>
      </c>
      <c r="E28" s="118">
        <f>'Raw FS'!I26</f>
        <v>505</v>
      </c>
      <c r="F28" s="118">
        <f>'Raw FS'!J26</f>
        <v>476</v>
      </c>
      <c r="G28" s="118">
        <f>'Raw FS'!K26</f>
        <v>345</v>
      </c>
      <c r="H28" s="118">
        <f>'Raw FS'!L26</f>
        <v>330</v>
      </c>
    </row>
    <row r="29" spans="1:8" x14ac:dyDescent="0.25">
      <c r="B29" s="31" t="str">
        <f>'Raw FS'!B27</f>
        <v>Other fixed assets</v>
      </c>
      <c r="C29" s="31"/>
      <c r="D29" s="87">
        <f>'Raw FS'!H27</f>
        <v>261</v>
      </c>
      <c r="E29" s="87">
        <f>'Raw FS'!I27</f>
        <v>293</v>
      </c>
      <c r="F29" s="87">
        <f>'Raw FS'!J27</f>
        <v>302</v>
      </c>
      <c r="G29" s="87">
        <f>'Raw FS'!K27</f>
        <v>294</v>
      </c>
      <c r="H29" s="87">
        <f>'Raw FS'!L27</f>
        <v>289</v>
      </c>
    </row>
    <row r="30" spans="1:8" x14ac:dyDescent="0.25">
      <c r="B30" s="91" t="s">
        <v>179</v>
      </c>
      <c r="C30" s="92"/>
      <c r="D30" s="119">
        <f>SUM(D22:D29)</f>
        <v>8142</v>
      </c>
      <c r="E30" s="119">
        <f>SUM(E22:E29)</f>
        <v>8281</v>
      </c>
      <c r="F30" s="119">
        <f>SUM(F22:F29)</f>
        <v>8391</v>
      </c>
      <c r="G30" s="119">
        <f>SUM(G22:G29)</f>
        <v>8537</v>
      </c>
      <c r="H30" s="119">
        <f>SUM(H22:H29)</f>
        <v>9306</v>
      </c>
    </row>
    <row r="31" spans="1:8" x14ac:dyDescent="0.25">
      <c r="B31" s="120" t="s">
        <v>180</v>
      </c>
      <c r="C31" s="120"/>
      <c r="D31" s="121">
        <f>-'Raw FS'!H29</f>
        <v>-1592</v>
      </c>
      <c r="E31" s="121">
        <f>-'Raw FS'!I29</f>
        <v>-2010</v>
      </c>
      <c r="F31" s="121">
        <f>-'Raw FS'!J29</f>
        <v>-2533</v>
      </c>
      <c r="G31" s="121">
        <f>-'Raw FS'!K29</f>
        <v>-3019</v>
      </c>
      <c r="H31" s="121">
        <f>-'Raw FS'!L29</f>
        <v>-3536</v>
      </c>
    </row>
    <row r="32" spans="1:8" ht="15.75" thickBot="1" x14ac:dyDescent="0.3">
      <c r="A32" t="s">
        <v>194</v>
      </c>
      <c r="B32" s="95" t="s">
        <v>195</v>
      </c>
      <c r="C32" s="95"/>
      <c r="D32" s="104">
        <f>SUM(D30:D31)</f>
        <v>6550</v>
      </c>
      <c r="E32" s="104">
        <f t="shared" ref="E32:H32" si="2">SUM(E30:E31)</f>
        <v>6271</v>
      </c>
      <c r="F32" s="104">
        <f t="shared" si="2"/>
        <v>5858</v>
      </c>
      <c r="G32" s="104">
        <f t="shared" si="2"/>
        <v>5518</v>
      </c>
      <c r="H32" s="104">
        <f t="shared" si="2"/>
        <v>5770</v>
      </c>
    </row>
    <row r="33" spans="1:8" x14ac:dyDescent="0.25">
      <c r="D33" s="105"/>
      <c r="E33" s="105"/>
      <c r="F33" s="105"/>
      <c r="G33" s="105"/>
      <c r="H33" s="105"/>
    </row>
    <row r="34" spans="1:8" x14ac:dyDescent="0.25">
      <c r="A34" t="s">
        <v>194</v>
      </c>
      <c r="B34" s="86" t="s">
        <v>196</v>
      </c>
      <c r="C34" s="31"/>
      <c r="D34" s="87">
        <f>D32+D19</f>
        <v>7982</v>
      </c>
      <c r="E34" s="87">
        <f t="shared" ref="E34:H34" si="3">E32+E19</f>
        <v>8709</v>
      </c>
      <c r="F34" s="87">
        <f t="shared" si="3"/>
        <v>8792</v>
      </c>
      <c r="G34" s="87">
        <f t="shared" si="3"/>
        <v>11247</v>
      </c>
      <c r="H34" s="87">
        <f t="shared" si="3"/>
        <v>12254</v>
      </c>
    </row>
    <row r="35" spans="1:8" x14ac:dyDescent="0.25">
      <c r="B35" s="122" t="s">
        <v>197</v>
      </c>
      <c r="C35" s="122"/>
      <c r="D35" s="118">
        <f>(HistoricalFS!H27+HistoricalFS!H21)</f>
        <v>3142.8000000000011</v>
      </c>
      <c r="E35" s="118">
        <f>(HistoricalFS!I27+HistoricalFS!I21)</f>
        <v>3376.3199999999979</v>
      </c>
      <c r="F35" s="118">
        <f>(HistoricalFS!J27+HistoricalFS!J21)</f>
        <v>4064.3300000000031</v>
      </c>
      <c r="G35" s="118">
        <f>(HistoricalFS!K27+HistoricalFS!K21)</f>
        <v>3987.2499999999986</v>
      </c>
      <c r="H35" s="118">
        <f>(HistoricalFS!L27+HistoricalFS!L21)</f>
        <v>5401.8199999999952</v>
      </c>
    </row>
    <row r="36" spans="1:8" x14ac:dyDescent="0.25">
      <c r="D36" s="106"/>
      <c r="E36" s="106"/>
      <c r="F36" s="106"/>
      <c r="G36" s="106"/>
      <c r="H36" s="106"/>
    </row>
    <row r="37" spans="1:8" ht="15.75" thickBot="1" x14ac:dyDescent="0.3">
      <c r="A37" t="s">
        <v>194</v>
      </c>
      <c r="B37" s="96" t="s">
        <v>198</v>
      </c>
      <c r="C37" s="93"/>
      <c r="D37" s="97">
        <f>D35/D34</f>
        <v>0.3937359057880232</v>
      </c>
      <c r="E37" s="97">
        <f t="shared" ref="E37:H37" si="4">E35/E34</f>
        <v>0.38768170857733353</v>
      </c>
      <c r="F37" s="97">
        <f t="shared" si="4"/>
        <v>0.46227593266606043</v>
      </c>
      <c r="G37" s="97">
        <f t="shared" si="4"/>
        <v>0.35451676002489541</v>
      </c>
      <c r="H37" s="97">
        <f t="shared" si="4"/>
        <v>0.44082095642239227</v>
      </c>
    </row>
    <row r="40" spans="1:8" x14ac:dyDescent="0.25">
      <c r="B40" s="89" t="s">
        <v>199</v>
      </c>
      <c r="C40" s="89"/>
      <c r="D40" s="90">
        <f>'Raw FS'!H$3</f>
        <v>43525</v>
      </c>
      <c r="E40" s="90">
        <f>'Raw FS'!I$3</f>
        <v>43891</v>
      </c>
      <c r="F40" s="90">
        <f>'Raw FS'!J$3</f>
        <v>44256</v>
      </c>
      <c r="G40" s="90">
        <f>'Raw FS'!K$3</f>
        <v>44621</v>
      </c>
      <c r="H40" s="90">
        <f>'Raw FS'!L$3</f>
        <v>44986</v>
      </c>
    </row>
    <row r="42" spans="1:8" x14ac:dyDescent="0.25">
      <c r="B42" s="107" t="s">
        <v>200</v>
      </c>
      <c r="C42" s="107"/>
      <c r="D42" s="108">
        <f>-SUM('Cash Flow Data'!H13:H14)</f>
        <v>1134</v>
      </c>
      <c r="E42" s="108">
        <f>-SUM('Cash Flow Data'!I13:I14)</f>
        <v>367</v>
      </c>
      <c r="F42" s="108">
        <f>-SUM('Cash Flow Data'!J13:J14)</f>
        <v>254</v>
      </c>
      <c r="G42" s="108">
        <f>-SUM('Cash Flow Data'!K13:K14)</f>
        <v>511</v>
      </c>
      <c r="H42" s="108">
        <f>-SUM('Cash Flow Data'!L13:L14)</f>
        <v>1420</v>
      </c>
    </row>
    <row r="43" spans="1:8" x14ac:dyDescent="0.25">
      <c r="B43" s="107" t="s">
        <v>201</v>
      </c>
      <c r="C43" s="107"/>
      <c r="D43" s="107"/>
      <c r="E43" s="107">
        <f>E19-D19</f>
        <v>1006</v>
      </c>
      <c r="F43" s="107">
        <f t="shared" ref="F43:H43" si="5">F19-E19</f>
        <v>496</v>
      </c>
      <c r="G43" s="107">
        <f t="shared" si="5"/>
        <v>2795</v>
      </c>
      <c r="H43" s="107">
        <f t="shared" si="5"/>
        <v>755</v>
      </c>
    </row>
    <row r="44" spans="1:8" x14ac:dyDescent="0.25">
      <c r="B44" s="107"/>
      <c r="C44" s="107"/>
      <c r="D44" s="107"/>
      <c r="E44" s="107"/>
      <c r="F44" s="107"/>
      <c r="G44" s="107"/>
      <c r="H44" s="107"/>
    </row>
    <row r="45" spans="1:8" x14ac:dyDescent="0.25">
      <c r="B45" s="107" t="s">
        <v>202</v>
      </c>
      <c r="C45" s="107"/>
      <c r="D45" s="107">
        <f>D35</f>
        <v>3142.8000000000011</v>
      </c>
      <c r="E45" s="107">
        <f t="shared" ref="E45:H45" si="6">E35</f>
        <v>3376.3199999999979</v>
      </c>
      <c r="F45" s="107">
        <f t="shared" si="6"/>
        <v>4064.3300000000031</v>
      </c>
      <c r="G45" s="107">
        <f t="shared" si="6"/>
        <v>3987.2499999999986</v>
      </c>
      <c r="H45" s="107">
        <f t="shared" si="6"/>
        <v>5401.8199999999952</v>
      </c>
    </row>
    <row r="46" spans="1:8" x14ac:dyDescent="0.25">
      <c r="B46" s="107" t="s">
        <v>203</v>
      </c>
      <c r="C46" s="107"/>
      <c r="D46" s="109">
        <v>0.25</v>
      </c>
      <c r="E46" s="109">
        <v>0.25</v>
      </c>
      <c r="F46" s="109">
        <v>0.25</v>
      </c>
      <c r="G46" s="109">
        <v>0.25</v>
      </c>
      <c r="H46" s="109">
        <v>0.25</v>
      </c>
    </row>
    <row r="47" spans="1:8" x14ac:dyDescent="0.25">
      <c r="B47" s="107" t="s">
        <v>205</v>
      </c>
      <c r="C47" s="107"/>
      <c r="D47" s="110">
        <f>D45*(1-D46)</f>
        <v>2357.1000000000008</v>
      </c>
      <c r="E47" s="110">
        <f t="shared" ref="E47:H47" si="7">E45*(1-E46)</f>
        <v>2532.2399999999984</v>
      </c>
      <c r="F47" s="110">
        <f t="shared" si="7"/>
        <v>3048.2475000000022</v>
      </c>
      <c r="G47" s="110">
        <f t="shared" si="7"/>
        <v>2990.4374999999991</v>
      </c>
      <c r="H47" s="110">
        <f t="shared" si="7"/>
        <v>4051.3649999999961</v>
      </c>
    </row>
    <row r="48" spans="1:8" x14ac:dyDescent="0.25">
      <c r="D48" s="99"/>
      <c r="E48" s="99"/>
      <c r="F48" s="99"/>
      <c r="G48" s="99"/>
      <c r="H48" s="99"/>
    </row>
    <row r="50" spans="1:8" x14ac:dyDescent="0.25">
      <c r="B50" s="111" t="s">
        <v>204</v>
      </c>
      <c r="C50" s="112"/>
      <c r="D50" s="111"/>
      <c r="E50" s="113">
        <f>SUM(E42:E43)</f>
        <v>1373</v>
      </c>
      <c r="F50" s="113">
        <f t="shared" ref="F50:H50" si="8">SUM(F42:F43)</f>
        <v>750</v>
      </c>
      <c r="G50" s="113">
        <f t="shared" si="8"/>
        <v>3306</v>
      </c>
      <c r="H50" s="113">
        <f t="shared" si="8"/>
        <v>2175</v>
      </c>
    </row>
    <row r="51" spans="1:8" ht="3.75" customHeight="1" x14ac:dyDescent="0.25">
      <c r="C51" s="22"/>
      <c r="E51" s="25"/>
      <c r="F51" s="25"/>
      <c r="G51" s="25"/>
      <c r="H51" s="25"/>
    </row>
    <row r="52" spans="1:8" ht="15.75" thickBot="1" x14ac:dyDescent="0.3">
      <c r="A52" s="93"/>
      <c r="B52" s="96" t="s">
        <v>206</v>
      </c>
      <c r="C52" s="96"/>
      <c r="D52" s="96"/>
      <c r="E52" s="101">
        <f>E50/E47</f>
        <v>0.54220768963447419</v>
      </c>
      <c r="F52" s="101">
        <f t="shared" ref="F52:H52" si="9">F50/F47</f>
        <v>0.24604301323957437</v>
      </c>
      <c r="G52" s="101">
        <f t="shared" si="9"/>
        <v>1.1055238572951285</v>
      </c>
      <c r="H52" s="101">
        <f t="shared" si="9"/>
        <v>0.53685609664890777</v>
      </c>
    </row>
    <row r="54" spans="1:8" x14ac:dyDescent="0.25">
      <c r="G54" s="115" t="s">
        <v>207</v>
      </c>
      <c r="H54" s="116">
        <f>E52:H52</f>
        <v>0.53685609664890777</v>
      </c>
    </row>
    <row r="55" spans="1:8" x14ac:dyDescent="0.25">
      <c r="G55" s="115" t="s">
        <v>208</v>
      </c>
      <c r="H55" s="116">
        <f>MEDIAN(E52:H52)</f>
        <v>0.53953189314169103</v>
      </c>
    </row>
    <row r="57" spans="1:8" x14ac:dyDescent="0.25">
      <c r="B57" s="89" t="s">
        <v>209</v>
      </c>
      <c r="C57" s="89"/>
      <c r="D57" s="90">
        <f>'Raw FS'!H$3</f>
        <v>43525</v>
      </c>
      <c r="E57" s="90">
        <f>'Raw FS'!I$3</f>
        <v>43891</v>
      </c>
      <c r="F57" s="90">
        <f>'Raw FS'!J$3</f>
        <v>44256</v>
      </c>
      <c r="G57" s="90">
        <f>'Raw FS'!K$3</f>
        <v>44621</v>
      </c>
      <c r="H57" s="90">
        <f>'Raw FS'!L$3</f>
        <v>44986</v>
      </c>
    </row>
    <row r="59" spans="1:8" x14ac:dyDescent="0.25">
      <c r="B59" s="111" t="s">
        <v>206</v>
      </c>
      <c r="C59" s="111"/>
      <c r="D59" s="111"/>
      <c r="E59" s="114">
        <f>E52</f>
        <v>0.54220768963447419</v>
      </c>
      <c r="F59" s="114">
        <f t="shared" ref="F59:H59" si="10">F52</f>
        <v>0.24604301323957437</v>
      </c>
      <c r="G59" s="114">
        <f t="shared" si="10"/>
        <v>1.1055238572951285</v>
      </c>
      <c r="H59" s="114">
        <f t="shared" si="10"/>
        <v>0.53685609664890777</v>
      </c>
    </row>
    <row r="60" spans="1:8" x14ac:dyDescent="0.25">
      <c r="B60" s="111" t="s">
        <v>198</v>
      </c>
      <c r="C60" s="111"/>
      <c r="D60" s="114"/>
      <c r="E60" s="114">
        <f>E37</f>
        <v>0.38768170857733353</v>
      </c>
      <c r="F60" s="114">
        <f t="shared" ref="F60:H60" si="11">F37</f>
        <v>0.46227593266606043</v>
      </c>
      <c r="G60" s="114">
        <f t="shared" si="11"/>
        <v>0.35451676002489541</v>
      </c>
      <c r="H60" s="114">
        <f t="shared" si="11"/>
        <v>0.44082095642239227</v>
      </c>
    </row>
    <row r="62" spans="1:8" ht="15.75" thickBot="1" x14ac:dyDescent="0.3">
      <c r="B62" s="95" t="s">
        <v>210</v>
      </c>
      <c r="C62" s="95"/>
      <c r="D62" s="95"/>
      <c r="E62" s="100">
        <f>E59*E60</f>
        <v>0.21020400352126153</v>
      </c>
      <c r="F62" s="100">
        <f t="shared" ref="F62:H62" si="12">F59*F60</f>
        <v>0.11373976342129209</v>
      </c>
      <c r="G62" s="100">
        <f t="shared" si="12"/>
        <v>0.39192673601849376</v>
      </c>
      <c r="H62" s="100">
        <f t="shared" si="12"/>
        <v>0.23665741798596379</v>
      </c>
    </row>
    <row r="64" spans="1:8" x14ac:dyDescent="0.25">
      <c r="G64" s="115" t="s">
        <v>207</v>
      </c>
      <c r="H64" s="116">
        <f>AVERAGE(E62:H62)</f>
        <v>0.2381319802367528</v>
      </c>
    </row>
    <row r="65" spans="7:8" x14ac:dyDescent="0.25">
      <c r="G65" s="115" t="s">
        <v>211</v>
      </c>
      <c r="H65" s="116">
        <f>MEDIAN(E62:H62)</f>
        <v>0.22343071075361265</v>
      </c>
    </row>
  </sheetData>
  <mergeCells count="1">
    <mergeCell ref="B2:H2"/>
  </mergeCells>
  <pageMargins left="0.7" right="0.7" top="0.75" bottom="0.75" header="0.3" footer="0.3"/>
  <pageSetup orientation="portrait" r:id="rId1"/>
  <ignoredErrors>
    <ignoredError sqref="D42:H42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  <pageSetUpPr fitToPage="1"/>
  </sheetPr>
  <dimension ref="A6:J46"/>
  <sheetViews>
    <sheetView showGridLines="0" workbookViewId="0">
      <selection activeCell="D43" sqref="D43"/>
    </sheetView>
  </sheetViews>
  <sheetFormatPr defaultRowHeight="15" outlineLevelRow="1" x14ac:dyDescent="0.25"/>
  <cols>
    <col min="1" max="1" width="1.85546875" customWidth="1"/>
    <col min="2" max="2" width="28" customWidth="1"/>
    <col min="4" max="4" width="12.140625" bestFit="1" customWidth="1"/>
    <col min="5" max="5" width="9.5703125" bestFit="1" customWidth="1"/>
    <col min="7" max="8" width="9.5703125" bestFit="1" customWidth="1"/>
    <col min="9" max="10" width="12.140625" bestFit="1" customWidth="1"/>
  </cols>
  <sheetData>
    <row r="6" spans="2:9" x14ac:dyDescent="0.25">
      <c r="B6" s="75" t="s">
        <v>320</v>
      </c>
      <c r="C6" s="75"/>
      <c r="D6" s="173">
        <f>'Intrinsic Growth'!H4</f>
        <v>44986</v>
      </c>
      <c r="E6" s="174">
        <f>D6+366</f>
        <v>45352</v>
      </c>
      <c r="F6" s="174">
        <f t="shared" ref="F6:I6" si="0">E6+366</f>
        <v>45718</v>
      </c>
      <c r="G6" s="174">
        <f t="shared" si="0"/>
        <v>46084</v>
      </c>
      <c r="H6" s="174">
        <f t="shared" si="0"/>
        <v>46450</v>
      </c>
      <c r="I6" s="174">
        <f t="shared" si="0"/>
        <v>46816</v>
      </c>
    </row>
    <row r="8" spans="2:9" x14ac:dyDescent="0.25">
      <c r="B8" s="117" t="s">
        <v>202</v>
      </c>
      <c r="C8" s="117"/>
      <c r="D8" s="180">
        <f>'Data Sheet'!K34-'Data Sheet'!K26</f>
        <v>5744.4</v>
      </c>
      <c r="E8" s="117">
        <f>D8*(1+$D$18)</f>
        <v>7027.8753748530517</v>
      </c>
      <c r="F8" s="117">
        <f t="shared" ref="F8:I8" si="1">E8*(1+$D$18)</f>
        <v>8598.1185649442814</v>
      </c>
      <c r="G8" s="117">
        <f t="shared" si="1"/>
        <v>10519.202307053614</v>
      </c>
      <c r="H8" s="117">
        <f t="shared" si="1"/>
        <v>12869.515155079645</v>
      </c>
      <c r="I8" s="117">
        <f t="shared" si="1"/>
        <v>15744.96007323348</v>
      </c>
    </row>
    <row r="9" spans="2:9" x14ac:dyDescent="0.25">
      <c r="B9" s="117" t="s">
        <v>253</v>
      </c>
      <c r="C9" s="117"/>
      <c r="D9" s="181">
        <v>0.25</v>
      </c>
      <c r="E9" s="178">
        <f>D9</f>
        <v>0.25</v>
      </c>
      <c r="F9" s="178">
        <f t="shared" ref="F9:I9" si="2">E9</f>
        <v>0.25</v>
      </c>
      <c r="G9" s="178">
        <f t="shared" si="2"/>
        <v>0.25</v>
      </c>
      <c r="H9" s="178">
        <f t="shared" si="2"/>
        <v>0.25</v>
      </c>
      <c r="I9" s="178">
        <f t="shared" si="2"/>
        <v>0.25</v>
      </c>
    </row>
    <row r="10" spans="2:9" x14ac:dyDescent="0.25">
      <c r="B10" s="117" t="s">
        <v>205</v>
      </c>
      <c r="C10" s="117"/>
      <c r="D10" s="180">
        <f>D8*(1-D9)</f>
        <v>4308.2999999999993</v>
      </c>
      <c r="E10" s="177">
        <f t="shared" ref="E10:I10" si="3">E8*(1-E9)</f>
        <v>5270.906531139789</v>
      </c>
      <c r="F10" s="177">
        <f t="shared" si="3"/>
        <v>6448.588923708211</v>
      </c>
      <c r="G10" s="177">
        <f t="shared" si="3"/>
        <v>7889.4017302902103</v>
      </c>
      <c r="H10" s="177">
        <f t="shared" si="3"/>
        <v>9652.1363663097345</v>
      </c>
      <c r="I10" s="177">
        <f t="shared" si="3"/>
        <v>11808.72005492511</v>
      </c>
    </row>
    <row r="11" spans="2:9" x14ac:dyDescent="0.25">
      <c r="B11" s="117" t="s">
        <v>321</v>
      </c>
      <c r="C11" s="117"/>
      <c r="D11" s="181">
        <f>'Intrinsic Growth'!H55</f>
        <v>0.53953189314169103</v>
      </c>
      <c r="E11" s="178">
        <f>D11</f>
        <v>0.53953189314169103</v>
      </c>
      <c r="F11" s="178">
        <f t="shared" ref="F11:I11" si="4">E11</f>
        <v>0.53953189314169103</v>
      </c>
      <c r="G11" s="178">
        <f t="shared" si="4"/>
        <v>0.53953189314169103</v>
      </c>
      <c r="H11" s="178">
        <f t="shared" si="4"/>
        <v>0.53953189314169103</v>
      </c>
      <c r="I11" s="178">
        <f t="shared" si="4"/>
        <v>0.53953189314169103</v>
      </c>
    </row>
    <row r="12" spans="2:9" x14ac:dyDescent="0.25">
      <c r="B12" s="117" t="s">
        <v>322</v>
      </c>
      <c r="C12" s="117"/>
      <c r="D12" s="182">
        <f>D10*(1-D11)</f>
        <v>1983.8347447776521</v>
      </c>
      <c r="E12" s="179">
        <f t="shared" ref="E12:I12" si="5">E10*(1-E11)</f>
        <v>2427.0843518210349</v>
      </c>
      <c r="F12" s="179">
        <f t="shared" si="5"/>
        <v>2969.3695336073802</v>
      </c>
      <c r="G12" s="179">
        <f t="shared" si="5"/>
        <v>3632.8178789914</v>
      </c>
      <c r="H12" s="179">
        <f t="shared" si="5"/>
        <v>4444.5009597328808</v>
      </c>
      <c r="I12" s="179">
        <f t="shared" si="5"/>
        <v>5437.5389681111119</v>
      </c>
    </row>
    <row r="13" spans="2:9" x14ac:dyDescent="0.25">
      <c r="B13" s="117" t="s">
        <v>323</v>
      </c>
      <c r="C13" s="117"/>
      <c r="D13" s="183"/>
      <c r="E13" s="117">
        <v>0.5</v>
      </c>
      <c r="F13" s="117">
        <f>E13+1</f>
        <v>1.5</v>
      </c>
      <c r="G13" s="117">
        <f t="shared" ref="G13:I13" si="6">F13+1</f>
        <v>2.5</v>
      </c>
      <c r="H13" s="117">
        <f t="shared" si="6"/>
        <v>3.5</v>
      </c>
      <c r="I13" s="117">
        <f t="shared" si="6"/>
        <v>4.5</v>
      </c>
    </row>
    <row r="14" spans="2:9" x14ac:dyDescent="0.25">
      <c r="B14" s="117" t="s">
        <v>327</v>
      </c>
      <c r="C14" s="117"/>
      <c r="D14" s="183"/>
      <c r="E14" s="185">
        <f>1/(1+$D$20)^E13</f>
        <v>0.93483043487119089</v>
      </c>
      <c r="F14" s="185">
        <f t="shared" ref="F14:I14" si="7">1/(1+$D$20)^F13</f>
        <v>0.81695574142121907</v>
      </c>
      <c r="G14" s="185">
        <f t="shared" si="7"/>
        <v>0.7139441106590162</v>
      </c>
      <c r="H14" s="185">
        <f t="shared" si="7"/>
        <v>0.62392142842152576</v>
      </c>
      <c r="I14" s="185">
        <f t="shared" si="7"/>
        <v>0.54524989145750991</v>
      </c>
    </row>
    <row r="15" spans="2:9" x14ac:dyDescent="0.25">
      <c r="D15" s="160"/>
    </row>
    <row r="16" spans="2:9" ht="15.75" thickBot="1" x14ac:dyDescent="0.3">
      <c r="B16" s="93" t="s">
        <v>324</v>
      </c>
      <c r="C16" s="93"/>
      <c r="D16" s="184"/>
      <c r="E16" s="186">
        <f>E12*E14</f>
        <v>2268.9123200819204</v>
      </c>
      <c r="F16" s="186">
        <f t="shared" ref="F16:I16" si="8">F12*F14</f>
        <v>2425.8434888817969</v>
      </c>
      <c r="G16" s="186">
        <f t="shared" si="8"/>
        <v>2593.6289298026886</v>
      </c>
      <c r="H16" s="186">
        <f t="shared" si="8"/>
        <v>2773.019387417381</v>
      </c>
      <c r="I16" s="186">
        <f t="shared" si="8"/>
        <v>2964.8175321585641</v>
      </c>
    </row>
    <row r="18" spans="2:10" outlineLevel="1" x14ac:dyDescent="0.25">
      <c r="B18" s="175" t="s">
        <v>325</v>
      </c>
      <c r="C18" s="175"/>
      <c r="D18" s="176">
        <f>'Intrinsic Growth'!H65</f>
        <v>0.22343071075361265</v>
      </c>
      <c r="H18" s="159"/>
    </row>
    <row r="19" spans="2:10" outlineLevel="1" x14ac:dyDescent="0.25">
      <c r="B19" s="175" t="s">
        <v>326</v>
      </c>
      <c r="C19" s="175"/>
      <c r="D19" s="176">
        <v>5.3800000000000001E-2</v>
      </c>
    </row>
    <row r="20" spans="2:10" outlineLevel="1" x14ac:dyDescent="0.25">
      <c r="B20" s="175" t="s">
        <v>241</v>
      </c>
      <c r="C20" s="175"/>
      <c r="D20" s="176">
        <f>WACC!J41</f>
        <v>0.14428528679523187</v>
      </c>
    </row>
    <row r="22" spans="2:10" ht="15" customHeight="1" x14ac:dyDescent="0.25">
      <c r="B22" s="236" t="s">
        <v>328</v>
      </c>
      <c r="C22" s="236"/>
      <c r="F22" s="238" t="s">
        <v>342</v>
      </c>
      <c r="G22" s="238"/>
      <c r="H22" s="238"/>
      <c r="I22" s="238"/>
      <c r="J22" s="238"/>
    </row>
    <row r="23" spans="2:10" x14ac:dyDescent="0.25">
      <c r="F23" s="194">
        <f>D35</f>
        <v>53112.836279258408</v>
      </c>
      <c r="G23" s="191">
        <v>0.12</v>
      </c>
      <c r="H23" s="191">
        <v>0.14430000000000001</v>
      </c>
      <c r="I23" s="191">
        <v>0.16</v>
      </c>
      <c r="J23" s="191">
        <v>0.18</v>
      </c>
    </row>
    <row r="24" spans="2:10" x14ac:dyDescent="0.25">
      <c r="B24" t="s">
        <v>329</v>
      </c>
      <c r="D24" s="22">
        <f>I12*(1+D18)</f>
        <v>6652.4521645066434</v>
      </c>
      <c r="F24" s="192">
        <v>0.03</v>
      </c>
      <c r="G24" s="22">
        <f t="dataTable" ref="G24:J28" dt2D="1" dtr="1" r1="D25" r2="D26"/>
        <v>53328.986331937063</v>
      </c>
      <c r="H24" s="22">
        <v>44760.68203125157</v>
      </c>
      <c r="I24" s="22">
        <v>40928.135663138688</v>
      </c>
      <c r="J24" s="22">
        <v>37207.880462499175</v>
      </c>
    </row>
    <row r="25" spans="2:10" x14ac:dyDescent="0.25">
      <c r="B25" t="s">
        <v>241</v>
      </c>
      <c r="D25" s="98">
        <f>D20</f>
        <v>0.14428528679523187</v>
      </c>
      <c r="F25" s="192">
        <v>0.04</v>
      </c>
      <c r="G25" s="22">
        <v>58366.831916136412</v>
      </c>
      <c r="H25" s="22">
        <v>47803.295681578442</v>
      </c>
      <c r="I25" s="22">
        <v>43253.295163538387</v>
      </c>
      <c r="J25" s="22">
        <v>38935.141805653242</v>
      </c>
    </row>
    <row r="26" spans="2:10" x14ac:dyDescent="0.25">
      <c r="B26" t="s">
        <v>330</v>
      </c>
      <c r="D26" s="98">
        <f>D19</f>
        <v>5.3800000000000001E-2</v>
      </c>
      <c r="F26" s="192">
        <v>5.3800000000000001E-2</v>
      </c>
      <c r="G26" s="22">
        <v>67818.499915495282</v>
      </c>
      <c r="H26" s="193">
        <v>53106.319123795656</v>
      </c>
      <c r="I26" s="22">
        <v>47181.106974948038</v>
      </c>
      <c r="J26" s="22">
        <v>41768.288382775987</v>
      </c>
    </row>
    <row r="27" spans="2:10" x14ac:dyDescent="0.25">
      <c r="F27" s="192">
        <v>0.06</v>
      </c>
      <c r="G27" s="22">
        <v>73480.368668734416</v>
      </c>
      <c r="H27" s="22">
        <v>56054.084299190792</v>
      </c>
      <c r="I27" s="22">
        <v>49298.709864577591</v>
      </c>
      <c r="J27" s="22">
        <v>43253.295163538387</v>
      </c>
    </row>
    <row r="28" spans="2:10" ht="15.75" thickBot="1" x14ac:dyDescent="0.3">
      <c r="B28" s="96" t="s">
        <v>331</v>
      </c>
      <c r="C28" s="96"/>
      <c r="D28" s="187">
        <f>D24/(D25-D26)</f>
        <v>73519.711326783305</v>
      </c>
      <c r="F28" s="192">
        <v>7.0000000000000007E-2</v>
      </c>
      <c r="G28" s="22">
        <v>85571.198070812854</v>
      </c>
      <c r="H28" s="22">
        <v>61845.182904957743</v>
      </c>
      <c r="I28" s="22">
        <v>53328.986331937063</v>
      </c>
      <c r="J28" s="22">
        <v>46001.210936738025</v>
      </c>
    </row>
    <row r="31" spans="2:10" x14ac:dyDescent="0.25">
      <c r="B31" s="236" t="s">
        <v>336</v>
      </c>
      <c r="C31" s="236"/>
    </row>
    <row r="33" spans="1:4" x14ac:dyDescent="0.25">
      <c r="B33" t="s">
        <v>324</v>
      </c>
      <c r="D33" s="22">
        <f>SUM(E16:I16)</f>
        <v>13026.221658342351</v>
      </c>
    </row>
    <row r="34" spans="1:4" x14ac:dyDescent="0.25">
      <c r="B34" t="s">
        <v>332</v>
      </c>
      <c r="D34" s="188">
        <f>D28*I14</f>
        <v>40086.614620916058</v>
      </c>
    </row>
    <row r="35" spans="1:4" x14ac:dyDescent="0.25">
      <c r="A35" t="s">
        <v>231</v>
      </c>
      <c r="B35" s="24" t="s">
        <v>333</v>
      </c>
      <c r="C35" s="24"/>
      <c r="D35" s="189">
        <f>SUM(D33:D34)</f>
        <v>53112.836279258408</v>
      </c>
    </row>
    <row r="36" spans="1:4" x14ac:dyDescent="0.25">
      <c r="B36" s="24"/>
      <c r="C36" s="24"/>
      <c r="D36" s="189"/>
    </row>
    <row r="37" spans="1:4" x14ac:dyDescent="0.25">
      <c r="B37" t="s">
        <v>334</v>
      </c>
      <c r="D37" s="22">
        <f>'Data Sheet'!K69</f>
        <v>843.82</v>
      </c>
    </row>
    <row r="38" spans="1:4" x14ac:dyDescent="0.25">
      <c r="B38" t="s">
        <v>335</v>
      </c>
      <c r="D38" s="22">
        <f>SUM('Raw FS'!L8:L9)</f>
        <v>972</v>
      </c>
    </row>
    <row r="39" spans="1:4" x14ac:dyDescent="0.25">
      <c r="D39" s="22"/>
    </row>
    <row r="40" spans="1:4" x14ac:dyDescent="0.25">
      <c r="B40" t="s">
        <v>337</v>
      </c>
      <c r="D40" s="22">
        <f>D35+D37-D38</f>
        <v>52984.656279258408</v>
      </c>
    </row>
    <row r="41" spans="1:4" x14ac:dyDescent="0.25">
      <c r="B41" t="s">
        <v>338</v>
      </c>
      <c r="D41" s="22">
        <f>'Data Sheet'!B6</f>
        <v>95.91977769195897</v>
      </c>
    </row>
    <row r="42" spans="1:4" ht="4.5" customHeight="1" x14ac:dyDescent="0.25"/>
    <row r="43" spans="1:4" ht="15.75" thickBot="1" x14ac:dyDescent="0.3">
      <c r="B43" s="96" t="s">
        <v>339</v>
      </c>
      <c r="C43" s="96"/>
      <c r="D43" s="187">
        <f>D40/D41</f>
        <v>552.38510299112329</v>
      </c>
    </row>
    <row r="45" spans="1:4" x14ac:dyDescent="0.25">
      <c r="B45" t="s">
        <v>340</v>
      </c>
      <c r="D45">
        <v>2978</v>
      </c>
    </row>
    <row r="46" spans="1:4" x14ac:dyDescent="0.25">
      <c r="B46" t="s">
        <v>341</v>
      </c>
      <c r="D46" s="190">
        <f>D45/D43</f>
        <v>5.3911663871352733</v>
      </c>
    </row>
  </sheetData>
  <mergeCells count="3">
    <mergeCell ref="B22:C22"/>
    <mergeCell ref="B31:C31"/>
    <mergeCell ref="F22:J22"/>
  </mergeCells>
  <pageMargins left="0.7" right="0.7" top="0.75" bottom="0.75" header="0.3" footer="0.3"/>
  <pageSetup scale="90" orientation="portrait" r:id="rId1"/>
  <ignoredErrors>
    <ignoredError sqref="D10:I10 D11 E11:I1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1"/>
  <sheetViews>
    <sheetView showGridLines="0" workbookViewId="0">
      <selection activeCell="B16" sqref="B16"/>
    </sheetView>
  </sheetViews>
  <sheetFormatPr defaultRowHeight="15" x14ac:dyDescent="0.25"/>
  <cols>
    <col min="1" max="1" width="1.85546875" customWidth="1"/>
    <col min="2" max="2" width="46.5703125" bestFit="1" customWidth="1"/>
    <col min="3" max="3" width="9.7109375" bestFit="1" customWidth="1"/>
    <col min="4" max="4" width="10.140625" bestFit="1" customWidth="1"/>
    <col min="5" max="5" width="11.85546875" bestFit="1" customWidth="1"/>
    <col min="6" max="6" width="9.42578125" bestFit="1" customWidth="1"/>
    <col min="7" max="7" width="9.5703125" customWidth="1"/>
    <col min="8" max="8" width="7.140625" bestFit="1" customWidth="1"/>
    <col min="9" max="9" width="9.7109375" bestFit="1" customWidth="1"/>
    <col min="10" max="10" width="20.42578125" bestFit="1" customWidth="1"/>
  </cols>
  <sheetData>
    <row r="3" spans="1:10" ht="15.75" customHeight="1" x14ac:dyDescent="0.35">
      <c r="B3" s="126" t="s">
        <v>225</v>
      </c>
    </row>
    <row r="4" spans="1:10" ht="16.5" customHeight="1" x14ac:dyDescent="0.35">
      <c r="B4" s="126"/>
    </row>
    <row r="5" spans="1:10" ht="15.75" customHeight="1" x14ac:dyDescent="0.25">
      <c r="A5" s="23"/>
      <c r="B5" s="171" t="s">
        <v>226</v>
      </c>
    </row>
    <row r="6" spans="1:10" x14ac:dyDescent="0.25">
      <c r="B6" s="23"/>
    </row>
    <row r="7" spans="1:10" ht="15.75" x14ac:dyDescent="0.25">
      <c r="B7" s="124" t="s">
        <v>227</v>
      </c>
    </row>
    <row r="8" spans="1:10" x14ac:dyDescent="0.25">
      <c r="B8" s="167"/>
      <c r="C8" s="168"/>
      <c r="D8" s="168"/>
      <c r="E8" s="168"/>
      <c r="F8" s="168"/>
      <c r="G8" s="169" t="s">
        <v>233</v>
      </c>
      <c r="H8" s="170" t="s">
        <v>233</v>
      </c>
      <c r="I8" s="170" t="s">
        <v>236</v>
      </c>
      <c r="J8" s="170" t="s">
        <v>237</v>
      </c>
    </row>
    <row r="9" spans="1:10" ht="17.25" x14ac:dyDescent="0.25">
      <c r="B9" s="48" t="s">
        <v>213</v>
      </c>
      <c r="C9" s="48" t="s">
        <v>228</v>
      </c>
      <c r="D9" s="48" t="s">
        <v>229</v>
      </c>
      <c r="E9" s="48" t="s">
        <v>230</v>
      </c>
      <c r="F9" s="48" t="s">
        <v>232</v>
      </c>
      <c r="G9" s="48" t="s">
        <v>234</v>
      </c>
      <c r="H9" s="48" t="s">
        <v>235</v>
      </c>
      <c r="I9" s="164" t="s">
        <v>238</v>
      </c>
      <c r="J9" s="164" t="s">
        <v>239</v>
      </c>
    </row>
    <row r="10" spans="1:10" x14ac:dyDescent="0.25">
      <c r="B10" s="123" t="s">
        <v>217</v>
      </c>
      <c r="C10" s="123" t="s">
        <v>240</v>
      </c>
      <c r="D10" s="123">
        <v>2326.77</v>
      </c>
      <c r="E10" s="123">
        <v>285634.71000000002</v>
      </c>
      <c r="F10" s="99">
        <v>0.3</v>
      </c>
      <c r="G10" s="14">
        <f>D10/E10</f>
        <v>8.1459637731002652E-3</v>
      </c>
      <c r="H10" s="14">
        <f>D10/(E10+D10)</f>
        <v>8.0801432191555615E-3</v>
      </c>
      <c r="I10" s="22">
        <f>'Beta Regression'!J7</f>
        <v>0.93013531623327084</v>
      </c>
      <c r="J10" s="22">
        <f>I10/(1+(1-F10)*G10)</f>
        <v>0.92486159390590827</v>
      </c>
    </row>
    <row r="11" spans="1:10" x14ac:dyDescent="0.25">
      <c r="B11" s="123" t="s">
        <v>218</v>
      </c>
      <c r="C11" s="123" t="s">
        <v>240</v>
      </c>
      <c r="D11" s="123">
        <v>1154.17</v>
      </c>
      <c r="E11" s="123">
        <v>64481.08</v>
      </c>
      <c r="F11" s="99">
        <f>F10</f>
        <v>0.3</v>
      </c>
      <c r="G11" s="14">
        <f t="shared" ref="G11:G14" si="0">D11/E11</f>
        <v>1.7899359005773476E-2</v>
      </c>
      <c r="H11" s="14">
        <f t="shared" ref="H11:H14" si="1">D11/(E11+D11)</f>
        <v>1.7584605832993705E-2</v>
      </c>
      <c r="I11" s="22">
        <f>'Beta Regression'!J119</f>
        <v>0.88730485332746445</v>
      </c>
      <c r="J11" s="22">
        <f t="shared" ref="J11:J14" si="2">I11/(1+(1-F11)*G11)</f>
        <v>0.87632489558917104</v>
      </c>
    </row>
    <row r="12" spans="1:10" x14ac:dyDescent="0.25">
      <c r="B12" s="123" t="s">
        <v>219</v>
      </c>
      <c r="C12" s="123" t="s">
        <v>240</v>
      </c>
      <c r="D12" s="123">
        <v>323.27</v>
      </c>
      <c r="E12" s="123">
        <v>24655.58</v>
      </c>
      <c r="F12" s="99">
        <f t="shared" ref="F12:F14" si="3">F11</f>
        <v>0.3</v>
      </c>
      <c r="G12" s="14">
        <f t="shared" si="0"/>
        <v>1.3111433598398413E-2</v>
      </c>
      <c r="H12" s="14">
        <f t="shared" si="1"/>
        <v>1.2941748719416625E-2</v>
      </c>
      <c r="I12" s="22">
        <f>'Beta Regression'!J231</f>
        <v>0.89393171209780109</v>
      </c>
      <c r="J12" s="22">
        <f t="shared" si="2"/>
        <v>0.88580181987793216</v>
      </c>
    </row>
    <row r="13" spans="1:10" x14ac:dyDescent="0.25">
      <c r="B13" s="123" t="s">
        <v>220</v>
      </c>
      <c r="C13" s="123" t="s">
        <v>240</v>
      </c>
      <c r="D13" s="123">
        <v>62.8</v>
      </c>
      <c r="E13" s="123">
        <v>11123.45</v>
      </c>
      <c r="F13" s="99">
        <f t="shared" si="3"/>
        <v>0.3</v>
      </c>
      <c r="G13" s="14">
        <f t="shared" si="0"/>
        <v>5.6457304163726177E-3</v>
      </c>
      <c r="H13" s="14">
        <f t="shared" si="1"/>
        <v>5.6140350877192978E-3</v>
      </c>
      <c r="I13" s="22">
        <f>'Beta Regression'!J343</f>
        <v>0.39927100450791952</v>
      </c>
      <c r="J13" s="22">
        <f t="shared" si="2"/>
        <v>0.39769929241369462</v>
      </c>
    </row>
    <row r="14" spans="1:10" x14ac:dyDescent="0.25">
      <c r="B14" s="123" t="s">
        <v>221</v>
      </c>
      <c r="C14" s="123" t="s">
        <v>240</v>
      </c>
      <c r="D14" s="123">
        <v>13.68</v>
      </c>
      <c r="E14" s="123">
        <v>6970.29</v>
      </c>
      <c r="F14" s="99">
        <f t="shared" si="3"/>
        <v>0.3</v>
      </c>
      <c r="G14" s="14">
        <f t="shared" si="0"/>
        <v>1.9626156157060899E-3</v>
      </c>
      <c r="H14" s="14">
        <f t="shared" si="1"/>
        <v>1.9587713005640058E-3</v>
      </c>
      <c r="I14" s="22">
        <f>'Beta Regression'!J455</f>
        <v>0.73337227605984423</v>
      </c>
      <c r="J14" s="22">
        <f t="shared" si="2"/>
        <v>0.73236612881925978</v>
      </c>
    </row>
    <row r="16" spans="1:10" x14ac:dyDescent="0.25">
      <c r="E16" t="s">
        <v>266</v>
      </c>
      <c r="F16" s="98">
        <f>AVERAGE(F10:F14)</f>
        <v>0.3</v>
      </c>
      <c r="G16" s="98">
        <f>AVERAGE(G10:G14)</f>
        <v>9.3530204818701723E-3</v>
      </c>
      <c r="H16" s="98">
        <f t="shared" ref="H16:I16" si="4">AVERAGE(H10:H14)</f>
        <v>9.2358608319698388E-3</v>
      </c>
      <c r="I16" s="98">
        <f t="shared" si="4"/>
        <v>0.76880303244525994</v>
      </c>
      <c r="J16" s="98">
        <f>AVERAGE(J10:J14)</f>
        <v>0.76341074612119331</v>
      </c>
    </row>
    <row r="17" spans="2:10" x14ac:dyDescent="0.25">
      <c r="E17" t="s">
        <v>151</v>
      </c>
      <c r="F17" s="98">
        <f>MEDIAN(F10:F14)</f>
        <v>0.3</v>
      </c>
      <c r="G17" s="98">
        <f>MEDIAN(G10:G14)</f>
        <v>8.1459637731002652E-3</v>
      </c>
      <c r="H17" s="98">
        <f>MEDIAN(H10:H14)</f>
        <v>8.0801432191555615E-3</v>
      </c>
      <c r="I17" s="98">
        <f t="shared" ref="I17" si="5">MEDIAN(I10:I14)</f>
        <v>0.88730485332746445</v>
      </c>
      <c r="J17" s="98">
        <f>MEDIAN(J10:J14)</f>
        <v>0.87632489558917104</v>
      </c>
    </row>
    <row r="19" spans="2:10" x14ac:dyDescent="0.25">
      <c r="B19" s="129"/>
      <c r="C19" s="129"/>
      <c r="D19" s="129"/>
      <c r="E19" s="129"/>
      <c r="F19" s="129"/>
      <c r="G19" s="129"/>
      <c r="H19" s="129"/>
      <c r="I19" s="129"/>
      <c r="J19" s="129"/>
    </row>
    <row r="20" spans="2:10" x14ac:dyDescent="0.25">
      <c r="B20" s="142" t="s">
        <v>265</v>
      </c>
      <c r="C20" s="142"/>
      <c r="D20" s="139"/>
      <c r="E20" s="139"/>
      <c r="F20" s="129"/>
      <c r="G20" s="142" t="s">
        <v>259</v>
      </c>
      <c r="H20" s="139"/>
      <c r="I20" s="139"/>
      <c r="J20" s="139"/>
    </row>
    <row r="21" spans="2:10" x14ac:dyDescent="0.25">
      <c r="B21" s="129"/>
      <c r="C21" s="129"/>
      <c r="D21" s="129"/>
      <c r="E21" s="129"/>
      <c r="F21" s="129"/>
      <c r="G21" s="129"/>
      <c r="H21" s="129"/>
      <c r="I21" s="129"/>
      <c r="J21" s="129"/>
    </row>
    <row r="22" spans="2:10" x14ac:dyDescent="0.25">
      <c r="B22" s="129" t="s">
        <v>264</v>
      </c>
      <c r="C22" s="129"/>
      <c r="D22" s="129"/>
      <c r="E22" s="151">
        <f>67/630</f>
        <v>0.10634920634920635</v>
      </c>
      <c r="F22" s="129"/>
      <c r="G22" s="129" t="s">
        <v>263</v>
      </c>
      <c r="H22" s="129"/>
      <c r="I22" s="129"/>
      <c r="J22" s="151">
        <v>7.3910000000000003E-2</v>
      </c>
    </row>
    <row r="23" spans="2:10" x14ac:dyDescent="0.25">
      <c r="B23" s="129" t="s">
        <v>253</v>
      </c>
      <c r="C23" s="129"/>
      <c r="D23" s="129"/>
      <c r="E23" s="147">
        <f>F17</f>
        <v>0.3</v>
      </c>
      <c r="F23" s="129"/>
      <c r="G23" s="129" t="s">
        <v>262</v>
      </c>
      <c r="H23" s="129"/>
      <c r="I23" s="129"/>
      <c r="J23" s="147">
        <f>Rm!G7-WACC!J22</f>
        <v>8.0524782608695639E-2</v>
      </c>
    </row>
    <row r="24" spans="2:10" ht="17.25" x14ac:dyDescent="0.25">
      <c r="B24" s="135" t="s">
        <v>261</v>
      </c>
      <c r="C24" s="135"/>
      <c r="D24" s="135"/>
      <c r="E24" s="150">
        <f>E22*(1-E23)</f>
        <v>7.4444444444444438E-2</v>
      </c>
      <c r="F24" s="129"/>
      <c r="G24" s="129" t="s">
        <v>260</v>
      </c>
      <c r="H24" s="129"/>
      <c r="I24" s="129"/>
      <c r="J24" s="148">
        <f>J33</f>
        <v>0.8820432397656508</v>
      </c>
    </row>
    <row r="25" spans="2:10" x14ac:dyDescent="0.25">
      <c r="B25" s="129"/>
      <c r="C25" s="129"/>
      <c r="D25" s="129"/>
      <c r="E25" s="129"/>
      <c r="F25" s="129"/>
      <c r="G25" s="135" t="s">
        <v>259</v>
      </c>
      <c r="H25" s="135"/>
      <c r="I25" s="135"/>
      <c r="J25" s="172">
        <f>J22+J23*J24</f>
        <v>0.14493634013359863</v>
      </c>
    </row>
    <row r="26" spans="2:10" x14ac:dyDescent="0.25">
      <c r="B26" s="129"/>
      <c r="C26" s="129"/>
      <c r="D26" s="129"/>
      <c r="E26" s="129"/>
      <c r="F26" s="129"/>
      <c r="G26" s="129"/>
      <c r="H26" s="129"/>
      <c r="I26" s="129"/>
      <c r="J26" s="129"/>
    </row>
    <row r="27" spans="2:10" x14ac:dyDescent="0.25">
      <c r="B27" s="129"/>
      <c r="C27" s="129"/>
      <c r="D27" s="129"/>
      <c r="E27" s="129"/>
      <c r="F27" s="129"/>
      <c r="G27" s="129"/>
      <c r="H27" s="129"/>
      <c r="I27" s="129"/>
      <c r="J27" s="129"/>
    </row>
    <row r="28" spans="2:10" x14ac:dyDescent="0.25">
      <c r="B28" s="142" t="s">
        <v>258</v>
      </c>
      <c r="C28" s="142"/>
      <c r="D28" s="139"/>
      <c r="E28" s="139"/>
      <c r="F28" s="129"/>
      <c r="G28" s="142" t="s">
        <v>251</v>
      </c>
      <c r="H28" s="142"/>
      <c r="I28" s="139"/>
      <c r="J28" s="139"/>
    </row>
    <row r="29" spans="2:10" x14ac:dyDescent="0.25">
      <c r="B29" s="129"/>
      <c r="C29" s="129"/>
      <c r="D29" s="129"/>
      <c r="E29" s="129"/>
      <c r="F29" s="129"/>
      <c r="G29" s="129"/>
      <c r="H29" s="129"/>
      <c r="I29" s="129"/>
      <c r="J29" s="129"/>
    </row>
    <row r="30" spans="2:10" x14ac:dyDescent="0.25">
      <c r="B30" s="129"/>
      <c r="C30" s="129"/>
      <c r="D30" s="149" t="s">
        <v>257</v>
      </c>
      <c r="E30" s="149" t="s">
        <v>256</v>
      </c>
      <c r="F30" s="129"/>
      <c r="G30" s="129" t="s">
        <v>255</v>
      </c>
      <c r="H30" s="129"/>
      <c r="I30" s="129"/>
      <c r="J30" s="148">
        <f>J17</f>
        <v>0.87632489558917104</v>
      </c>
    </row>
    <row r="31" spans="2:10" x14ac:dyDescent="0.25">
      <c r="B31" s="129" t="s">
        <v>229</v>
      </c>
      <c r="C31" s="146">
        <f>D10</f>
        <v>2326.77</v>
      </c>
      <c r="D31" s="145">
        <f>C31/$C$33</f>
        <v>8.0801432191555615E-3</v>
      </c>
      <c r="E31" s="147">
        <f>H16</f>
        <v>9.2358608319698388E-3</v>
      </c>
      <c r="F31" s="129"/>
      <c r="G31" s="129" t="s">
        <v>254</v>
      </c>
      <c r="H31" s="129"/>
      <c r="I31" s="129"/>
      <c r="J31" s="137">
        <f>E35</f>
        <v>9.321957130710672E-3</v>
      </c>
    </row>
    <row r="32" spans="2:10" x14ac:dyDescent="0.25">
      <c r="B32" s="129" t="s">
        <v>44</v>
      </c>
      <c r="C32" s="146">
        <f>E10</f>
        <v>285634.71000000002</v>
      </c>
      <c r="D32" s="145">
        <f>C32/$C$33</f>
        <v>0.99191985678084438</v>
      </c>
      <c r="E32" s="137">
        <f>E33-E31</f>
        <v>0.99076413916803019</v>
      </c>
      <c r="F32" s="129"/>
      <c r="G32" s="129" t="s">
        <v>253</v>
      </c>
      <c r="H32" s="129"/>
      <c r="I32" s="129"/>
      <c r="J32" s="137">
        <f>E23</f>
        <v>0.3</v>
      </c>
    </row>
    <row r="33" spans="2:10" x14ac:dyDescent="0.25">
      <c r="B33" s="129" t="s">
        <v>252</v>
      </c>
      <c r="C33" s="146">
        <f>SUM(C31:C32)</f>
        <v>287961.48000000004</v>
      </c>
      <c r="D33" s="145">
        <f>C33/$C$33</f>
        <v>1</v>
      </c>
      <c r="E33" s="137">
        <f>D33</f>
        <v>1</v>
      </c>
      <c r="F33" s="129"/>
      <c r="G33" s="135" t="s">
        <v>251</v>
      </c>
      <c r="H33" s="135"/>
      <c r="I33" s="135"/>
      <c r="J33" s="144">
        <f>J30*(1+(1-J32)*J31)</f>
        <v>0.8820432397656508</v>
      </c>
    </row>
    <row r="34" spans="2:10" x14ac:dyDescent="0.25">
      <c r="B34" s="129"/>
      <c r="C34" s="129"/>
      <c r="D34" s="129"/>
      <c r="E34" s="129"/>
      <c r="F34" s="129"/>
      <c r="G34" s="129"/>
      <c r="H34" s="129"/>
      <c r="I34" s="129"/>
      <c r="J34" s="129"/>
    </row>
    <row r="35" spans="2:10" x14ac:dyDescent="0.25">
      <c r="B35" s="129" t="s">
        <v>250</v>
      </c>
      <c r="C35" s="129"/>
      <c r="D35" s="143">
        <f>D31/D32</f>
        <v>8.1459637731002652E-3</v>
      </c>
      <c r="E35" s="143">
        <f>E31/E32</f>
        <v>9.321957130710672E-3</v>
      </c>
      <c r="F35" s="129"/>
      <c r="G35" s="142" t="s">
        <v>225</v>
      </c>
      <c r="H35" s="142"/>
      <c r="I35" s="139"/>
      <c r="J35" s="139"/>
    </row>
    <row r="36" spans="2:10" x14ac:dyDescent="0.25">
      <c r="B36" s="129"/>
      <c r="C36" s="129"/>
      <c r="D36" s="129"/>
      <c r="E36" s="129"/>
      <c r="F36" s="129"/>
      <c r="G36" s="129"/>
      <c r="H36" s="129"/>
      <c r="I36" s="129"/>
      <c r="J36" s="129"/>
    </row>
    <row r="37" spans="2:10" x14ac:dyDescent="0.25">
      <c r="B37" s="141" t="s">
        <v>249</v>
      </c>
      <c r="C37" s="129"/>
      <c r="D37" s="129"/>
      <c r="E37" s="129"/>
      <c r="F37" s="129"/>
      <c r="G37" s="129"/>
      <c r="H37" s="129"/>
      <c r="I37" s="140" t="s">
        <v>248</v>
      </c>
      <c r="J37" s="139" t="s">
        <v>247</v>
      </c>
    </row>
    <row r="38" spans="2:10" x14ac:dyDescent="0.25">
      <c r="B38" s="138" t="s">
        <v>246</v>
      </c>
      <c r="C38" s="134"/>
      <c r="D38" s="134"/>
      <c r="E38" s="133"/>
      <c r="F38" s="129"/>
      <c r="G38" s="129" t="s">
        <v>245</v>
      </c>
      <c r="H38" s="129"/>
      <c r="I38" s="137">
        <f>E24</f>
        <v>7.4444444444444438E-2</v>
      </c>
      <c r="J38" s="137">
        <f>E31</f>
        <v>9.2358608319698388E-3</v>
      </c>
    </row>
    <row r="39" spans="2:10" x14ac:dyDescent="0.25">
      <c r="B39" s="134" t="s">
        <v>244</v>
      </c>
      <c r="C39" s="134"/>
      <c r="D39" s="134"/>
      <c r="E39" s="133"/>
      <c r="F39" s="129"/>
      <c r="G39" s="129" t="s">
        <v>234</v>
      </c>
      <c r="H39" s="129"/>
      <c r="I39" s="137">
        <f>J25</f>
        <v>0.14493634013359863</v>
      </c>
      <c r="J39" s="136">
        <f>E32</f>
        <v>0.99076413916803019</v>
      </c>
    </row>
    <row r="40" spans="2:10" x14ac:dyDescent="0.25">
      <c r="B40" s="134" t="s">
        <v>243</v>
      </c>
      <c r="C40" s="134"/>
      <c r="D40" s="134"/>
      <c r="E40" s="133"/>
      <c r="F40" s="129"/>
      <c r="G40" s="135"/>
      <c r="H40" s="135"/>
      <c r="I40" s="135"/>
      <c r="J40" s="129"/>
    </row>
    <row r="41" spans="2:10" x14ac:dyDescent="0.25">
      <c r="B41" s="134" t="s">
        <v>242</v>
      </c>
      <c r="C41" s="134"/>
      <c r="D41" s="134"/>
      <c r="E41" s="133"/>
      <c r="F41" s="129"/>
      <c r="G41" s="132" t="s">
        <v>241</v>
      </c>
      <c r="H41" s="131"/>
      <c r="I41" s="131"/>
      <c r="J41" s="130">
        <f>(I39*J39)+(I38*J38)</f>
        <v>0.14428528679523187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562"/>
  <sheetViews>
    <sheetView showGridLines="0" workbookViewId="0">
      <selection activeCell="A4" sqref="A4"/>
    </sheetView>
  </sheetViews>
  <sheetFormatPr defaultRowHeight="15" x14ac:dyDescent="0.25"/>
  <cols>
    <col min="1" max="1" width="1.85546875" customWidth="1"/>
    <col min="2" max="2" width="20" bestFit="1" customWidth="1"/>
    <col min="3" max="3" width="12.28515625" bestFit="1" customWidth="1"/>
    <col min="5" max="5" width="2.7109375" customWidth="1"/>
    <col min="6" max="6" width="12.28515625" bestFit="1" customWidth="1"/>
    <col min="9" max="9" width="18" bestFit="1" customWidth="1"/>
  </cols>
  <sheetData>
    <row r="3" spans="1:10" ht="18.75" x14ac:dyDescent="0.3">
      <c r="B3" s="125" t="s">
        <v>268</v>
      </c>
    </row>
    <row r="5" spans="1:10" x14ac:dyDescent="0.25">
      <c r="A5" t="s">
        <v>194</v>
      </c>
      <c r="B5" s="236" t="s">
        <v>269</v>
      </c>
      <c r="C5" s="236"/>
      <c r="D5" s="236"/>
      <c r="F5" s="236" t="s">
        <v>272</v>
      </c>
      <c r="G5" s="236"/>
    </row>
    <row r="7" spans="1:10" x14ac:dyDescent="0.25">
      <c r="B7" s="48" t="s">
        <v>267</v>
      </c>
      <c r="C7" s="48" t="s">
        <v>270</v>
      </c>
      <c r="D7" s="152" t="s">
        <v>271</v>
      </c>
      <c r="F7" s="48" t="s">
        <v>270</v>
      </c>
      <c r="G7" s="152" t="s">
        <v>271</v>
      </c>
      <c r="I7" s="161" t="s">
        <v>273</v>
      </c>
      <c r="J7" s="162">
        <f>J26</f>
        <v>0.93013531623327084</v>
      </c>
    </row>
    <row r="9" spans="1:10" x14ac:dyDescent="0.25">
      <c r="B9" s="153">
        <v>44501</v>
      </c>
      <c r="C9" s="154">
        <v>3110.4426269999999</v>
      </c>
      <c r="F9" s="154">
        <v>17916.800781000002</v>
      </c>
      <c r="I9" t="s">
        <v>274</v>
      </c>
    </row>
    <row r="10" spans="1:10" ht="15.75" thickBot="1" x14ac:dyDescent="0.3">
      <c r="B10" s="153">
        <v>44508</v>
      </c>
      <c r="C10" s="154">
        <v>3074.6540530000002</v>
      </c>
      <c r="D10" s="14">
        <f>C10/C9-1</f>
        <v>-1.1505942494916765E-2</v>
      </c>
      <c r="F10" s="154">
        <v>18102.75</v>
      </c>
      <c r="G10" s="14">
        <f>F10/F9-1</f>
        <v>1.0378483372834646E-2</v>
      </c>
    </row>
    <row r="11" spans="1:10" x14ac:dyDescent="0.25">
      <c r="B11" s="153">
        <v>44515</v>
      </c>
      <c r="C11" s="154">
        <v>3176.9982909999999</v>
      </c>
      <c r="D11" s="14">
        <f t="shared" ref="D11:D74" si="0">C11/C10-1</f>
        <v>3.3286423849909319E-2</v>
      </c>
      <c r="F11" s="154">
        <v>17764.800781000002</v>
      </c>
      <c r="G11" s="14">
        <f>F11/F10-1</f>
        <v>-1.8668391211279944E-2</v>
      </c>
      <c r="I11" s="158" t="s">
        <v>275</v>
      </c>
      <c r="J11" s="158"/>
    </row>
    <row r="12" spans="1:10" x14ac:dyDescent="0.25">
      <c r="B12" s="153">
        <v>44522</v>
      </c>
      <c r="C12" s="154">
        <v>3094.5422359999998</v>
      </c>
      <c r="D12" s="14">
        <f t="shared" si="0"/>
        <v>-2.5954075969630397E-2</v>
      </c>
      <c r="F12" s="154">
        <v>17026.449218999998</v>
      </c>
      <c r="G12" s="14">
        <f t="shared" ref="G12:G74" si="1">F12/F11-1</f>
        <v>-4.1562614245001406E-2</v>
      </c>
      <c r="I12" s="155" t="s">
        <v>276</v>
      </c>
      <c r="J12" s="155">
        <v>0.50563187467331894</v>
      </c>
    </row>
    <row r="13" spans="1:10" x14ac:dyDescent="0.25">
      <c r="B13" s="153">
        <v>44529</v>
      </c>
      <c r="C13" s="154">
        <v>3062.3964839999999</v>
      </c>
      <c r="D13" s="14">
        <f t="shared" si="0"/>
        <v>-1.038788600977425E-2</v>
      </c>
      <c r="F13" s="154">
        <v>17196.699218999998</v>
      </c>
      <c r="G13" s="14">
        <f t="shared" si="1"/>
        <v>9.9991488424970854E-3</v>
      </c>
      <c r="I13" s="155" t="s">
        <v>277</v>
      </c>
      <c r="J13" s="155">
        <v>0.25566359268565492</v>
      </c>
    </row>
    <row r="14" spans="1:10" x14ac:dyDescent="0.25">
      <c r="B14" s="153">
        <v>44536</v>
      </c>
      <c r="C14" s="154">
        <v>3232.4284670000002</v>
      </c>
      <c r="D14" s="14">
        <f t="shared" si="0"/>
        <v>5.5522524234977721E-2</v>
      </c>
      <c r="F14" s="154">
        <v>17511.300781000002</v>
      </c>
      <c r="G14" s="14">
        <f t="shared" si="1"/>
        <v>1.8294299271828462E-2</v>
      </c>
      <c r="I14" s="155" t="s">
        <v>278</v>
      </c>
      <c r="J14" s="155">
        <v>0.24843702562435058</v>
      </c>
    </row>
    <row r="15" spans="1:10" x14ac:dyDescent="0.25">
      <c r="B15" s="153">
        <v>44543</v>
      </c>
      <c r="C15" s="154">
        <v>3193.588135</v>
      </c>
      <c r="D15" s="14">
        <f t="shared" si="0"/>
        <v>-1.2015836513173506E-2</v>
      </c>
      <c r="F15" s="154">
        <v>16985.199218999998</v>
      </c>
      <c r="G15" s="14">
        <f t="shared" si="1"/>
        <v>-3.0043545512668635E-2</v>
      </c>
      <c r="I15" s="155" t="s">
        <v>279</v>
      </c>
      <c r="J15" s="155">
        <v>3.0617003117762682E-2</v>
      </c>
    </row>
    <row r="16" spans="1:10" ht="15.75" thickBot="1" x14ac:dyDescent="0.3">
      <c r="B16" s="153">
        <v>44550</v>
      </c>
      <c r="C16" s="154">
        <v>3234.0532229999999</v>
      </c>
      <c r="D16" s="14">
        <f t="shared" si="0"/>
        <v>1.2670728437560452E-2</v>
      </c>
      <c r="F16" s="154">
        <v>17003.75</v>
      </c>
      <c r="G16" s="14">
        <f t="shared" si="1"/>
        <v>1.0921732951623131E-3</v>
      </c>
      <c r="I16" s="156" t="s">
        <v>280</v>
      </c>
      <c r="J16" s="156">
        <v>105</v>
      </c>
    </row>
    <row r="17" spans="2:17" x14ac:dyDescent="0.25">
      <c r="B17" s="153">
        <v>44557</v>
      </c>
      <c r="C17" s="154">
        <v>3330.686768</v>
      </c>
      <c r="D17" s="14">
        <f t="shared" si="0"/>
        <v>2.9880010728568163E-2</v>
      </c>
      <c r="F17" s="154">
        <v>17354.050781000002</v>
      </c>
      <c r="G17" s="14">
        <f t="shared" si="1"/>
        <v>2.0601383871204915E-2</v>
      </c>
    </row>
    <row r="18" spans="2:17" ht="15.75" thickBot="1" x14ac:dyDescent="0.3">
      <c r="B18" s="153">
        <v>44564</v>
      </c>
      <c r="C18" s="154">
        <v>3521.0493160000001</v>
      </c>
      <c r="D18" s="14">
        <f t="shared" si="0"/>
        <v>5.7154143052097428E-2</v>
      </c>
      <c r="F18" s="154">
        <v>17812.699218999998</v>
      </c>
      <c r="G18" s="14">
        <f t="shared" si="1"/>
        <v>2.6428898001275014E-2</v>
      </c>
      <c r="I18" t="s">
        <v>281</v>
      </c>
    </row>
    <row r="19" spans="2:17" x14ac:dyDescent="0.25">
      <c r="B19" s="153">
        <v>44571</v>
      </c>
      <c r="C19" s="154">
        <v>3312.4233399999998</v>
      </c>
      <c r="D19" s="14">
        <f t="shared" si="0"/>
        <v>-5.9251080367429987E-2</v>
      </c>
      <c r="F19" s="154">
        <v>18255.75</v>
      </c>
      <c r="G19" s="14">
        <f t="shared" si="1"/>
        <v>2.4872748119354027E-2</v>
      </c>
      <c r="I19" s="157"/>
      <c r="J19" s="157" t="s">
        <v>285</v>
      </c>
      <c r="K19" s="157" t="s">
        <v>286</v>
      </c>
      <c r="L19" s="157" t="s">
        <v>287</v>
      </c>
      <c r="M19" s="157" t="s">
        <v>288</v>
      </c>
      <c r="N19" s="157" t="s">
        <v>289</v>
      </c>
    </row>
    <row r="20" spans="2:17" x14ac:dyDescent="0.25">
      <c r="B20" s="153">
        <v>44578</v>
      </c>
      <c r="C20" s="154">
        <v>3224.256836</v>
      </c>
      <c r="D20" s="14">
        <f t="shared" si="0"/>
        <v>-2.6616919080155954E-2</v>
      </c>
      <c r="F20" s="154">
        <v>17617.150390999999</v>
      </c>
      <c r="G20" s="14">
        <f t="shared" si="1"/>
        <v>-3.4980738068827621E-2</v>
      </c>
      <c r="I20" s="155" t="s">
        <v>282</v>
      </c>
      <c r="J20" s="155">
        <v>1</v>
      </c>
      <c r="K20" s="155">
        <v>3.3163641146923592E-2</v>
      </c>
      <c r="L20" s="155">
        <v>3.3163641146923592E-2</v>
      </c>
      <c r="M20" s="155">
        <v>35.37829103595287</v>
      </c>
      <c r="N20" s="155">
        <v>3.7621247755457217E-8</v>
      </c>
    </row>
    <row r="21" spans="2:17" x14ac:dyDescent="0.25">
      <c r="B21" s="153">
        <v>44585</v>
      </c>
      <c r="C21" s="154">
        <v>3062.7905270000001</v>
      </c>
      <c r="D21" s="14">
        <f t="shared" si="0"/>
        <v>-5.0078612595984895E-2</v>
      </c>
      <c r="F21" s="154">
        <v>17101.949218999998</v>
      </c>
      <c r="G21" s="14">
        <f t="shared" si="1"/>
        <v>-2.9244296640800638E-2</v>
      </c>
      <c r="I21" s="155" t="s">
        <v>283</v>
      </c>
      <c r="J21" s="155">
        <v>103</v>
      </c>
      <c r="K21" s="155">
        <v>9.655229063104824E-2</v>
      </c>
      <c r="L21" s="155">
        <v>9.3740087991308967E-4</v>
      </c>
      <c r="M21" s="155"/>
      <c r="N21" s="155"/>
    </row>
    <row r="22" spans="2:17" ht="15.75" thickBot="1" x14ac:dyDescent="0.3">
      <c r="B22" s="153">
        <v>44592</v>
      </c>
      <c r="C22" s="154">
        <v>3186.6467290000001</v>
      </c>
      <c r="D22" s="14">
        <f t="shared" si="0"/>
        <v>4.0439005184372379E-2</v>
      </c>
      <c r="F22" s="154">
        <v>17516.300781000002</v>
      </c>
      <c r="G22" s="14">
        <f t="shared" si="1"/>
        <v>2.4228323724623468E-2</v>
      </c>
      <c r="I22" s="156" t="s">
        <v>15</v>
      </c>
      <c r="J22" s="156">
        <v>104</v>
      </c>
      <c r="K22" s="156">
        <v>0.12971593177797183</v>
      </c>
      <c r="L22" s="156"/>
      <c r="M22" s="156"/>
      <c r="N22" s="156"/>
    </row>
    <row r="23" spans="2:17" ht="15.75" thickBot="1" x14ac:dyDescent="0.3">
      <c r="B23" s="153">
        <v>44599</v>
      </c>
      <c r="C23" s="154">
        <v>3166.611328</v>
      </c>
      <c r="D23" s="14">
        <f t="shared" si="0"/>
        <v>-6.2872990650857385E-3</v>
      </c>
      <c r="F23" s="154">
        <v>17374.75</v>
      </c>
      <c r="G23" s="14">
        <f t="shared" si="1"/>
        <v>-8.0810887395552644E-3</v>
      </c>
    </row>
    <row r="24" spans="2:17" x14ac:dyDescent="0.25">
      <c r="B24" s="153">
        <v>44606</v>
      </c>
      <c r="C24" s="154">
        <v>3208.110107</v>
      </c>
      <c r="D24" s="14">
        <f t="shared" si="0"/>
        <v>1.3105106595513227E-2</v>
      </c>
      <c r="F24" s="154">
        <v>17276.300781000002</v>
      </c>
      <c r="G24" s="14">
        <f t="shared" si="1"/>
        <v>-5.66622362911684E-3</v>
      </c>
      <c r="I24" s="157"/>
      <c r="J24" s="157" t="s">
        <v>290</v>
      </c>
      <c r="K24" s="157" t="s">
        <v>279</v>
      </c>
      <c r="L24" s="157" t="s">
        <v>291</v>
      </c>
      <c r="M24" s="157" t="s">
        <v>292</v>
      </c>
      <c r="N24" s="157" t="s">
        <v>293</v>
      </c>
      <c r="O24" s="157" t="s">
        <v>294</v>
      </c>
      <c r="P24" s="157" t="s">
        <v>295</v>
      </c>
      <c r="Q24" s="157" t="s">
        <v>296</v>
      </c>
    </row>
    <row r="25" spans="2:17" x14ac:dyDescent="0.25">
      <c r="B25" s="153">
        <v>44613</v>
      </c>
      <c r="C25" s="154">
        <v>3071.0109859999998</v>
      </c>
      <c r="D25" s="14">
        <f t="shared" si="0"/>
        <v>-4.273516694481716E-2</v>
      </c>
      <c r="F25" s="154">
        <v>16658.400390999999</v>
      </c>
      <c r="G25" s="14">
        <f t="shared" si="1"/>
        <v>-3.5765780987070617E-2</v>
      </c>
      <c r="I25" s="155" t="s">
        <v>284</v>
      </c>
      <c r="J25" s="155">
        <v>-5.8711620780648561E-4</v>
      </c>
      <c r="K25" s="155">
        <v>2.9909215742330167E-3</v>
      </c>
      <c r="L25" s="155">
        <v>-0.19629943254431337</v>
      </c>
      <c r="M25" s="155">
        <v>0.84476258781799696</v>
      </c>
      <c r="N25" s="155">
        <v>-6.5189037258122223E-3</v>
      </c>
      <c r="O25" s="155">
        <v>5.3446713101992505E-3</v>
      </c>
      <c r="P25" s="155">
        <v>-6.5189037258122223E-3</v>
      </c>
      <c r="Q25" s="155">
        <v>5.3446713101992505E-3</v>
      </c>
    </row>
    <row r="26" spans="2:17" ht="15.75" thickBot="1" x14ac:dyDescent="0.3">
      <c r="B26" s="153">
        <v>44620</v>
      </c>
      <c r="C26" s="154">
        <v>2695.8481449999999</v>
      </c>
      <c r="D26" s="14">
        <f t="shared" si="0"/>
        <v>-0.12216265025109874</v>
      </c>
      <c r="F26" s="154">
        <v>16245.349609000001</v>
      </c>
      <c r="G26" s="14">
        <f t="shared" si="1"/>
        <v>-2.479534482933643E-2</v>
      </c>
      <c r="I26" s="156" t="s">
        <v>297</v>
      </c>
      <c r="J26" s="156">
        <v>0.93013531623327084</v>
      </c>
      <c r="K26" s="156">
        <v>0.15637873988963463</v>
      </c>
      <c r="L26" s="156">
        <v>5.9479652853688441</v>
      </c>
      <c r="M26" s="156">
        <v>3.7621247755457217E-8</v>
      </c>
      <c r="N26" s="156">
        <v>0.61999496840530322</v>
      </c>
      <c r="O26" s="156">
        <v>1.2402756640612385</v>
      </c>
      <c r="P26" s="156">
        <v>0.61999496840530322</v>
      </c>
      <c r="Q26" s="156">
        <v>1.2402756640612385</v>
      </c>
    </row>
    <row r="27" spans="2:17" x14ac:dyDescent="0.25">
      <c r="B27" s="153">
        <v>44627</v>
      </c>
      <c r="C27" s="154">
        <v>2886.7033689999998</v>
      </c>
      <c r="D27" s="14">
        <f t="shared" si="0"/>
        <v>7.0795984690005476E-2</v>
      </c>
      <c r="F27" s="154">
        <v>16630.449218999998</v>
      </c>
      <c r="G27" s="14">
        <f t="shared" si="1"/>
        <v>2.3705221449137115E-2</v>
      </c>
    </row>
    <row r="28" spans="2:17" x14ac:dyDescent="0.25">
      <c r="B28" s="153">
        <v>44634</v>
      </c>
      <c r="C28" s="154">
        <v>3088.142578</v>
      </c>
      <c r="D28" s="14">
        <f t="shared" si="0"/>
        <v>6.9781748676789768E-2</v>
      </c>
      <c r="F28" s="154">
        <v>17287.050781000002</v>
      </c>
      <c r="G28" s="14">
        <f t="shared" si="1"/>
        <v>3.9481889716475482E-2</v>
      </c>
    </row>
    <row r="29" spans="2:17" x14ac:dyDescent="0.25">
      <c r="B29" s="153">
        <v>44641</v>
      </c>
      <c r="C29" s="154">
        <v>2999.8774410000001</v>
      </c>
      <c r="D29" s="14">
        <f t="shared" si="0"/>
        <v>-2.8581950078601537E-2</v>
      </c>
      <c r="F29" s="154">
        <v>17153</v>
      </c>
      <c r="G29" s="14">
        <f t="shared" si="1"/>
        <v>-7.7544043051771538E-3</v>
      </c>
    </row>
    <row r="30" spans="2:17" x14ac:dyDescent="0.25">
      <c r="B30" s="153">
        <v>44648</v>
      </c>
      <c r="C30" s="154">
        <v>3066.0390630000002</v>
      </c>
      <c r="D30" s="14">
        <f t="shared" si="0"/>
        <v>2.2054775003723215E-2</v>
      </c>
      <c r="F30" s="154">
        <v>17670.449218999998</v>
      </c>
      <c r="G30" s="14">
        <f t="shared" si="1"/>
        <v>3.0166689150585846E-2</v>
      </c>
    </row>
    <row r="31" spans="2:17" x14ac:dyDescent="0.25">
      <c r="B31" s="153">
        <v>44655</v>
      </c>
      <c r="C31" s="154">
        <v>3156.7165530000002</v>
      </c>
      <c r="D31" s="14">
        <f t="shared" si="0"/>
        <v>2.9574799321465894E-2</v>
      </c>
      <c r="F31" s="154">
        <v>17784.349609000001</v>
      </c>
      <c r="G31" s="14">
        <f t="shared" si="1"/>
        <v>6.4458117950692007E-3</v>
      </c>
    </row>
    <row r="32" spans="2:17" x14ac:dyDescent="0.25">
      <c r="B32" s="153">
        <v>44662</v>
      </c>
      <c r="C32" s="154">
        <v>3033.056885</v>
      </c>
      <c r="D32" s="14">
        <f t="shared" si="0"/>
        <v>-3.9173510172295867E-2</v>
      </c>
      <c r="F32" s="154">
        <v>17475.650390999999</v>
      </c>
      <c r="G32" s="14">
        <f t="shared" si="1"/>
        <v>-1.7357914390289553E-2</v>
      </c>
    </row>
    <row r="33" spans="2:7" x14ac:dyDescent="0.25">
      <c r="B33" s="153">
        <v>44669</v>
      </c>
      <c r="C33" s="154">
        <v>3115.5131839999999</v>
      </c>
      <c r="D33" s="14">
        <f t="shared" si="0"/>
        <v>2.7185872908545905E-2</v>
      </c>
      <c r="F33" s="154">
        <v>17171.949218999998</v>
      </c>
      <c r="G33" s="14">
        <f t="shared" si="1"/>
        <v>-1.7378533285170805E-2</v>
      </c>
    </row>
    <row r="34" spans="2:7" x14ac:dyDescent="0.25">
      <c r="B34" s="153">
        <v>44676</v>
      </c>
      <c r="C34" s="154">
        <v>3187.188232</v>
      </c>
      <c r="D34" s="14">
        <f t="shared" si="0"/>
        <v>2.3005856103608835E-2</v>
      </c>
      <c r="F34" s="154">
        <v>17102.550781000002</v>
      </c>
      <c r="G34" s="14">
        <f t="shared" si="1"/>
        <v>-4.041383835634127E-3</v>
      </c>
    </row>
    <row r="35" spans="2:7" x14ac:dyDescent="0.25">
      <c r="B35" s="153">
        <v>44683</v>
      </c>
      <c r="C35" s="154">
        <v>2969.6518550000001</v>
      </c>
      <c r="D35" s="14">
        <f t="shared" si="0"/>
        <v>-6.8253382343688274E-2</v>
      </c>
      <c r="F35" s="154">
        <v>16411.25</v>
      </c>
      <c r="G35" s="14">
        <f t="shared" si="1"/>
        <v>-4.0420916730619982E-2</v>
      </c>
    </row>
    <row r="36" spans="2:7" x14ac:dyDescent="0.25">
      <c r="B36" s="153">
        <v>44690</v>
      </c>
      <c r="C36" s="154">
        <v>3016.6640630000002</v>
      </c>
      <c r="D36" s="14">
        <f t="shared" si="0"/>
        <v>1.5830881967138888E-2</v>
      </c>
      <c r="F36" s="154">
        <v>15782.150390999999</v>
      </c>
      <c r="G36" s="14">
        <f t="shared" si="1"/>
        <v>-3.8333436453652281E-2</v>
      </c>
    </row>
    <row r="37" spans="2:7" x14ac:dyDescent="0.25">
      <c r="B37" s="153">
        <v>44697</v>
      </c>
      <c r="C37" s="154">
        <v>3061.9040530000002</v>
      </c>
      <c r="D37" s="14">
        <f t="shared" si="0"/>
        <v>1.4996694711511882E-2</v>
      </c>
      <c r="F37" s="154">
        <v>16266.150390999999</v>
      </c>
      <c r="G37" s="14">
        <f t="shared" si="1"/>
        <v>3.0667557209187901E-2</v>
      </c>
    </row>
    <row r="38" spans="2:7" x14ac:dyDescent="0.25">
      <c r="B38" s="153">
        <v>44704</v>
      </c>
      <c r="C38" s="154">
        <v>2791.054443</v>
      </c>
      <c r="D38" s="14">
        <f t="shared" si="0"/>
        <v>-8.8457902439701419E-2</v>
      </c>
      <c r="F38" s="154">
        <v>16352.450194999999</v>
      </c>
      <c r="G38" s="14">
        <f t="shared" si="1"/>
        <v>5.3054842064996777E-3</v>
      </c>
    </row>
    <row r="39" spans="2:7" x14ac:dyDescent="0.25">
      <c r="B39" s="153">
        <v>44711</v>
      </c>
      <c r="C39" s="154">
        <v>2842.3002929999998</v>
      </c>
      <c r="D39" s="14">
        <f t="shared" si="0"/>
        <v>1.8360748973752505E-2</v>
      </c>
      <c r="F39" s="154">
        <v>16584.300781000002</v>
      </c>
      <c r="G39" s="14">
        <f t="shared" si="1"/>
        <v>1.4178339223494207E-2</v>
      </c>
    </row>
    <row r="40" spans="2:7" x14ac:dyDescent="0.25">
      <c r="B40" s="153">
        <v>44718</v>
      </c>
      <c r="C40" s="154">
        <v>2666.9025879999999</v>
      </c>
      <c r="D40" s="14">
        <f t="shared" si="0"/>
        <v>-6.1709772690791476E-2</v>
      </c>
      <c r="F40" s="154">
        <v>16201.799805000001</v>
      </c>
      <c r="G40" s="14">
        <f t="shared" si="1"/>
        <v>-2.3064039964724836E-2</v>
      </c>
    </row>
    <row r="41" spans="2:7" x14ac:dyDescent="0.25">
      <c r="B41" s="153">
        <v>44725</v>
      </c>
      <c r="C41" s="154">
        <v>2554.9777829999998</v>
      </c>
      <c r="D41" s="14">
        <f t="shared" si="0"/>
        <v>-4.1968088937187731E-2</v>
      </c>
      <c r="F41" s="154">
        <v>15293.5</v>
      </c>
      <c r="G41" s="14">
        <f t="shared" si="1"/>
        <v>-5.606166079892505E-2</v>
      </c>
    </row>
    <row r="42" spans="2:7" x14ac:dyDescent="0.25">
      <c r="B42" s="153">
        <v>44732</v>
      </c>
      <c r="C42" s="154">
        <v>2733.9111330000001</v>
      </c>
      <c r="D42" s="14">
        <f t="shared" si="0"/>
        <v>7.0033231283091801E-2</v>
      </c>
      <c r="F42" s="154">
        <v>15699.25</v>
      </c>
      <c r="G42" s="14">
        <f t="shared" si="1"/>
        <v>2.6530879131657192E-2</v>
      </c>
    </row>
    <row r="43" spans="2:7" x14ac:dyDescent="0.25">
      <c r="B43" s="153">
        <v>44739</v>
      </c>
      <c r="C43" s="154">
        <v>2746.0415039999998</v>
      </c>
      <c r="D43" s="14">
        <f t="shared" si="0"/>
        <v>4.4370026712201582E-3</v>
      </c>
      <c r="F43" s="154">
        <v>15752.049805000001</v>
      </c>
      <c r="G43" s="14">
        <f t="shared" si="1"/>
        <v>3.3632055671448668E-3</v>
      </c>
    </row>
    <row r="44" spans="2:7" x14ac:dyDescent="0.25">
      <c r="B44" s="153">
        <v>44746</v>
      </c>
      <c r="C44" s="154">
        <v>2851.6489259999998</v>
      </c>
      <c r="D44" s="14">
        <f t="shared" si="0"/>
        <v>3.8458057478799157E-2</v>
      </c>
      <c r="F44" s="154">
        <v>16220.599609000001</v>
      </c>
      <c r="G44" s="14">
        <f t="shared" si="1"/>
        <v>2.9745322659611828E-2</v>
      </c>
    </row>
    <row r="45" spans="2:7" x14ac:dyDescent="0.25">
      <c r="B45" s="153">
        <v>44753</v>
      </c>
      <c r="C45" s="154">
        <v>2949.0375979999999</v>
      </c>
      <c r="D45" s="14">
        <f t="shared" si="0"/>
        <v>3.4151704689892037E-2</v>
      </c>
      <c r="F45" s="154">
        <v>16049.200194999999</v>
      </c>
      <c r="G45" s="14">
        <f t="shared" si="1"/>
        <v>-1.0566774233481513E-2</v>
      </c>
    </row>
    <row r="46" spans="2:7" x14ac:dyDescent="0.25">
      <c r="B46" s="153">
        <v>44760</v>
      </c>
      <c r="C46" s="154">
        <v>3037.415039</v>
      </c>
      <c r="D46" s="14">
        <f t="shared" si="0"/>
        <v>2.9968231351114927E-2</v>
      </c>
      <c r="F46" s="154">
        <v>16719.449218999998</v>
      </c>
      <c r="G46" s="14">
        <f t="shared" si="1"/>
        <v>4.1762144895470144E-2</v>
      </c>
    </row>
    <row r="47" spans="2:7" x14ac:dyDescent="0.25">
      <c r="B47" s="153">
        <v>44767</v>
      </c>
      <c r="C47" s="154">
        <v>3301.1613769999999</v>
      </c>
      <c r="D47" s="14">
        <f t="shared" si="0"/>
        <v>8.6832498889197751E-2</v>
      </c>
      <c r="F47" s="154">
        <v>17158.25</v>
      </c>
      <c r="G47" s="14">
        <f t="shared" si="1"/>
        <v>2.6244930395275645E-2</v>
      </c>
    </row>
    <row r="48" spans="2:7" x14ac:dyDescent="0.25">
      <c r="B48" s="153">
        <v>44774</v>
      </c>
      <c r="C48" s="154">
        <v>3439.9414059999999</v>
      </c>
      <c r="D48" s="14">
        <f t="shared" si="0"/>
        <v>4.2039759088093875E-2</v>
      </c>
      <c r="F48" s="154">
        <v>17397.5</v>
      </c>
      <c r="G48" s="14">
        <f t="shared" si="1"/>
        <v>1.3943729692713402E-2</v>
      </c>
    </row>
    <row r="49" spans="2:7" x14ac:dyDescent="0.25">
      <c r="B49" s="153">
        <v>44781</v>
      </c>
      <c r="C49" s="154">
        <v>3394.341797</v>
      </c>
      <c r="D49" s="14">
        <f t="shared" si="0"/>
        <v>-1.3255926080736224E-2</v>
      </c>
      <c r="F49" s="154">
        <v>17698.150390999999</v>
      </c>
      <c r="G49" s="14">
        <f t="shared" si="1"/>
        <v>1.7281241040379314E-2</v>
      </c>
    </row>
    <row r="50" spans="2:7" x14ac:dyDescent="0.25">
      <c r="B50" s="153">
        <v>44788</v>
      </c>
      <c r="C50" s="154">
        <v>3448.506836</v>
      </c>
      <c r="D50" s="14">
        <f t="shared" si="0"/>
        <v>1.5957449850180661E-2</v>
      </c>
      <c r="F50" s="154">
        <v>17758.449218999998</v>
      </c>
      <c r="G50" s="14">
        <f t="shared" si="1"/>
        <v>3.4070694771959342E-3</v>
      </c>
    </row>
    <row r="51" spans="2:7" x14ac:dyDescent="0.25">
      <c r="B51" s="153">
        <v>44795</v>
      </c>
      <c r="C51" s="154">
        <v>3291.061279</v>
      </c>
      <c r="D51" s="14">
        <f t="shared" si="0"/>
        <v>-4.5656153369446284E-2</v>
      </c>
      <c r="F51" s="154">
        <v>17558.900390999999</v>
      </c>
      <c r="G51" s="14">
        <f t="shared" si="1"/>
        <v>-1.1236838619134604E-2</v>
      </c>
    </row>
    <row r="52" spans="2:7" x14ac:dyDescent="0.25">
      <c r="B52" s="153">
        <v>44802</v>
      </c>
      <c r="C52" s="154">
        <v>3397.5102539999998</v>
      </c>
      <c r="D52" s="14">
        <f t="shared" si="0"/>
        <v>3.2344877829909136E-2</v>
      </c>
      <c r="F52" s="154">
        <v>17539.449218999998</v>
      </c>
      <c r="G52" s="14">
        <f t="shared" si="1"/>
        <v>-1.1077670905844661E-3</v>
      </c>
    </row>
    <row r="53" spans="2:7" x14ac:dyDescent="0.25">
      <c r="B53" s="153">
        <v>44809</v>
      </c>
      <c r="C53" s="154">
        <v>3408.205078</v>
      </c>
      <c r="D53" s="14">
        <f t="shared" si="0"/>
        <v>3.1478415664556447E-3</v>
      </c>
      <c r="F53" s="154">
        <v>17833.349609000001</v>
      </c>
      <c r="G53" s="14">
        <f t="shared" si="1"/>
        <v>1.6756534730955508E-2</v>
      </c>
    </row>
    <row r="54" spans="2:7" x14ac:dyDescent="0.25">
      <c r="B54" s="153">
        <v>44816</v>
      </c>
      <c r="C54" s="154">
        <v>3290.0710450000001</v>
      </c>
      <c r="D54" s="14">
        <f t="shared" si="0"/>
        <v>-3.4661656296024024E-2</v>
      </c>
      <c r="F54" s="154">
        <v>17530.849609000001</v>
      </c>
      <c r="G54" s="14">
        <f t="shared" si="1"/>
        <v>-1.6962601341440453E-2</v>
      </c>
    </row>
    <row r="55" spans="2:7" x14ac:dyDescent="0.25">
      <c r="B55" s="153">
        <v>44823</v>
      </c>
      <c r="C55" s="154">
        <v>3362.0603030000002</v>
      </c>
      <c r="D55" s="14">
        <f t="shared" si="0"/>
        <v>2.1880760936577204E-2</v>
      </c>
      <c r="F55" s="154">
        <v>17327.349609000001</v>
      </c>
      <c r="G55" s="14">
        <f t="shared" si="1"/>
        <v>-1.1608108251383698E-2</v>
      </c>
    </row>
    <row r="56" spans="2:7" x14ac:dyDescent="0.25">
      <c r="B56" s="153">
        <v>44830</v>
      </c>
      <c r="C56" s="154">
        <v>3309.7763669999999</v>
      </c>
      <c r="D56" s="14">
        <f t="shared" si="0"/>
        <v>-1.5551159493881417E-2</v>
      </c>
      <c r="F56" s="154">
        <v>17094.349609000001</v>
      </c>
      <c r="G56" s="14">
        <f t="shared" si="1"/>
        <v>-1.3446949779265527E-2</v>
      </c>
    </row>
    <row r="57" spans="2:7" x14ac:dyDescent="0.25">
      <c r="B57" s="153">
        <v>44837</v>
      </c>
      <c r="C57" s="154">
        <v>3311.0141600000002</v>
      </c>
      <c r="D57" s="14">
        <f t="shared" si="0"/>
        <v>3.739808563325564E-4</v>
      </c>
      <c r="F57" s="154">
        <v>17314.650390999999</v>
      </c>
      <c r="G57" s="14">
        <f t="shared" si="1"/>
        <v>1.2887345060733635E-2</v>
      </c>
    </row>
    <row r="58" spans="2:7" x14ac:dyDescent="0.25">
      <c r="B58" s="153">
        <v>44844</v>
      </c>
      <c r="C58" s="154">
        <v>3154.3608399999998</v>
      </c>
      <c r="D58" s="14">
        <f t="shared" si="0"/>
        <v>-4.7312790713042507E-2</v>
      </c>
      <c r="F58" s="154">
        <v>17185.699218999998</v>
      </c>
      <c r="G58" s="14">
        <f t="shared" si="1"/>
        <v>-7.4475180894804094E-3</v>
      </c>
    </row>
    <row r="59" spans="2:7" x14ac:dyDescent="0.25">
      <c r="B59" s="153">
        <v>44851</v>
      </c>
      <c r="C59" s="154">
        <v>3062.170654</v>
      </c>
      <c r="D59" s="14">
        <f t="shared" si="0"/>
        <v>-2.9226265058502232E-2</v>
      </c>
      <c r="F59" s="154">
        <v>17576.300781000002</v>
      </c>
      <c r="G59" s="14">
        <f t="shared" si="1"/>
        <v>2.2728290366455628E-2</v>
      </c>
    </row>
    <row r="60" spans="2:7" x14ac:dyDescent="0.25">
      <c r="B60" s="153">
        <v>44858</v>
      </c>
      <c r="C60" s="154">
        <v>3023.5520019999999</v>
      </c>
      <c r="D60" s="14">
        <f t="shared" si="0"/>
        <v>-1.2611528344951606E-2</v>
      </c>
      <c r="F60" s="154">
        <v>17786.800781000002</v>
      </c>
      <c r="G60" s="14">
        <f t="shared" si="1"/>
        <v>1.197635399068453E-2</v>
      </c>
    </row>
    <row r="61" spans="2:7" x14ac:dyDescent="0.25">
      <c r="B61" s="153">
        <v>44865</v>
      </c>
      <c r="C61" s="154">
        <v>3150.2514649999998</v>
      </c>
      <c r="D61" s="14">
        <f t="shared" si="0"/>
        <v>4.1904178567523154E-2</v>
      </c>
      <c r="F61" s="154">
        <v>18117.150390999999</v>
      </c>
      <c r="G61" s="14">
        <f t="shared" si="1"/>
        <v>1.8572739081492262E-2</v>
      </c>
    </row>
    <row r="62" spans="2:7" x14ac:dyDescent="0.25">
      <c r="B62" s="153">
        <v>44872</v>
      </c>
      <c r="C62" s="154">
        <v>3029.8984380000002</v>
      </c>
      <c r="D62" s="14">
        <f t="shared" si="0"/>
        <v>-3.8204260306565652E-2</v>
      </c>
      <c r="F62" s="154">
        <v>18349.699218999998</v>
      </c>
      <c r="G62" s="14">
        <f t="shared" si="1"/>
        <v>1.2835839134808014E-2</v>
      </c>
    </row>
    <row r="63" spans="2:7" x14ac:dyDescent="0.25">
      <c r="B63" s="153">
        <v>44879</v>
      </c>
      <c r="C63" s="154">
        <v>3069.663818</v>
      </c>
      <c r="D63" s="14">
        <f t="shared" si="0"/>
        <v>1.3124327700650085E-2</v>
      </c>
      <c r="F63" s="154">
        <v>18307.650390999999</v>
      </c>
      <c r="G63" s="14">
        <f t="shared" si="1"/>
        <v>-2.2915268254892762E-3</v>
      </c>
    </row>
    <row r="64" spans="2:7" x14ac:dyDescent="0.25">
      <c r="B64" s="153">
        <v>44886</v>
      </c>
      <c r="C64" s="154">
        <v>3082.2082519999999</v>
      </c>
      <c r="D64" s="14">
        <f t="shared" si="0"/>
        <v>4.0865823568174697E-3</v>
      </c>
      <c r="F64" s="154">
        <v>18512.75</v>
      </c>
      <c r="G64" s="14">
        <f t="shared" si="1"/>
        <v>1.1202945469224623E-2</v>
      </c>
    </row>
    <row r="65" spans="2:7" x14ac:dyDescent="0.25">
      <c r="B65" s="153">
        <v>44893</v>
      </c>
      <c r="C65" s="154">
        <v>3117.2136230000001</v>
      </c>
      <c r="D65" s="14">
        <f t="shared" si="0"/>
        <v>1.135723745379158E-2</v>
      </c>
      <c r="F65" s="154">
        <v>18696.099609000001</v>
      </c>
      <c r="G65" s="14">
        <f t="shared" si="1"/>
        <v>9.9039639707769744E-3</v>
      </c>
    </row>
    <row r="66" spans="2:7" x14ac:dyDescent="0.25">
      <c r="B66" s="153">
        <v>44900</v>
      </c>
      <c r="C66" s="154">
        <v>3200.0166020000001</v>
      </c>
      <c r="D66" s="14">
        <f t="shared" si="0"/>
        <v>2.6563139076849929E-2</v>
      </c>
      <c r="F66" s="154">
        <v>18496.599609000001</v>
      </c>
      <c r="G66" s="14">
        <f t="shared" si="1"/>
        <v>-1.0670674855838058E-2</v>
      </c>
    </row>
    <row r="67" spans="2:7" x14ac:dyDescent="0.25">
      <c r="B67" s="153">
        <v>44907</v>
      </c>
      <c r="C67" s="154">
        <v>3030.3942870000001</v>
      </c>
      <c r="D67" s="14">
        <f t="shared" si="0"/>
        <v>-5.300669843212269E-2</v>
      </c>
      <c r="F67" s="154">
        <v>18269</v>
      </c>
      <c r="G67" s="14">
        <f t="shared" si="1"/>
        <v>-1.2304943276668867E-2</v>
      </c>
    </row>
    <row r="68" spans="2:7" x14ac:dyDescent="0.25">
      <c r="B68" s="153">
        <v>44914</v>
      </c>
      <c r="C68" s="154">
        <v>3032.3776859999998</v>
      </c>
      <c r="D68" s="14">
        <f t="shared" si="0"/>
        <v>6.5450195986316295E-4</v>
      </c>
      <c r="F68" s="154">
        <v>17806.800781000002</v>
      </c>
      <c r="G68" s="14">
        <f t="shared" si="1"/>
        <v>-2.529964524604511E-2</v>
      </c>
    </row>
    <row r="69" spans="2:7" x14ac:dyDescent="0.25">
      <c r="B69" s="153">
        <v>44921</v>
      </c>
      <c r="C69" s="154">
        <v>3062.1271969999998</v>
      </c>
      <c r="D69" s="14">
        <f t="shared" si="0"/>
        <v>9.8106219213223156E-3</v>
      </c>
      <c r="F69" s="154">
        <v>18105.300781000002</v>
      </c>
      <c r="G69" s="14">
        <f t="shared" si="1"/>
        <v>1.6763258244484991E-2</v>
      </c>
    </row>
    <row r="70" spans="2:7" x14ac:dyDescent="0.25">
      <c r="B70" s="153">
        <v>44928</v>
      </c>
      <c r="C70" s="154">
        <v>2953.5410160000001</v>
      </c>
      <c r="D70" s="14">
        <f t="shared" si="0"/>
        <v>-3.5461028890760193E-2</v>
      </c>
      <c r="F70" s="154">
        <v>17859.449218999998</v>
      </c>
      <c r="G70" s="14">
        <f t="shared" si="1"/>
        <v>-1.3578982474458767E-2</v>
      </c>
    </row>
    <row r="71" spans="2:7" x14ac:dyDescent="0.25">
      <c r="B71" s="153">
        <v>44935</v>
      </c>
      <c r="C71" s="154">
        <v>2884.8688959999999</v>
      </c>
      <c r="D71" s="14">
        <f t="shared" si="0"/>
        <v>-2.3250775807069468E-2</v>
      </c>
      <c r="F71" s="154">
        <v>17956.599609000001</v>
      </c>
      <c r="G71" s="14">
        <f t="shared" si="1"/>
        <v>5.4397192661825855E-3</v>
      </c>
    </row>
    <row r="72" spans="2:7" x14ac:dyDescent="0.25">
      <c r="B72" s="153">
        <v>44942</v>
      </c>
      <c r="C72" s="154">
        <v>2764.5322270000001</v>
      </c>
      <c r="D72" s="14">
        <f t="shared" si="0"/>
        <v>-4.1713046012888833E-2</v>
      </c>
      <c r="F72" s="154">
        <v>18027.650390999999</v>
      </c>
      <c r="G72" s="14">
        <f t="shared" si="1"/>
        <v>3.9568060516528281E-3</v>
      </c>
    </row>
    <row r="73" spans="2:7" x14ac:dyDescent="0.25">
      <c r="B73" s="153">
        <v>44949</v>
      </c>
      <c r="C73" s="154">
        <v>2699.9257809999999</v>
      </c>
      <c r="D73" s="14">
        <f t="shared" si="0"/>
        <v>-2.336975686845566E-2</v>
      </c>
      <c r="F73" s="154">
        <v>17604.349609000001</v>
      </c>
      <c r="G73" s="14">
        <f t="shared" si="1"/>
        <v>-2.3480640727941093E-2</v>
      </c>
    </row>
    <row r="74" spans="2:7" x14ac:dyDescent="0.25">
      <c r="B74" s="153">
        <v>44956</v>
      </c>
      <c r="C74" s="154">
        <v>2737.360596</v>
      </c>
      <c r="D74" s="14">
        <f t="shared" si="0"/>
        <v>1.3865127428108304E-2</v>
      </c>
      <c r="F74" s="154">
        <v>17854.050781000002</v>
      </c>
      <c r="G74" s="14">
        <f t="shared" si="1"/>
        <v>1.4184061186352848E-2</v>
      </c>
    </row>
    <row r="75" spans="2:7" x14ac:dyDescent="0.25">
      <c r="B75" s="153">
        <v>44963</v>
      </c>
      <c r="C75" s="154">
        <v>2781.1918949999999</v>
      </c>
      <c r="D75" s="14">
        <f t="shared" ref="D75:D114" si="2">C75/C74-1</f>
        <v>1.6012248829784692E-2</v>
      </c>
      <c r="F75" s="154">
        <v>17856.5</v>
      </c>
      <c r="G75" s="14">
        <f t="shared" ref="G75:G113" si="3">F75/F74-1</f>
        <v>1.371800175793414E-4</v>
      </c>
    </row>
    <row r="76" spans="2:7" x14ac:dyDescent="0.25">
      <c r="B76" s="153">
        <v>44970</v>
      </c>
      <c r="C76" s="154">
        <v>2809.9499510000001</v>
      </c>
      <c r="D76" s="14">
        <f t="shared" si="2"/>
        <v>1.0340191215033157E-2</v>
      </c>
      <c r="F76" s="154">
        <v>17944.199218999998</v>
      </c>
      <c r="G76" s="14">
        <f t="shared" si="3"/>
        <v>4.9113330719905424E-3</v>
      </c>
    </row>
    <row r="77" spans="2:7" x14ac:dyDescent="0.25">
      <c r="B77" s="153">
        <v>44977</v>
      </c>
      <c r="C77" s="154">
        <v>2715.6433109999998</v>
      </c>
      <c r="D77" s="14">
        <f t="shared" si="2"/>
        <v>-3.3561679618684503E-2</v>
      </c>
      <c r="F77" s="154">
        <v>17465.800781000002</v>
      </c>
      <c r="G77" s="14">
        <f t="shared" si="3"/>
        <v>-2.6660339208308015E-2</v>
      </c>
    </row>
    <row r="78" spans="2:7" x14ac:dyDescent="0.25">
      <c r="B78" s="153">
        <v>44984</v>
      </c>
      <c r="C78" s="154">
        <v>2805.2397460000002</v>
      </c>
      <c r="D78" s="14">
        <f t="shared" si="2"/>
        <v>3.2992711022497234E-2</v>
      </c>
      <c r="F78" s="154">
        <v>17594.349609000001</v>
      </c>
      <c r="G78" s="14">
        <f t="shared" si="3"/>
        <v>7.3600305884538031E-3</v>
      </c>
    </row>
    <row r="79" spans="2:7" x14ac:dyDescent="0.25">
      <c r="B79" s="153">
        <v>44991</v>
      </c>
      <c r="C79" s="154">
        <v>2806.578125</v>
      </c>
      <c r="D79" s="14">
        <f t="shared" si="2"/>
        <v>4.7709968529718871E-4</v>
      </c>
      <c r="F79" s="154">
        <v>17412.900390999999</v>
      </c>
      <c r="G79" s="14">
        <f t="shared" si="3"/>
        <v>-1.0312925571695164E-2</v>
      </c>
    </row>
    <row r="80" spans="2:7" x14ac:dyDescent="0.25">
      <c r="B80" s="153">
        <v>44998</v>
      </c>
      <c r="C80" s="154">
        <v>2838.7570799999999</v>
      </c>
      <c r="D80" s="14">
        <f t="shared" si="2"/>
        <v>1.1465547569604828E-2</v>
      </c>
      <c r="F80" s="154">
        <v>17100.050781000002</v>
      </c>
      <c r="G80" s="14">
        <f t="shared" si="3"/>
        <v>-1.7966542217268788E-2</v>
      </c>
    </row>
    <row r="81" spans="2:7" x14ac:dyDescent="0.25">
      <c r="B81" s="153">
        <v>45005</v>
      </c>
      <c r="C81" s="154">
        <v>2775.142578</v>
      </c>
      <c r="D81" s="14">
        <f t="shared" si="2"/>
        <v>-2.2409279909219926E-2</v>
      </c>
      <c r="F81" s="154">
        <v>16945.050781000002</v>
      </c>
      <c r="G81" s="14">
        <f t="shared" si="3"/>
        <v>-9.0643005675878907E-3</v>
      </c>
    </row>
    <row r="82" spans="2:7" x14ac:dyDescent="0.25">
      <c r="B82" s="153">
        <v>45012</v>
      </c>
      <c r="C82" s="154">
        <v>2738.6000979999999</v>
      </c>
      <c r="D82" s="14">
        <f t="shared" si="2"/>
        <v>-1.3167784707600716E-2</v>
      </c>
      <c r="F82" s="154">
        <v>17359.75</v>
      </c>
      <c r="G82" s="14">
        <f t="shared" si="3"/>
        <v>2.4473176525678486E-2</v>
      </c>
    </row>
    <row r="83" spans="2:7" x14ac:dyDescent="0.25">
      <c r="B83" s="153">
        <v>45019</v>
      </c>
      <c r="C83" s="154">
        <v>2786.3979490000002</v>
      </c>
      <c r="D83" s="14">
        <f t="shared" si="2"/>
        <v>1.7453388333297459E-2</v>
      </c>
      <c r="F83" s="154">
        <v>17599.150390999999</v>
      </c>
      <c r="G83" s="14">
        <f>F83/F82-1</f>
        <v>1.3790543700226143E-2</v>
      </c>
    </row>
    <row r="84" spans="2:7" x14ac:dyDescent="0.25">
      <c r="B84" s="153">
        <v>45026</v>
      </c>
      <c r="C84" s="154">
        <v>2786.298828</v>
      </c>
      <c r="D84" s="14">
        <f t="shared" si="2"/>
        <v>-3.5573167155078522E-5</v>
      </c>
      <c r="F84" s="154">
        <v>17828</v>
      </c>
      <c r="G84" s="14">
        <f t="shared" si="3"/>
        <v>1.3003446411653519E-2</v>
      </c>
    </row>
    <row r="85" spans="2:7" x14ac:dyDescent="0.25">
      <c r="B85" s="153">
        <v>45033</v>
      </c>
      <c r="C85" s="154">
        <v>2858.044922</v>
      </c>
      <c r="D85" s="14">
        <f t="shared" si="2"/>
        <v>2.574960491638989E-2</v>
      </c>
      <c r="F85" s="154">
        <v>17624.050781000002</v>
      </c>
      <c r="G85" s="14">
        <f t="shared" si="3"/>
        <v>-1.1439826060130054E-2</v>
      </c>
    </row>
    <row r="86" spans="2:7" x14ac:dyDescent="0.25">
      <c r="B86" s="153">
        <v>45040</v>
      </c>
      <c r="C86" s="154">
        <v>2878.1259770000001</v>
      </c>
      <c r="D86" s="14">
        <f t="shared" si="2"/>
        <v>7.0261509346563056E-3</v>
      </c>
      <c r="F86" s="154">
        <v>18065</v>
      </c>
      <c r="G86" s="14">
        <f t="shared" si="3"/>
        <v>2.5019742877464557E-2</v>
      </c>
    </row>
    <row r="87" spans="2:7" x14ac:dyDescent="0.25">
      <c r="B87" s="153">
        <v>45047</v>
      </c>
      <c r="C87" s="154">
        <v>2987.8027339999999</v>
      </c>
      <c r="D87" s="14">
        <f t="shared" si="2"/>
        <v>3.8107003611537849E-2</v>
      </c>
      <c r="F87" s="154">
        <v>18069</v>
      </c>
      <c r="G87" s="14">
        <f t="shared" si="3"/>
        <v>2.2142264046509652E-4</v>
      </c>
    </row>
    <row r="88" spans="2:7" x14ac:dyDescent="0.25">
      <c r="B88" s="153">
        <v>45054</v>
      </c>
      <c r="C88" s="154">
        <v>3104.966797</v>
      </c>
      <c r="D88" s="14">
        <f t="shared" si="2"/>
        <v>3.9214122695156561E-2</v>
      </c>
      <c r="F88" s="154">
        <v>18314.800781000002</v>
      </c>
      <c r="G88" s="14">
        <f t="shared" si="3"/>
        <v>1.3603452376999448E-2</v>
      </c>
    </row>
    <row r="89" spans="2:7" x14ac:dyDescent="0.25">
      <c r="B89" s="153">
        <v>45061</v>
      </c>
      <c r="C89" s="154">
        <v>3058.7060550000001</v>
      </c>
      <c r="D89" s="14">
        <f t="shared" si="2"/>
        <v>-1.4898949014429674E-2</v>
      </c>
      <c r="F89" s="154">
        <v>18203.400390999999</v>
      </c>
      <c r="G89" s="14">
        <f t="shared" si="3"/>
        <v>-6.0825335384249168E-3</v>
      </c>
    </row>
    <row r="90" spans="2:7" x14ac:dyDescent="0.25">
      <c r="B90" s="153">
        <v>45068</v>
      </c>
      <c r="C90" s="154">
        <v>3102.2890630000002</v>
      </c>
      <c r="D90" s="14">
        <f t="shared" si="2"/>
        <v>1.424883830492818E-2</v>
      </c>
      <c r="F90" s="154">
        <v>18499.349609000001</v>
      </c>
      <c r="G90" s="14">
        <f t="shared" si="3"/>
        <v>1.6257908502980811E-2</v>
      </c>
    </row>
    <row r="91" spans="2:7" x14ac:dyDescent="0.25">
      <c r="B91" s="153">
        <v>45075</v>
      </c>
      <c r="C91" s="154">
        <v>3210.2307129999999</v>
      </c>
      <c r="D91" s="14">
        <f t="shared" si="2"/>
        <v>3.4794194805179535E-2</v>
      </c>
      <c r="F91" s="154">
        <v>18534.099609000001</v>
      </c>
      <c r="G91" s="14">
        <f t="shared" si="3"/>
        <v>1.8784444174779757E-3</v>
      </c>
    </row>
    <row r="92" spans="2:7" x14ac:dyDescent="0.25">
      <c r="B92" s="153">
        <v>45082</v>
      </c>
      <c r="C92" s="154">
        <v>3154.0039059999999</v>
      </c>
      <c r="D92" s="14">
        <f t="shared" si="2"/>
        <v>-1.7514880401681587E-2</v>
      </c>
      <c r="F92" s="154">
        <v>18563.400390999999</v>
      </c>
      <c r="G92" s="14">
        <f t="shared" si="3"/>
        <v>1.5809120819534339E-3</v>
      </c>
    </row>
    <row r="93" spans="2:7" x14ac:dyDescent="0.25">
      <c r="B93" s="153">
        <v>45089</v>
      </c>
      <c r="C93" s="154">
        <v>3311.070068</v>
      </c>
      <c r="D93" s="14">
        <f t="shared" si="2"/>
        <v>4.9798975106278842E-2</v>
      </c>
      <c r="F93" s="154">
        <v>18826</v>
      </c>
      <c r="G93" s="14">
        <f t="shared" si="3"/>
        <v>1.4146094113625551E-2</v>
      </c>
    </row>
    <row r="94" spans="2:7" x14ac:dyDescent="0.25">
      <c r="B94" s="153">
        <v>45096</v>
      </c>
      <c r="C94" s="154">
        <v>3291.9533689999998</v>
      </c>
      <c r="D94" s="14">
        <f t="shared" si="2"/>
        <v>-5.7735712646961312E-3</v>
      </c>
      <c r="F94" s="154">
        <v>18665.5</v>
      </c>
      <c r="G94" s="14">
        <f t="shared" si="3"/>
        <v>-8.5254435355359703E-3</v>
      </c>
    </row>
    <row r="95" spans="2:7" x14ac:dyDescent="0.25">
      <c r="B95" s="153">
        <v>45103</v>
      </c>
      <c r="C95" s="154">
        <v>3356.1914059999999</v>
      </c>
      <c r="D95" s="14">
        <f t="shared" si="2"/>
        <v>1.9513653384316765E-2</v>
      </c>
      <c r="F95" s="154">
        <v>19189.050781000002</v>
      </c>
      <c r="G95" s="14">
        <f t="shared" si="3"/>
        <v>2.804911633762841E-2</v>
      </c>
    </row>
    <row r="96" spans="2:7" x14ac:dyDescent="0.25">
      <c r="B96" s="153">
        <v>45110</v>
      </c>
      <c r="C96" s="154">
        <v>3337.8732909999999</v>
      </c>
      <c r="D96" s="14">
        <f t="shared" si="2"/>
        <v>-5.4580066462395216E-3</v>
      </c>
      <c r="F96" s="154">
        <v>19331.800781000002</v>
      </c>
      <c r="G96" s="14">
        <f t="shared" si="3"/>
        <v>7.4391381642151533E-3</v>
      </c>
    </row>
    <row r="97" spans="2:7" x14ac:dyDescent="0.25">
      <c r="B97" s="153">
        <v>45117</v>
      </c>
      <c r="C97" s="154">
        <v>3423.773193</v>
      </c>
      <c r="D97" s="14">
        <f t="shared" si="2"/>
        <v>2.5734919965840097E-2</v>
      </c>
      <c r="F97" s="154">
        <v>19564.5</v>
      </c>
      <c r="G97" s="14">
        <f t="shared" si="3"/>
        <v>1.2037120681933855E-2</v>
      </c>
    </row>
    <row r="98" spans="2:7" x14ac:dyDescent="0.25">
      <c r="B98" s="153">
        <v>45124</v>
      </c>
      <c r="C98" s="154">
        <v>3511.570068</v>
      </c>
      <c r="D98" s="14">
        <f t="shared" si="2"/>
        <v>2.5643309311347728E-2</v>
      </c>
      <c r="F98" s="154">
        <v>19745</v>
      </c>
      <c r="G98" s="14">
        <f>F98/F97-1</f>
        <v>9.225893838329613E-3</v>
      </c>
    </row>
    <row r="99" spans="2:7" x14ac:dyDescent="0.25">
      <c r="B99" s="153">
        <v>45131</v>
      </c>
      <c r="C99" s="154">
        <v>3384.79126</v>
      </c>
      <c r="D99" s="14">
        <f t="shared" si="2"/>
        <v>-3.6103169108115285E-2</v>
      </c>
      <c r="F99" s="154">
        <v>19646.050781000002</v>
      </c>
      <c r="G99" s="14">
        <f t="shared" si="3"/>
        <v>-5.0113557356291638E-3</v>
      </c>
    </row>
    <row r="100" spans="2:7" x14ac:dyDescent="0.25">
      <c r="B100" s="153">
        <v>45138</v>
      </c>
      <c r="C100" s="154">
        <v>3333.8303219999998</v>
      </c>
      <c r="D100" s="14">
        <f t="shared" si="2"/>
        <v>-1.5055858422418744E-2</v>
      </c>
      <c r="F100" s="154">
        <v>19517</v>
      </c>
      <c r="G100" s="14">
        <f t="shared" si="3"/>
        <v>-6.568789953694365E-3</v>
      </c>
    </row>
    <row r="101" spans="2:7" x14ac:dyDescent="0.25">
      <c r="B101" s="153">
        <v>45145</v>
      </c>
      <c r="C101" s="154">
        <v>3179.7993160000001</v>
      </c>
      <c r="D101" s="14">
        <f t="shared" si="2"/>
        <v>-4.6202413177283352E-2</v>
      </c>
      <c r="F101" s="154">
        <v>19428.300781000002</v>
      </c>
      <c r="G101" s="14">
        <f t="shared" si="3"/>
        <v>-4.5447158374749552E-3</v>
      </c>
    </row>
    <row r="102" spans="2:7" x14ac:dyDescent="0.25">
      <c r="B102" s="153">
        <v>45152</v>
      </c>
      <c r="C102" s="154">
        <v>3158.0373540000001</v>
      </c>
      <c r="D102" s="14">
        <f t="shared" si="2"/>
        <v>-6.843816177486084E-3</v>
      </c>
      <c r="F102" s="154">
        <v>19310.150390999999</v>
      </c>
      <c r="G102" s="14">
        <f t="shared" si="3"/>
        <v>-6.0813547891717112E-3</v>
      </c>
    </row>
    <row r="103" spans="2:7" x14ac:dyDescent="0.25">
      <c r="B103" s="153">
        <v>45159</v>
      </c>
      <c r="C103" s="154">
        <v>3253.6203609999998</v>
      </c>
      <c r="D103" s="14">
        <f t="shared" si="2"/>
        <v>3.026658531411397E-2</v>
      </c>
      <c r="F103" s="154">
        <v>19265.800781000002</v>
      </c>
      <c r="G103" s="14">
        <f t="shared" si="3"/>
        <v>-2.2966993576947203E-3</v>
      </c>
    </row>
    <row r="104" spans="2:7" x14ac:dyDescent="0.25">
      <c r="B104" s="153">
        <v>45166</v>
      </c>
      <c r="C104" s="154">
        <v>3253.8698730000001</v>
      </c>
      <c r="D104" s="14">
        <f t="shared" si="2"/>
        <v>7.6687496485705609E-5</v>
      </c>
      <c r="F104" s="154">
        <v>19435.300781000002</v>
      </c>
      <c r="G104" s="14">
        <f t="shared" si="3"/>
        <v>8.797973254616176E-3</v>
      </c>
    </row>
    <row r="105" spans="2:7" x14ac:dyDescent="0.25">
      <c r="B105" s="153">
        <v>45173</v>
      </c>
      <c r="C105" s="154">
        <v>3232.407471</v>
      </c>
      <c r="D105" s="14">
        <f t="shared" si="2"/>
        <v>-6.5959619891658994E-3</v>
      </c>
      <c r="F105" s="154">
        <v>19819.949218999998</v>
      </c>
      <c r="G105" s="14">
        <f t="shared" si="3"/>
        <v>1.9791226404688889E-2</v>
      </c>
    </row>
    <row r="106" spans="2:7" x14ac:dyDescent="0.25">
      <c r="B106" s="153">
        <v>45180</v>
      </c>
      <c r="C106" s="154">
        <v>3191.079346</v>
      </c>
      <c r="D106" s="14">
        <f t="shared" si="2"/>
        <v>-1.278555546315896E-2</v>
      </c>
      <c r="F106" s="154">
        <v>20192.349609000001</v>
      </c>
      <c r="G106" s="14">
        <f t="shared" si="3"/>
        <v>1.8789169734249711E-2</v>
      </c>
    </row>
    <row r="107" spans="2:7" x14ac:dyDescent="0.25">
      <c r="B107" s="153">
        <v>45187</v>
      </c>
      <c r="C107" s="154">
        <v>3269.1433109999998</v>
      </c>
      <c r="D107" s="14">
        <f t="shared" si="2"/>
        <v>2.4463185190882974E-2</v>
      </c>
      <c r="F107" s="154">
        <v>19674.25</v>
      </c>
      <c r="G107" s="14">
        <f t="shared" si="3"/>
        <v>-2.5658213087251469E-2</v>
      </c>
    </row>
    <row r="108" spans="2:7" x14ac:dyDescent="0.25">
      <c r="B108" s="153">
        <v>45194</v>
      </c>
      <c r="C108" s="154">
        <v>3155.5415039999998</v>
      </c>
      <c r="D108" s="14">
        <f t="shared" si="2"/>
        <v>-3.4749717645522926E-2</v>
      </c>
      <c r="F108" s="154">
        <v>19638.300781000002</v>
      </c>
      <c r="G108" s="14">
        <f t="shared" si="3"/>
        <v>-1.8272218254824502E-3</v>
      </c>
    </row>
    <row r="109" spans="2:7" x14ac:dyDescent="0.25">
      <c r="B109" s="153">
        <v>45201</v>
      </c>
      <c r="C109" s="154">
        <v>3190.1811520000001</v>
      </c>
      <c r="D109" s="14">
        <f t="shared" si="2"/>
        <v>1.0977402121344459E-2</v>
      </c>
      <c r="F109" s="154">
        <v>19653.5</v>
      </c>
      <c r="G109" s="14">
        <f t="shared" si="3"/>
        <v>7.7395794928980521E-4</v>
      </c>
    </row>
    <row r="110" spans="2:7" x14ac:dyDescent="0.25">
      <c r="B110" s="153">
        <v>45208</v>
      </c>
      <c r="C110" s="154">
        <v>3143.3129880000001</v>
      </c>
      <c r="D110" s="14">
        <f t="shared" si="2"/>
        <v>-1.4691380133889043E-2</v>
      </c>
      <c r="F110" s="154">
        <v>19751.050781000002</v>
      </c>
      <c r="G110" s="14">
        <f t="shared" si="3"/>
        <v>4.96353224616497E-3</v>
      </c>
    </row>
    <row r="111" spans="2:7" x14ac:dyDescent="0.25">
      <c r="B111" s="153">
        <v>45215</v>
      </c>
      <c r="C111" s="154">
        <v>3100.4377439999998</v>
      </c>
      <c r="D111" s="14">
        <f t="shared" si="2"/>
        <v>-1.3640144702001367E-2</v>
      </c>
      <c r="F111" s="154">
        <v>19542.650390999999</v>
      </c>
      <c r="G111" s="14">
        <f t="shared" si="3"/>
        <v>-1.0551357105540893E-2</v>
      </c>
    </row>
    <row r="112" spans="2:7" x14ac:dyDescent="0.25">
      <c r="B112" s="153">
        <v>45222</v>
      </c>
      <c r="C112" s="154">
        <v>2950.0002439999998</v>
      </c>
      <c r="D112" s="14">
        <f t="shared" si="2"/>
        <v>-4.852137421276348E-2</v>
      </c>
      <c r="F112" s="154">
        <v>19047.25</v>
      </c>
      <c r="G112" s="14">
        <f t="shared" si="3"/>
        <v>-2.5349703396840506E-2</v>
      </c>
    </row>
    <row r="113" spans="1:10" x14ac:dyDescent="0.25">
      <c r="B113" s="153">
        <v>45229</v>
      </c>
      <c r="C113" s="154">
        <v>2972.6608890000002</v>
      </c>
      <c r="D113" s="14">
        <f t="shared" si="2"/>
        <v>7.681573940913955E-3</v>
      </c>
      <c r="F113" s="154">
        <v>19230.599609000001</v>
      </c>
      <c r="G113" s="14">
        <f t="shared" si="3"/>
        <v>9.6260409770438926E-3</v>
      </c>
    </row>
    <row r="114" spans="1:10" x14ac:dyDescent="0.25">
      <c r="B114" s="153">
        <v>45233</v>
      </c>
      <c r="C114" s="154">
        <v>2978.1999510000001</v>
      </c>
      <c r="D114" s="14">
        <f t="shared" si="2"/>
        <v>1.8633346374947735E-3</v>
      </c>
      <c r="F114" s="154">
        <v>19230.599609000001</v>
      </c>
      <c r="G114" s="14">
        <f>F114/F113-1</f>
        <v>0</v>
      </c>
    </row>
    <row r="117" spans="1:10" x14ac:dyDescent="0.25">
      <c r="A117" t="s">
        <v>194</v>
      </c>
      <c r="B117" s="236" t="s">
        <v>298</v>
      </c>
      <c r="C117" s="236"/>
      <c r="D117" s="236"/>
      <c r="F117" s="236" t="s">
        <v>272</v>
      </c>
      <c r="G117" s="236"/>
    </row>
    <row r="119" spans="1:10" x14ac:dyDescent="0.25">
      <c r="B119" s="48" t="s">
        <v>267</v>
      </c>
      <c r="C119" s="48" t="s">
        <v>270</v>
      </c>
      <c r="D119" s="152" t="s">
        <v>271</v>
      </c>
      <c r="F119" s="48" t="s">
        <v>270</v>
      </c>
      <c r="G119" s="152" t="s">
        <v>271</v>
      </c>
      <c r="I119" s="161" t="s">
        <v>273</v>
      </c>
      <c r="J119" s="162">
        <f>SLOPE(D122:D226,G122:G226)</f>
        <v>0.88730485332746445</v>
      </c>
    </row>
    <row r="120" spans="1:10" x14ac:dyDescent="0.25">
      <c r="J120" s="22"/>
    </row>
    <row r="121" spans="1:10" x14ac:dyDescent="0.25">
      <c r="B121" s="153">
        <v>44501</v>
      </c>
      <c r="C121" s="154">
        <v>629.00122099999999</v>
      </c>
      <c r="F121" s="154">
        <v>17916.800781000002</v>
      </c>
      <c r="I121" t="s">
        <v>299</v>
      </c>
      <c r="J121" s="22">
        <f>J140</f>
        <v>0.88730485332746512</v>
      </c>
    </row>
    <row r="122" spans="1:10" x14ac:dyDescent="0.25">
      <c r="B122" s="153">
        <v>44508</v>
      </c>
      <c r="C122" s="154">
        <v>654.96911599999999</v>
      </c>
      <c r="D122" s="14">
        <f>C122/C121-1</f>
        <v>4.1284331624532822E-2</v>
      </c>
      <c r="F122" s="154">
        <v>18102.75</v>
      </c>
      <c r="G122" s="14">
        <f>F122/F121-1</f>
        <v>1.0378483372834646E-2</v>
      </c>
    </row>
    <row r="123" spans="1:10" x14ac:dyDescent="0.25">
      <c r="B123" s="153">
        <v>44515</v>
      </c>
      <c r="C123" s="154">
        <v>649.734375</v>
      </c>
      <c r="D123" s="14">
        <f>C123/C122-1</f>
        <v>-7.9923478407186721E-3</v>
      </c>
      <c r="F123" s="154">
        <v>17764.800781000002</v>
      </c>
      <c r="G123" s="14">
        <f t="shared" ref="G123:G186" si="4">F123/F122-1</f>
        <v>-1.8668391211279944E-2</v>
      </c>
      <c r="I123" t="s">
        <v>274</v>
      </c>
    </row>
    <row r="124" spans="1:10" ht="15.75" thickBot="1" x14ac:dyDescent="0.3">
      <c r="B124" s="153">
        <v>44522</v>
      </c>
      <c r="C124" s="154">
        <v>628.259277</v>
      </c>
      <c r="D124" s="14">
        <f t="shared" ref="D124:D186" si="5">C124/C123-1</f>
        <v>-3.3052119183320072E-2</v>
      </c>
      <c r="F124" s="154">
        <v>17026.449218999998</v>
      </c>
      <c r="G124" s="14">
        <f t="shared" si="4"/>
        <v>-4.1562614245001406E-2</v>
      </c>
    </row>
    <row r="125" spans="1:10" x14ac:dyDescent="0.25">
      <c r="B125" s="153">
        <v>44529</v>
      </c>
      <c r="C125" s="154">
        <v>601.755493</v>
      </c>
      <c r="D125" s="14">
        <f t="shared" si="5"/>
        <v>-4.2186060708181095E-2</v>
      </c>
      <c r="F125" s="154">
        <v>17196.699218999998</v>
      </c>
      <c r="G125" s="14">
        <f t="shared" si="4"/>
        <v>9.9991488424970854E-3</v>
      </c>
      <c r="I125" s="158" t="s">
        <v>275</v>
      </c>
      <c r="J125" s="158"/>
    </row>
    <row r="126" spans="1:10" x14ac:dyDescent="0.25">
      <c r="B126" s="153">
        <v>44536</v>
      </c>
      <c r="C126" s="154">
        <v>628.58905000000004</v>
      </c>
      <c r="D126" s="14">
        <f t="shared" si="5"/>
        <v>4.4592126390444076E-2</v>
      </c>
      <c r="F126" s="154">
        <v>17511.300781000002</v>
      </c>
      <c r="G126" s="14">
        <f t="shared" si="4"/>
        <v>1.8294299271828462E-2</v>
      </c>
      <c r="I126" s="155" t="s">
        <v>276</v>
      </c>
      <c r="J126" s="155">
        <v>0.46092226423119587</v>
      </c>
    </row>
    <row r="127" spans="1:10" x14ac:dyDescent="0.25">
      <c r="B127" s="153">
        <v>44543</v>
      </c>
      <c r="C127" s="154">
        <v>620.96350099999995</v>
      </c>
      <c r="D127" s="14">
        <f t="shared" si="5"/>
        <v>-1.2131215139684848E-2</v>
      </c>
      <c r="F127" s="154">
        <v>16985.199218999998</v>
      </c>
      <c r="G127" s="14">
        <f t="shared" si="4"/>
        <v>-3.0043545512668635E-2</v>
      </c>
      <c r="I127" s="155" t="s">
        <v>277</v>
      </c>
      <c r="J127" s="155">
        <v>0.21244933366401234</v>
      </c>
    </row>
    <row r="128" spans="1:10" x14ac:dyDescent="0.25">
      <c r="B128" s="153">
        <v>44550</v>
      </c>
      <c r="C128" s="154">
        <v>610.78247099999999</v>
      </c>
      <c r="D128" s="14">
        <f t="shared" si="5"/>
        <v>-1.6395536909342368E-2</v>
      </c>
      <c r="F128" s="154">
        <v>17003.75</v>
      </c>
      <c r="G128" s="14">
        <f t="shared" si="4"/>
        <v>1.0921732951623131E-3</v>
      </c>
      <c r="I128" s="155" t="s">
        <v>278</v>
      </c>
      <c r="J128" s="155">
        <v>0.20480321068987653</v>
      </c>
    </row>
    <row r="129" spans="2:17" x14ac:dyDescent="0.25">
      <c r="B129" s="153">
        <v>44557</v>
      </c>
      <c r="C129" s="154">
        <v>636.21453899999995</v>
      </c>
      <c r="D129" s="14">
        <f t="shared" si="5"/>
        <v>4.1638503407541272E-2</v>
      </c>
      <c r="F129" s="154">
        <v>17354.050781000002</v>
      </c>
      <c r="G129" s="14">
        <f t="shared" si="4"/>
        <v>2.0601383871204915E-2</v>
      </c>
      <c r="I129" s="155" t="s">
        <v>279</v>
      </c>
      <c r="J129" s="155">
        <v>3.2957235767900953E-2</v>
      </c>
    </row>
    <row r="130" spans="2:17" ht="15.75" thickBot="1" x14ac:dyDescent="0.3">
      <c r="B130" s="153">
        <v>44564</v>
      </c>
      <c r="C130" s="154">
        <v>651.877747</v>
      </c>
      <c r="D130" s="14">
        <f t="shared" si="5"/>
        <v>2.4619380790353196E-2</v>
      </c>
      <c r="F130" s="154">
        <v>17812.699218999998</v>
      </c>
      <c r="G130" s="14">
        <f t="shared" si="4"/>
        <v>2.6428898001275014E-2</v>
      </c>
      <c r="I130" s="156" t="s">
        <v>280</v>
      </c>
      <c r="J130" s="156">
        <v>105</v>
      </c>
    </row>
    <row r="131" spans="2:17" x14ac:dyDescent="0.25">
      <c r="B131" s="153">
        <v>44571</v>
      </c>
      <c r="C131" s="154">
        <v>635.88476600000001</v>
      </c>
      <c r="D131" s="14">
        <f t="shared" si="5"/>
        <v>-2.4533712147102871E-2</v>
      </c>
      <c r="F131" s="154">
        <v>18255.75</v>
      </c>
      <c r="G131" s="14">
        <f t="shared" si="4"/>
        <v>2.4872748119354027E-2</v>
      </c>
    </row>
    <row r="132" spans="2:17" ht="15.75" thickBot="1" x14ac:dyDescent="0.3">
      <c r="B132" s="153">
        <v>44578</v>
      </c>
      <c r="C132" s="154">
        <v>613.95629899999994</v>
      </c>
      <c r="D132" s="14">
        <f t="shared" si="5"/>
        <v>-3.4484969875815619E-2</v>
      </c>
      <c r="F132" s="154">
        <v>17617.150390999999</v>
      </c>
      <c r="G132" s="14">
        <f t="shared" si="4"/>
        <v>-3.4980738068827621E-2</v>
      </c>
      <c r="I132" t="s">
        <v>281</v>
      </c>
    </row>
    <row r="133" spans="2:17" x14ac:dyDescent="0.25">
      <c r="B133" s="153">
        <v>44585</v>
      </c>
      <c r="C133" s="154">
        <v>598.828979</v>
      </c>
      <c r="D133" s="14">
        <f t="shared" si="5"/>
        <v>-2.4639082658878153E-2</v>
      </c>
      <c r="F133" s="154">
        <v>17101.949218999998</v>
      </c>
      <c r="G133" s="14">
        <f t="shared" si="4"/>
        <v>-2.9244296640800638E-2</v>
      </c>
      <c r="I133" s="157"/>
      <c r="J133" s="157" t="s">
        <v>285</v>
      </c>
      <c r="K133" s="157" t="s">
        <v>286</v>
      </c>
      <c r="L133" s="157" t="s">
        <v>287</v>
      </c>
      <c r="M133" s="157" t="s">
        <v>288</v>
      </c>
      <c r="N133" s="157" t="s">
        <v>289</v>
      </c>
    </row>
    <row r="134" spans="2:17" x14ac:dyDescent="0.25">
      <c r="B134" s="153">
        <v>44592</v>
      </c>
      <c r="C134" s="154">
        <v>606.08355700000004</v>
      </c>
      <c r="D134" s="14">
        <f t="shared" si="5"/>
        <v>1.2114607432851088E-2</v>
      </c>
      <c r="F134" s="154">
        <v>17516.300781000002</v>
      </c>
      <c r="G134" s="14">
        <f t="shared" si="4"/>
        <v>2.4228323724623468E-2</v>
      </c>
      <c r="I134" s="155" t="s">
        <v>282</v>
      </c>
      <c r="J134" s="155">
        <v>1</v>
      </c>
      <c r="K134" s="155">
        <v>3.017975100729485E-2</v>
      </c>
      <c r="L134" s="155">
        <v>3.017975100729485E-2</v>
      </c>
      <c r="M134" s="155">
        <v>27.785236306381044</v>
      </c>
      <c r="N134" s="155">
        <v>7.4988142471745879E-7</v>
      </c>
    </row>
    <row r="135" spans="2:17" x14ac:dyDescent="0.25">
      <c r="B135" s="153">
        <v>44599</v>
      </c>
      <c r="C135" s="154">
        <v>591.86291500000004</v>
      </c>
      <c r="D135" s="14">
        <f t="shared" si="5"/>
        <v>-2.3463170772012876E-2</v>
      </c>
      <c r="F135" s="154">
        <v>17374.75</v>
      </c>
      <c r="G135" s="14">
        <f t="shared" si="4"/>
        <v>-8.0810887395552644E-3</v>
      </c>
      <c r="I135" s="155" t="s">
        <v>283</v>
      </c>
      <c r="J135" s="155">
        <v>103</v>
      </c>
      <c r="K135" s="155">
        <v>0.11187647711448402</v>
      </c>
      <c r="L135" s="155">
        <v>1.0861793894610099E-3</v>
      </c>
      <c r="M135" s="155"/>
      <c r="N135" s="155"/>
    </row>
    <row r="136" spans="2:17" ht="15.75" thickBot="1" x14ac:dyDescent="0.3">
      <c r="B136" s="153">
        <v>44606</v>
      </c>
      <c r="C136" s="154">
        <v>608.22680700000001</v>
      </c>
      <c r="D136" s="14">
        <f t="shared" si="5"/>
        <v>2.7648111725330882E-2</v>
      </c>
      <c r="F136" s="154">
        <v>17276.300781000002</v>
      </c>
      <c r="G136" s="14">
        <f t="shared" si="4"/>
        <v>-5.66622362911684E-3</v>
      </c>
      <c r="I136" s="156" t="s">
        <v>15</v>
      </c>
      <c r="J136" s="156">
        <v>104</v>
      </c>
      <c r="K136" s="156">
        <v>0.14205622812177887</v>
      </c>
      <c r="L136" s="156"/>
      <c r="M136" s="156"/>
      <c r="N136" s="156"/>
    </row>
    <row r="137" spans="2:17" x14ac:dyDescent="0.25">
      <c r="B137" s="153">
        <v>44613</v>
      </c>
      <c r="C137" s="154">
        <v>565.27673300000004</v>
      </c>
      <c r="D137" s="14">
        <f t="shared" si="5"/>
        <v>-7.0615226928003483E-2</v>
      </c>
      <c r="F137" s="154">
        <v>16658.400390999999</v>
      </c>
      <c r="G137" s="14">
        <f t="shared" si="4"/>
        <v>-3.5765780987070617E-2</v>
      </c>
    </row>
    <row r="138" spans="2:17" x14ac:dyDescent="0.25">
      <c r="B138" s="153">
        <v>44620</v>
      </c>
      <c r="C138" s="154">
        <v>538.36071800000002</v>
      </c>
      <c r="D138" s="14">
        <f t="shared" si="5"/>
        <v>-4.76156427970299E-2</v>
      </c>
      <c r="F138" s="154">
        <v>16245.349609000001</v>
      </c>
      <c r="G138" s="14">
        <f t="shared" si="4"/>
        <v>-2.479534482933643E-2</v>
      </c>
      <c r="J138" t="s">
        <v>290</v>
      </c>
      <c r="K138" t="s">
        <v>279</v>
      </c>
      <c r="L138" t="s">
        <v>291</v>
      </c>
      <c r="M138" t="s">
        <v>292</v>
      </c>
      <c r="N138" t="s">
        <v>293</v>
      </c>
      <c r="O138" t="s">
        <v>294</v>
      </c>
      <c r="P138" t="s">
        <v>295</v>
      </c>
      <c r="Q138" t="s">
        <v>296</v>
      </c>
    </row>
    <row r="139" spans="2:17" x14ac:dyDescent="0.25">
      <c r="B139" s="153">
        <v>44627</v>
      </c>
      <c r="C139" s="154">
        <v>559.959473</v>
      </c>
      <c r="D139" s="14">
        <f t="shared" si="5"/>
        <v>4.0119485463647742E-2</v>
      </c>
      <c r="F139" s="154">
        <v>16630.449218999998</v>
      </c>
      <c r="G139" s="14">
        <f t="shared" si="4"/>
        <v>2.3705221449137115E-2</v>
      </c>
      <c r="I139" t="s">
        <v>284</v>
      </c>
      <c r="J139">
        <v>-1.2988920774444314E-3</v>
      </c>
      <c r="K139">
        <v>3.2195348155453999E-3</v>
      </c>
      <c r="L139">
        <v>-0.40344091673516963</v>
      </c>
      <c r="M139">
        <v>0.68746019186216523</v>
      </c>
      <c r="N139">
        <v>-7.68408003996546E-3</v>
      </c>
      <c r="O139">
        <v>5.0862958850765973E-3</v>
      </c>
      <c r="P139">
        <v>-7.68408003996546E-3</v>
      </c>
      <c r="Q139">
        <v>5.0862958850765973E-3</v>
      </c>
    </row>
    <row r="140" spans="2:17" x14ac:dyDescent="0.25">
      <c r="B140" s="153">
        <v>44634</v>
      </c>
      <c r="C140" s="154">
        <v>591.86291500000004</v>
      </c>
      <c r="D140" s="14">
        <f t="shared" si="5"/>
        <v>5.6974555371081426E-2</v>
      </c>
      <c r="F140" s="154">
        <v>17287.050781000002</v>
      </c>
      <c r="G140" s="14">
        <f t="shared" si="4"/>
        <v>3.9481889716475482E-2</v>
      </c>
      <c r="I140" t="s">
        <v>297</v>
      </c>
      <c r="J140">
        <v>0.88730485332746512</v>
      </c>
      <c r="K140">
        <v>0.16833166132579203</v>
      </c>
      <c r="L140">
        <v>5.2711702976076493</v>
      </c>
      <c r="M140">
        <v>7.4988142471744227E-7</v>
      </c>
      <c r="N140">
        <v>0.55345870498987249</v>
      </c>
      <c r="O140">
        <v>1.2211510016650577</v>
      </c>
      <c r="P140">
        <v>0.55345870498987249</v>
      </c>
      <c r="Q140">
        <v>1.2211510016650577</v>
      </c>
    </row>
    <row r="141" spans="2:17" x14ac:dyDescent="0.25">
      <c r="B141" s="153">
        <v>44641</v>
      </c>
      <c r="C141" s="154">
        <v>567.667419</v>
      </c>
      <c r="D141" s="14">
        <f t="shared" si="5"/>
        <v>-4.0880236600058018E-2</v>
      </c>
      <c r="F141" s="154">
        <v>17153</v>
      </c>
      <c r="G141" s="14">
        <f t="shared" si="4"/>
        <v>-7.7544043051771538E-3</v>
      </c>
    </row>
    <row r="142" spans="2:17" x14ac:dyDescent="0.25">
      <c r="B142" s="153">
        <v>44648</v>
      </c>
      <c r="C142" s="154">
        <v>586.62817399999994</v>
      </c>
      <c r="D142" s="14">
        <f t="shared" si="5"/>
        <v>3.3401168299215023E-2</v>
      </c>
      <c r="F142" s="154">
        <v>17670.449218999998</v>
      </c>
      <c r="G142" s="14">
        <f t="shared" si="4"/>
        <v>3.0166689150585846E-2</v>
      </c>
    </row>
    <row r="143" spans="2:17" x14ac:dyDescent="0.25">
      <c r="B143" s="153">
        <v>44655</v>
      </c>
      <c r="C143" s="154">
        <v>605.58886700000005</v>
      </c>
      <c r="D143" s="14">
        <f t="shared" si="5"/>
        <v>3.2321483761535319E-2</v>
      </c>
      <c r="F143" s="154">
        <v>17784.349609000001</v>
      </c>
      <c r="G143" s="14">
        <f t="shared" si="4"/>
        <v>6.4458117950692007E-3</v>
      </c>
    </row>
    <row r="144" spans="2:17" x14ac:dyDescent="0.25">
      <c r="B144" s="153">
        <v>44662</v>
      </c>
      <c r="C144" s="154">
        <v>596.97412099999997</v>
      </c>
      <c r="D144" s="14">
        <f t="shared" si="5"/>
        <v>-1.4225403519513624E-2</v>
      </c>
      <c r="F144" s="154">
        <v>17475.650390999999</v>
      </c>
      <c r="G144" s="14">
        <f t="shared" si="4"/>
        <v>-1.7357914390289553E-2</v>
      </c>
    </row>
    <row r="145" spans="2:7" x14ac:dyDescent="0.25">
      <c r="B145" s="153">
        <v>44669</v>
      </c>
      <c r="C145" s="154">
        <v>590.79125999999997</v>
      </c>
      <c r="D145" s="14">
        <f t="shared" si="5"/>
        <v>-1.0357000048248355E-2</v>
      </c>
      <c r="F145" s="154">
        <v>17171.949218999998</v>
      </c>
      <c r="G145" s="14">
        <f t="shared" si="4"/>
        <v>-1.7378533285170805E-2</v>
      </c>
    </row>
    <row r="146" spans="2:7" x14ac:dyDescent="0.25">
      <c r="B146" s="153">
        <v>44676</v>
      </c>
      <c r="C146" s="154">
        <v>591.86291500000004</v>
      </c>
      <c r="D146" s="14">
        <f t="shared" si="5"/>
        <v>1.8139317091456775E-3</v>
      </c>
      <c r="F146" s="154">
        <v>17102.550781000002</v>
      </c>
      <c r="G146" s="14">
        <f t="shared" si="4"/>
        <v>-4.041383835634127E-3</v>
      </c>
    </row>
    <row r="147" spans="2:7" x14ac:dyDescent="0.25">
      <c r="B147" s="153">
        <v>44683</v>
      </c>
      <c r="C147" s="154">
        <v>549.61352499999998</v>
      </c>
      <c r="D147" s="14">
        <f t="shared" si="5"/>
        <v>-7.1383742635741987E-2</v>
      </c>
      <c r="F147" s="154">
        <v>16411.25</v>
      </c>
      <c r="G147" s="14">
        <f t="shared" si="4"/>
        <v>-4.0420916730619982E-2</v>
      </c>
    </row>
    <row r="148" spans="2:7" x14ac:dyDescent="0.25">
      <c r="B148" s="153">
        <v>44690</v>
      </c>
      <c r="C148" s="154">
        <v>541.20483400000001</v>
      </c>
      <c r="D148" s="14">
        <f t="shared" si="5"/>
        <v>-1.5299279616526884E-2</v>
      </c>
      <c r="F148" s="154">
        <v>15782.150390999999</v>
      </c>
      <c r="G148" s="14">
        <f t="shared" si="4"/>
        <v>-3.8333436453652281E-2</v>
      </c>
    </row>
    <row r="149" spans="2:7" x14ac:dyDescent="0.25">
      <c r="B149" s="153">
        <v>44697</v>
      </c>
      <c r="C149" s="154">
        <v>519.64733899999999</v>
      </c>
      <c r="D149" s="14">
        <f t="shared" si="5"/>
        <v>-3.9832413987640036E-2</v>
      </c>
      <c r="F149" s="154">
        <v>16266.150390999999</v>
      </c>
      <c r="G149" s="14">
        <f t="shared" si="4"/>
        <v>3.0667557209187901E-2</v>
      </c>
    </row>
    <row r="150" spans="2:7" x14ac:dyDescent="0.25">
      <c r="B150" s="153">
        <v>44704</v>
      </c>
      <c r="C150" s="154">
        <v>474.22406000000001</v>
      </c>
      <c r="D150" s="14">
        <f t="shared" si="5"/>
        <v>-8.7411741754343852E-2</v>
      </c>
      <c r="F150" s="154">
        <v>16352.450194999999</v>
      </c>
      <c r="G150" s="14">
        <f t="shared" si="4"/>
        <v>5.3054842064996777E-3</v>
      </c>
    </row>
    <row r="151" spans="2:7" x14ac:dyDescent="0.25">
      <c r="B151" s="153">
        <v>44711</v>
      </c>
      <c r="C151" s="154">
        <v>501.96438599999999</v>
      </c>
      <c r="D151" s="14">
        <f t="shared" si="5"/>
        <v>5.8496243315870444E-2</v>
      </c>
      <c r="F151" s="154">
        <v>16584.300781000002</v>
      </c>
      <c r="G151" s="14">
        <f t="shared" si="4"/>
        <v>1.4178339223494207E-2</v>
      </c>
    </row>
    <row r="152" spans="2:7" x14ac:dyDescent="0.25">
      <c r="B152" s="153">
        <v>44718</v>
      </c>
      <c r="C152" s="154">
        <v>478.75817899999998</v>
      </c>
      <c r="D152" s="14">
        <f t="shared" si="5"/>
        <v>-4.6230783791103458E-2</v>
      </c>
      <c r="F152" s="154">
        <v>16201.799805000001</v>
      </c>
      <c r="G152" s="14">
        <f t="shared" si="4"/>
        <v>-2.3064039964724836E-2</v>
      </c>
    </row>
    <row r="153" spans="2:7" x14ac:dyDescent="0.25">
      <c r="B153" s="153">
        <v>44725</v>
      </c>
      <c r="C153" s="154">
        <v>462.27053799999999</v>
      </c>
      <c r="D153" s="14">
        <f t="shared" si="5"/>
        <v>-3.4438348467358493E-2</v>
      </c>
      <c r="F153" s="154">
        <v>15293.5</v>
      </c>
      <c r="G153" s="14">
        <f t="shared" si="4"/>
        <v>-5.606166079892505E-2</v>
      </c>
    </row>
    <row r="154" spans="2:7" x14ac:dyDescent="0.25">
      <c r="B154" s="153">
        <v>44732</v>
      </c>
      <c r="C154" s="154">
        <v>489.76361100000003</v>
      </c>
      <c r="D154" s="14">
        <f t="shared" si="5"/>
        <v>5.9473989233551405E-2</v>
      </c>
      <c r="F154" s="154">
        <v>15699.25</v>
      </c>
      <c r="G154" s="14">
        <f t="shared" si="4"/>
        <v>2.6530879131657192E-2</v>
      </c>
    </row>
    <row r="155" spans="2:7" x14ac:dyDescent="0.25">
      <c r="B155" s="153">
        <v>44739</v>
      </c>
      <c r="C155" s="154">
        <v>479.99471999999997</v>
      </c>
      <c r="D155" s="14">
        <f t="shared" si="5"/>
        <v>-1.9946134789503689E-2</v>
      </c>
      <c r="F155" s="154">
        <v>15752.049805000001</v>
      </c>
      <c r="G155" s="14">
        <f t="shared" si="4"/>
        <v>3.3632055671448668E-3</v>
      </c>
    </row>
    <row r="156" spans="2:7" x14ac:dyDescent="0.25">
      <c r="B156" s="153">
        <v>44746</v>
      </c>
      <c r="C156" s="154">
        <v>482.46786500000002</v>
      </c>
      <c r="D156" s="14">
        <f t="shared" si="5"/>
        <v>5.1524420935298298E-3</v>
      </c>
      <c r="F156" s="154">
        <v>16220.599609000001</v>
      </c>
      <c r="G156" s="14">
        <f t="shared" si="4"/>
        <v>2.9745322659611828E-2</v>
      </c>
    </row>
    <row r="157" spans="2:7" x14ac:dyDescent="0.25">
      <c r="B157" s="153">
        <v>44753</v>
      </c>
      <c r="C157" s="154">
        <v>472.90505999999999</v>
      </c>
      <c r="D157" s="14">
        <f t="shared" si="5"/>
        <v>-1.9820605046928952E-2</v>
      </c>
      <c r="F157" s="154">
        <v>16049.200194999999</v>
      </c>
      <c r="G157" s="14">
        <f t="shared" si="4"/>
        <v>-1.0566774233481513E-2</v>
      </c>
    </row>
    <row r="158" spans="2:7" x14ac:dyDescent="0.25">
      <c r="B158" s="153">
        <v>44760</v>
      </c>
      <c r="C158" s="154">
        <v>485.88900799999999</v>
      </c>
      <c r="D158" s="14">
        <f t="shared" si="5"/>
        <v>2.7455718067385337E-2</v>
      </c>
      <c r="F158" s="154">
        <v>16719.449218999998</v>
      </c>
      <c r="G158" s="14">
        <f t="shared" si="4"/>
        <v>4.1762144895470144E-2</v>
      </c>
    </row>
    <row r="159" spans="2:7" x14ac:dyDescent="0.25">
      <c r="B159" s="153">
        <v>44767</v>
      </c>
      <c r="C159" s="154">
        <v>514.98956299999998</v>
      </c>
      <c r="D159" s="14">
        <f t="shared" si="5"/>
        <v>5.9891363090889271E-2</v>
      </c>
      <c r="F159" s="154">
        <v>17158.25</v>
      </c>
      <c r="G159" s="14">
        <f t="shared" si="4"/>
        <v>2.6244930395275645E-2</v>
      </c>
    </row>
    <row r="160" spans="2:7" x14ac:dyDescent="0.25">
      <c r="B160" s="153">
        <v>44774</v>
      </c>
      <c r="C160" s="154">
        <v>555.42541500000004</v>
      </c>
      <c r="D160" s="14">
        <f t="shared" si="5"/>
        <v>7.8517808719164472E-2</v>
      </c>
      <c r="F160" s="154">
        <v>17397.5</v>
      </c>
      <c r="G160" s="14">
        <f t="shared" si="4"/>
        <v>1.3943729692713402E-2</v>
      </c>
    </row>
    <row r="161" spans="2:7" x14ac:dyDescent="0.25">
      <c r="B161" s="153">
        <v>44781</v>
      </c>
      <c r="C161" s="154">
        <v>557.61004600000001</v>
      </c>
      <c r="D161" s="14">
        <f t="shared" si="5"/>
        <v>3.9332571772934255E-3</v>
      </c>
      <c r="F161" s="154">
        <v>17698.150390999999</v>
      </c>
      <c r="G161" s="14">
        <f t="shared" si="4"/>
        <v>1.7281241040379314E-2</v>
      </c>
    </row>
    <row r="162" spans="2:7" x14ac:dyDescent="0.25">
      <c r="B162" s="153">
        <v>44788</v>
      </c>
      <c r="C162" s="154">
        <v>574.67468299999996</v>
      </c>
      <c r="D162" s="14">
        <f t="shared" si="5"/>
        <v>3.0603173530342032E-2</v>
      </c>
      <c r="F162" s="154">
        <v>17758.449218999998</v>
      </c>
      <c r="G162" s="14">
        <f t="shared" si="4"/>
        <v>3.4070694771959342E-3</v>
      </c>
    </row>
    <row r="163" spans="2:7" x14ac:dyDescent="0.25">
      <c r="B163" s="153">
        <v>44795</v>
      </c>
      <c r="C163" s="154">
        <v>547.10070800000005</v>
      </c>
      <c r="D163" s="14">
        <f t="shared" si="5"/>
        <v>-4.7981885779366906E-2</v>
      </c>
      <c r="F163" s="154">
        <v>17558.900390999999</v>
      </c>
      <c r="G163" s="14">
        <f t="shared" si="4"/>
        <v>-1.1236838619134604E-2</v>
      </c>
    </row>
    <row r="164" spans="2:7" x14ac:dyDescent="0.25">
      <c r="B164" s="153">
        <v>44802</v>
      </c>
      <c r="C164" s="154">
        <v>553.73071300000004</v>
      </c>
      <c r="D164" s="14">
        <f t="shared" si="5"/>
        <v>1.2118436154537005E-2</v>
      </c>
      <c r="F164" s="154">
        <v>17539.449218999998</v>
      </c>
      <c r="G164" s="14">
        <f t="shared" si="4"/>
        <v>-1.1077670905844661E-3</v>
      </c>
    </row>
    <row r="165" spans="2:7" x14ac:dyDescent="0.25">
      <c r="B165" s="153">
        <v>44809</v>
      </c>
      <c r="C165" s="154">
        <v>550.291382</v>
      </c>
      <c r="D165" s="14">
        <f t="shared" si="5"/>
        <v>-6.2111978246004451E-3</v>
      </c>
      <c r="F165" s="154">
        <v>17833.349609000001</v>
      </c>
      <c r="G165" s="14">
        <f t="shared" si="4"/>
        <v>1.6756534730955508E-2</v>
      </c>
    </row>
    <row r="166" spans="2:7" x14ac:dyDescent="0.25">
      <c r="B166" s="153">
        <v>44816</v>
      </c>
      <c r="C166" s="154">
        <v>529.57257100000004</v>
      </c>
      <c r="D166" s="14">
        <f t="shared" si="5"/>
        <v>-3.7650618704401118E-2</v>
      </c>
      <c r="F166" s="154">
        <v>17530.849609000001</v>
      </c>
      <c r="G166" s="14">
        <f t="shared" si="4"/>
        <v>-1.6962601341440453E-2</v>
      </c>
    </row>
    <row r="167" spans="2:7" x14ac:dyDescent="0.25">
      <c r="B167" s="153">
        <v>44823</v>
      </c>
      <c r="C167" s="154">
        <v>525.18017599999996</v>
      </c>
      <c r="D167" s="14">
        <f t="shared" si="5"/>
        <v>-8.2942267793549851E-3</v>
      </c>
      <c r="F167" s="154">
        <v>17327.349609000001</v>
      </c>
      <c r="G167" s="14">
        <f t="shared" si="4"/>
        <v>-1.1608108251383698E-2</v>
      </c>
    </row>
    <row r="168" spans="2:7" x14ac:dyDescent="0.25">
      <c r="B168" s="153">
        <v>44830</v>
      </c>
      <c r="C168" s="154">
        <v>511.340057</v>
      </c>
      <c r="D168" s="14">
        <f t="shared" si="5"/>
        <v>-2.6353087249812668E-2</v>
      </c>
      <c r="F168" s="154">
        <v>17094.349609000001</v>
      </c>
      <c r="G168" s="14">
        <f t="shared" si="4"/>
        <v>-1.3446949779265527E-2</v>
      </c>
    </row>
    <row r="169" spans="2:7" x14ac:dyDescent="0.25">
      <c r="B169" s="153">
        <v>44837</v>
      </c>
      <c r="C169" s="154">
        <v>518.71588099999997</v>
      </c>
      <c r="D169" s="14">
        <f>C169/C168-1</f>
        <v>1.4424498724534551E-2</v>
      </c>
      <c r="F169" s="154">
        <v>17314.650390999999</v>
      </c>
      <c r="G169" s="14">
        <f t="shared" si="4"/>
        <v>1.2887345060733635E-2</v>
      </c>
    </row>
    <row r="170" spans="2:7" x14ac:dyDescent="0.25">
      <c r="B170" s="153">
        <v>44844</v>
      </c>
      <c r="C170" s="154">
        <v>507.52777099999997</v>
      </c>
      <c r="D170" s="14">
        <f t="shared" si="5"/>
        <v>-2.1568859581532651E-2</v>
      </c>
      <c r="F170" s="154">
        <v>17185.699218999998</v>
      </c>
      <c r="G170" s="14">
        <f t="shared" si="4"/>
        <v>-7.4475180894804094E-3</v>
      </c>
    </row>
    <row r="171" spans="2:7" x14ac:dyDescent="0.25">
      <c r="B171" s="153">
        <v>44851</v>
      </c>
      <c r="C171" s="154">
        <v>485.11001599999997</v>
      </c>
      <c r="D171" s="14">
        <f t="shared" si="5"/>
        <v>-4.4170499194220447E-2</v>
      </c>
      <c r="F171" s="154">
        <v>17576.300781000002</v>
      </c>
      <c r="G171" s="14">
        <f t="shared" si="4"/>
        <v>2.2728290366455628E-2</v>
      </c>
    </row>
    <row r="172" spans="2:7" x14ac:dyDescent="0.25">
      <c r="B172" s="153">
        <v>44858</v>
      </c>
      <c r="C172" s="154">
        <v>476.40811200000002</v>
      </c>
      <c r="D172" s="14">
        <f t="shared" si="5"/>
        <v>-1.7938001098703249E-2</v>
      </c>
      <c r="F172" s="154">
        <v>17786.800781000002</v>
      </c>
      <c r="G172" s="14">
        <f t="shared" si="4"/>
        <v>1.197635399068453E-2</v>
      </c>
    </row>
    <row r="173" spans="2:7" x14ac:dyDescent="0.25">
      <c r="B173" s="153">
        <v>44865</v>
      </c>
      <c r="C173" s="154">
        <v>500.773438</v>
      </c>
      <c r="D173" s="14">
        <f t="shared" si="5"/>
        <v>5.114381007853197E-2</v>
      </c>
      <c r="F173" s="154">
        <v>18117.150390999999</v>
      </c>
      <c r="G173" s="14">
        <f t="shared" si="4"/>
        <v>1.8572739081492262E-2</v>
      </c>
    </row>
    <row r="174" spans="2:7" x14ac:dyDescent="0.25">
      <c r="B174" s="153">
        <v>44872</v>
      </c>
      <c r="C174" s="154">
        <v>495.676605</v>
      </c>
      <c r="D174" s="14">
        <f t="shared" si="5"/>
        <v>-1.0177922016702534E-2</v>
      </c>
      <c r="F174" s="154">
        <v>18349.699218999998</v>
      </c>
      <c r="G174" s="14">
        <f t="shared" si="4"/>
        <v>1.2835839134808014E-2</v>
      </c>
    </row>
    <row r="175" spans="2:7" x14ac:dyDescent="0.25">
      <c r="B175" s="153">
        <v>44879</v>
      </c>
      <c r="C175" s="154">
        <v>500.19332900000001</v>
      </c>
      <c r="D175" s="14">
        <f t="shared" si="5"/>
        <v>9.1122396224450064E-3</v>
      </c>
      <c r="F175" s="154">
        <v>18307.650390999999</v>
      </c>
      <c r="G175" s="14">
        <f t="shared" si="4"/>
        <v>-2.2915268254892762E-3</v>
      </c>
    </row>
    <row r="176" spans="2:7" x14ac:dyDescent="0.25">
      <c r="B176" s="153">
        <v>44886</v>
      </c>
      <c r="C176" s="154">
        <v>511.091431</v>
      </c>
      <c r="D176" s="14">
        <f t="shared" si="5"/>
        <v>2.1787779580722866E-2</v>
      </c>
      <c r="F176" s="154">
        <v>18512.75</v>
      </c>
      <c r="G176" s="14">
        <f t="shared" si="4"/>
        <v>1.1202945469224623E-2</v>
      </c>
    </row>
    <row r="177" spans="2:7" x14ac:dyDescent="0.25">
      <c r="B177" s="153">
        <v>44893</v>
      </c>
      <c r="C177" s="154">
        <v>510.842804</v>
      </c>
      <c r="D177" s="14">
        <f t="shared" si="5"/>
        <v>-4.8646286147580042E-4</v>
      </c>
      <c r="F177" s="154">
        <v>18696.099609000001</v>
      </c>
      <c r="G177" s="14">
        <f t="shared" si="4"/>
        <v>9.9039639707769744E-3</v>
      </c>
    </row>
    <row r="178" spans="2:7" x14ac:dyDescent="0.25">
      <c r="B178" s="153">
        <v>44900</v>
      </c>
      <c r="C178" s="154">
        <v>509.80682400000001</v>
      </c>
      <c r="D178" s="14">
        <f t="shared" si="5"/>
        <v>-2.0279819777984098E-3</v>
      </c>
      <c r="F178" s="154">
        <v>18496.599609000001</v>
      </c>
      <c r="G178" s="14">
        <f t="shared" si="4"/>
        <v>-1.0670674855838058E-2</v>
      </c>
    </row>
    <row r="179" spans="2:7" x14ac:dyDescent="0.25">
      <c r="B179" s="153">
        <v>44907</v>
      </c>
      <c r="C179" s="154">
        <v>492.98318499999999</v>
      </c>
      <c r="D179" s="14">
        <f t="shared" si="5"/>
        <v>-3.3000027084768901E-2</v>
      </c>
      <c r="F179" s="154">
        <v>18269</v>
      </c>
      <c r="G179" s="14">
        <f t="shared" si="4"/>
        <v>-1.2304943276668867E-2</v>
      </c>
    </row>
    <row r="180" spans="2:7" x14ac:dyDescent="0.25">
      <c r="B180" s="153">
        <v>44914</v>
      </c>
      <c r="C180" s="154">
        <v>476.98825099999999</v>
      </c>
      <c r="D180" s="14">
        <f t="shared" si="5"/>
        <v>-3.2445191817242258E-2</v>
      </c>
      <c r="F180" s="154">
        <v>17806.800781000002</v>
      </c>
      <c r="G180" s="14">
        <f t="shared" si="4"/>
        <v>-2.529964524604511E-2</v>
      </c>
    </row>
    <row r="181" spans="2:7" x14ac:dyDescent="0.25">
      <c r="B181" s="153">
        <v>44921</v>
      </c>
      <c r="C181" s="154">
        <v>481.79501299999998</v>
      </c>
      <c r="D181" s="14">
        <f t="shared" si="5"/>
        <v>1.0077317397069407E-2</v>
      </c>
      <c r="F181" s="154">
        <v>18105.300781000002</v>
      </c>
      <c r="G181" s="14">
        <f t="shared" si="4"/>
        <v>1.6763258244484991E-2</v>
      </c>
    </row>
    <row r="182" spans="2:7" x14ac:dyDescent="0.25">
      <c r="B182" s="153">
        <v>44928</v>
      </c>
      <c r="C182" s="154">
        <v>471.06265300000001</v>
      </c>
      <c r="D182" s="14">
        <f t="shared" si="5"/>
        <v>-2.2275780592191374E-2</v>
      </c>
      <c r="F182" s="154">
        <v>17859.449218999998</v>
      </c>
      <c r="G182" s="14">
        <f t="shared" si="4"/>
        <v>-1.3578982474458767E-2</v>
      </c>
    </row>
    <row r="183" spans="2:7" x14ac:dyDescent="0.25">
      <c r="B183" s="153">
        <v>44935</v>
      </c>
      <c r="C183" s="154">
        <v>465.88299599999999</v>
      </c>
      <c r="D183" s="14">
        <f t="shared" si="5"/>
        <v>-1.0995685960270785E-2</v>
      </c>
      <c r="F183" s="154">
        <v>17956.599609000001</v>
      </c>
      <c r="G183" s="14">
        <f t="shared" si="4"/>
        <v>5.4397192661825855E-3</v>
      </c>
    </row>
    <row r="184" spans="2:7" x14ac:dyDescent="0.25">
      <c r="B184" s="153">
        <v>44942</v>
      </c>
      <c r="C184" s="154">
        <v>461.73919699999999</v>
      </c>
      <c r="D184" s="14">
        <f t="shared" si="5"/>
        <v>-8.8945057784423076E-3</v>
      </c>
      <c r="F184" s="154">
        <v>18027.650390999999</v>
      </c>
      <c r="G184" s="14">
        <f t="shared" si="4"/>
        <v>3.9568060516528281E-3</v>
      </c>
    </row>
    <row r="185" spans="2:7" x14ac:dyDescent="0.25">
      <c r="B185" s="153">
        <v>44949</v>
      </c>
      <c r="C185" s="154">
        <v>447.11175500000002</v>
      </c>
      <c r="D185" s="14">
        <f t="shared" si="5"/>
        <v>-3.1679012947215646E-2</v>
      </c>
      <c r="F185" s="154">
        <v>17604.349609000001</v>
      </c>
      <c r="G185" s="14">
        <f t="shared" si="4"/>
        <v>-2.3480640727941093E-2</v>
      </c>
    </row>
    <row r="186" spans="2:7" x14ac:dyDescent="0.25">
      <c r="B186" s="153">
        <v>44956</v>
      </c>
      <c r="C186" s="154">
        <v>462.69229100000001</v>
      </c>
      <c r="D186" s="14">
        <f t="shared" si="5"/>
        <v>3.4847073076841761E-2</v>
      </c>
      <c r="F186" s="154">
        <v>17854.050781000002</v>
      </c>
      <c r="G186" s="14">
        <f t="shared" si="4"/>
        <v>1.4184061186352848E-2</v>
      </c>
    </row>
    <row r="187" spans="2:7" x14ac:dyDescent="0.25">
      <c r="B187" s="153">
        <v>44963</v>
      </c>
      <c r="C187" s="154">
        <v>473.71469100000002</v>
      </c>
      <c r="D187" s="14">
        <f t="shared" ref="D187:D225" si="6">C187/C186-1</f>
        <v>2.3822311748868064E-2</v>
      </c>
      <c r="F187" s="154">
        <v>17856.5</v>
      </c>
      <c r="G187" s="14">
        <f t="shared" ref="G187:G225" si="7">F187/F186-1</f>
        <v>1.371800175793414E-4</v>
      </c>
    </row>
    <row r="188" spans="2:7" x14ac:dyDescent="0.25">
      <c r="B188" s="153">
        <v>44970</v>
      </c>
      <c r="C188" s="154">
        <v>471.51849399999998</v>
      </c>
      <c r="D188" s="14">
        <f t="shared" si="6"/>
        <v>-4.6361175655412756E-3</v>
      </c>
      <c r="F188" s="154">
        <v>17944.199218999998</v>
      </c>
      <c r="G188" s="14">
        <f t="shared" si="7"/>
        <v>4.9113330719905424E-3</v>
      </c>
    </row>
    <row r="189" spans="2:7" x14ac:dyDescent="0.25">
      <c r="B189" s="153">
        <v>44977</v>
      </c>
      <c r="C189" s="154">
        <v>462.48507699999999</v>
      </c>
      <c r="D189" s="14">
        <f t="shared" si="6"/>
        <v>-1.9158139319981782E-2</v>
      </c>
      <c r="F189" s="154">
        <v>17465.800781000002</v>
      </c>
      <c r="G189" s="14">
        <f t="shared" si="7"/>
        <v>-2.6660339208308015E-2</v>
      </c>
    </row>
    <row r="190" spans="2:7" x14ac:dyDescent="0.25">
      <c r="B190" s="153">
        <v>44984</v>
      </c>
      <c r="C190" s="154">
        <v>481.29775999999998</v>
      </c>
      <c r="D190" s="14">
        <f t="shared" si="6"/>
        <v>4.0677383845619808E-2</v>
      </c>
      <c r="F190" s="154">
        <v>17594.349609000001</v>
      </c>
      <c r="G190" s="14">
        <f t="shared" si="7"/>
        <v>7.3600305884538031E-3</v>
      </c>
    </row>
    <row r="191" spans="2:7" x14ac:dyDescent="0.25">
      <c r="B191" s="153">
        <v>44991</v>
      </c>
      <c r="C191" s="154">
        <v>488.21783399999998</v>
      </c>
      <c r="D191" s="14">
        <f t="shared" si="6"/>
        <v>1.4377947655521917E-2</v>
      </c>
      <c r="F191" s="154">
        <v>17412.900390999999</v>
      </c>
      <c r="G191" s="14">
        <f t="shared" si="7"/>
        <v>-1.0312925571695164E-2</v>
      </c>
    </row>
    <row r="192" spans="2:7" x14ac:dyDescent="0.25">
      <c r="B192" s="153">
        <v>44998</v>
      </c>
      <c r="C192" s="154">
        <v>491.82290599999999</v>
      </c>
      <c r="D192" s="14">
        <f t="shared" si="6"/>
        <v>7.3841464791719602E-3</v>
      </c>
      <c r="F192" s="154">
        <v>17100.050781000002</v>
      </c>
      <c r="G192" s="14">
        <f t="shared" si="7"/>
        <v>-1.7966542217268788E-2</v>
      </c>
    </row>
    <row r="193" spans="2:7" x14ac:dyDescent="0.25">
      <c r="B193" s="153">
        <v>45005</v>
      </c>
      <c r="C193" s="154">
        <v>475.45507800000001</v>
      </c>
      <c r="D193" s="14">
        <f t="shared" si="6"/>
        <v>-3.3279922102692705E-2</v>
      </c>
      <c r="F193" s="154">
        <v>16945.050781000002</v>
      </c>
      <c r="G193" s="14">
        <f t="shared" si="7"/>
        <v>-9.0643005675878907E-3</v>
      </c>
    </row>
    <row r="194" spans="2:7" x14ac:dyDescent="0.25">
      <c r="B194" s="153">
        <v>45012</v>
      </c>
      <c r="C194" s="154">
        <v>482.085083</v>
      </c>
      <c r="D194" s="14">
        <f t="shared" si="6"/>
        <v>1.3944545566510813E-2</v>
      </c>
      <c r="F194" s="154">
        <v>17359.75</v>
      </c>
      <c r="G194" s="14">
        <f t="shared" si="7"/>
        <v>2.4473176525678486E-2</v>
      </c>
    </row>
    <row r="195" spans="2:7" x14ac:dyDescent="0.25">
      <c r="B195" s="153">
        <v>45019</v>
      </c>
      <c r="C195" s="154">
        <v>494.930725</v>
      </c>
      <c r="D195" s="14">
        <f t="shared" si="6"/>
        <v>2.6646005970692999E-2</v>
      </c>
      <c r="F195" s="154">
        <v>17599.150390999999</v>
      </c>
      <c r="G195" s="14">
        <f t="shared" si="7"/>
        <v>1.3790543700226143E-2</v>
      </c>
    </row>
    <row r="196" spans="2:7" x14ac:dyDescent="0.25">
      <c r="B196" s="153">
        <v>45026</v>
      </c>
      <c r="C196" s="154">
        <v>479.51593000000003</v>
      </c>
      <c r="D196" s="14">
        <f t="shared" si="6"/>
        <v>-3.1145358777230792E-2</v>
      </c>
      <c r="F196" s="154">
        <v>17828</v>
      </c>
      <c r="G196" s="14">
        <f t="shared" si="7"/>
        <v>1.3003446411653519E-2</v>
      </c>
    </row>
    <row r="197" spans="2:7" x14ac:dyDescent="0.25">
      <c r="B197" s="153">
        <v>45033</v>
      </c>
      <c r="C197" s="154">
        <v>484.48846400000002</v>
      </c>
      <c r="D197" s="14">
        <f t="shared" si="6"/>
        <v>1.0369903665139901E-2</v>
      </c>
      <c r="F197" s="154">
        <v>17624.050781000002</v>
      </c>
      <c r="G197" s="14">
        <f t="shared" si="7"/>
        <v>-1.1439826060130054E-2</v>
      </c>
    </row>
    <row r="198" spans="2:7" x14ac:dyDescent="0.25">
      <c r="B198" s="153">
        <v>45040</v>
      </c>
      <c r="C198" s="154">
        <v>505.82882699999999</v>
      </c>
      <c r="D198" s="14">
        <f t="shared" si="6"/>
        <v>4.4047205631711384E-2</v>
      </c>
      <c r="F198" s="154">
        <v>18065</v>
      </c>
      <c r="G198" s="14">
        <f t="shared" si="7"/>
        <v>2.5019742877464557E-2</v>
      </c>
    </row>
    <row r="199" spans="2:7" x14ac:dyDescent="0.25">
      <c r="B199" s="153">
        <v>45047</v>
      </c>
      <c r="C199" s="154">
        <v>511.547211</v>
      </c>
      <c r="D199" s="14">
        <f t="shared" si="6"/>
        <v>1.1304978472490346E-2</v>
      </c>
      <c r="F199" s="154">
        <v>18069</v>
      </c>
      <c r="G199" s="14">
        <f t="shared" si="7"/>
        <v>2.2142264046509652E-4</v>
      </c>
    </row>
    <row r="200" spans="2:7" x14ac:dyDescent="0.25">
      <c r="B200" s="153">
        <v>45054</v>
      </c>
      <c r="C200" s="154">
        <v>525.13879399999996</v>
      </c>
      <c r="D200" s="14">
        <f t="shared" si="6"/>
        <v>2.6569557428395285E-2</v>
      </c>
      <c r="F200" s="154">
        <v>18314.800781000002</v>
      </c>
      <c r="G200" s="14">
        <f t="shared" si="7"/>
        <v>1.3603452376999448E-2</v>
      </c>
    </row>
    <row r="201" spans="2:7" x14ac:dyDescent="0.25">
      <c r="B201" s="153">
        <v>45061</v>
      </c>
      <c r="C201" s="154">
        <v>518.17724599999997</v>
      </c>
      <c r="D201" s="14">
        <f t="shared" si="6"/>
        <v>-1.3256586791034142E-2</v>
      </c>
      <c r="F201" s="154">
        <v>18203.400390999999</v>
      </c>
      <c r="G201" s="14">
        <f t="shared" si="7"/>
        <v>-6.0825335384249168E-3</v>
      </c>
    </row>
    <row r="202" spans="2:7" x14ac:dyDescent="0.25">
      <c r="B202" s="153">
        <v>45068</v>
      </c>
      <c r="C202" s="154">
        <v>536.28546100000005</v>
      </c>
      <c r="D202" s="14">
        <f t="shared" si="6"/>
        <v>3.4945986416393238E-2</v>
      </c>
      <c r="F202" s="154">
        <v>18499.349609000001</v>
      </c>
      <c r="G202" s="14">
        <f t="shared" si="7"/>
        <v>1.6257908502980811E-2</v>
      </c>
    </row>
    <row r="203" spans="2:7" x14ac:dyDescent="0.25">
      <c r="B203" s="153">
        <v>45075</v>
      </c>
      <c r="C203" s="154">
        <v>540.71923800000002</v>
      </c>
      <c r="D203" s="14">
        <f t="shared" si="6"/>
        <v>8.2675689020776932E-3</v>
      </c>
      <c r="F203" s="154">
        <v>18534.099609000001</v>
      </c>
      <c r="G203" s="14">
        <f t="shared" si="7"/>
        <v>1.8784444174779757E-3</v>
      </c>
    </row>
    <row r="204" spans="2:7" x14ac:dyDescent="0.25">
      <c r="B204" s="153">
        <v>45082</v>
      </c>
      <c r="C204" s="154">
        <v>536.78271500000005</v>
      </c>
      <c r="D204" s="14">
        <f t="shared" si="6"/>
        <v>-7.2801607994571471E-3</v>
      </c>
      <c r="F204" s="154">
        <v>18563.400390999999</v>
      </c>
      <c r="G204" s="14">
        <f t="shared" si="7"/>
        <v>1.5809120819534339E-3</v>
      </c>
    </row>
    <row r="205" spans="2:7" x14ac:dyDescent="0.25">
      <c r="B205" s="153">
        <v>45089</v>
      </c>
      <c r="C205" s="154">
        <v>558.20599400000003</v>
      </c>
      <c r="D205" s="14">
        <f t="shared" si="6"/>
        <v>3.9910523199317316E-2</v>
      </c>
      <c r="F205" s="154">
        <v>18826</v>
      </c>
      <c r="G205" s="14">
        <f t="shared" si="7"/>
        <v>1.4146094113625551E-2</v>
      </c>
    </row>
    <row r="206" spans="2:7" x14ac:dyDescent="0.25">
      <c r="B206" s="153">
        <v>45096</v>
      </c>
      <c r="C206" s="154">
        <v>559.94635000000005</v>
      </c>
      <c r="D206" s="14">
        <f t="shared" si="6"/>
        <v>3.1177665928108222E-3</v>
      </c>
      <c r="F206" s="154">
        <v>18665.5</v>
      </c>
      <c r="G206" s="14">
        <f t="shared" si="7"/>
        <v>-8.5254435355359703E-3</v>
      </c>
    </row>
    <row r="207" spans="2:7" x14ac:dyDescent="0.25">
      <c r="B207" s="153">
        <v>45103</v>
      </c>
      <c r="C207" s="154">
        <v>561.97674600000005</v>
      </c>
      <c r="D207" s="14">
        <f t="shared" si="6"/>
        <v>3.6260545318314019E-3</v>
      </c>
      <c r="F207" s="154">
        <v>19189.050781000002</v>
      </c>
      <c r="G207" s="14">
        <f t="shared" si="7"/>
        <v>2.804911633762841E-2</v>
      </c>
    </row>
    <row r="208" spans="2:7" x14ac:dyDescent="0.25">
      <c r="B208" s="153">
        <v>45110</v>
      </c>
      <c r="C208" s="154">
        <v>557.62579300000004</v>
      </c>
      <c r="D208" s="14">
        <f t="shared" si="6"/>
        <v>-7.7422296046392169E-3</v>
      </c>
      <c r="F208" s="154">
        <v>19331.800781000002</v>
      </c>
      <c r="G208" s="14">
        <f t="shared" si="7"/>
        <v>7.4391381642151533E-3</v>
      </c>
    </row>
    <row r="209" spans="2:7" x14ac:dyDescent="0.25">
      <c r="B209" s="153">
        <v>45117</v>
      </c>
      <c r="C209" s="154">
        <v>553.68926999999996</v>
      </c>
      <c r="D209" s="14">
        <f t="shared" si="6"/>
        <v>-7.059434928255004E-3</v>
      </c>
      <c r="F209" s="154">
        <v>19564.5</v>
      </c>
      <c r="G209" s="14">
        <f t="shared" si="7"/>
        <v>1.2037120681933855E-2</v>
      </c>
    </row>
    <row r="210" spans="2:7" x14ac:dyDescent="0.25">
      <c r="B210" s="153">
        <v>45124</v>
      </c>
      <c r="C210" s="154">
        <v>572.79199200000005</v>
      </c>
      <c r="D210" s="14">
        <f t="shared" si="6"/>
        <v>3.4500798615801465E-2</v>
      </c>
      <c r="F210" s="154">
        <v>19745</v>
      </c>
      <c r="G210" s="14">
        <f t="shared" si="7"/>
        <v>9.225893838329613E-3</v>
      </c>
    </row>
    <row r="211" spans="2:7" x14ac:dyDescent="0.25">
      <c r="B211" s="153">
        <v>45131</v>
      </c>
      <c r="C211" s="154">
        <v>563.26135299999999</v>
      </c>
      <c r="D211" s="14">
        <f t="shared" si="6"/>
        <v>-1.6638918024538429E-2</v>
      </c>
      <c r="F211" s="154">
        <v>19646.050781000002</v>
      </c>
      <c r="G211" s="14">
        <f t="shared" si="7"/>
        <v>-5.0113557356291638E-3</v>
      </c>
    </row>
    <row r="212" spans="2:7" x14ac:dyDescent="0.25">
      <c r="B212" s="153">
        <v>45138</v>
      </c>
      <c r="C212" s="154">
        <v>583.98010299999999</v>
      </c>
      <c r="D212" s="14">
        <f t="shared" si="6"/>
        <v>3.6783546198668526E-2</v>
      </c>
      <c r="F212" s="154">
        <v>19517</v>
      </c>
      <c r="G212" s="14">
        <f t="shared" si="7"/>
        <v>-6.568789953694365E-3</v>
      </c>
    </row>
    <row r="213" spans="2:7" x14ac:dyDescent="0.25">
      <c r="B213" s="153">
        <v>45145</v>
      </c>
      <c r="C213" s="154">
        <v>583.91668700000002</v>
      </c>
      <c r="D213" s="14">
        <f t="shared" si="6"/>
        <v>-1.08592740872826E-4</v>
      </c>
      <c r="F213" s="154">
        <v>19428.300781000002</v>
      </c>
      <c r="G213" s="14">
        <f t="shared" si="7"/>
        <v>-4.5447158374749552E-3</v>
      </c>
    </row>
    <row r="214" spans="2:7" x14ac:dyDescent="0.25">
      <c r="B214" s="153">
        <v>45152</v>
      </c>
      <c r="C214" s="154">
        <v>587.70831299999998</v>
      </c>
      <c r="D214" s="14">
        <f t="shared" si="6"/>
        <v>6.493436622748705E-3</v>
      </c>
      <c r="F214" s="154">
        <v>19310.150390999999</v>
      </c>
      <c r="G214" s="14">
        <f t="shared" si="7"/>
        <v>-6.0813547891717112E-3</v>
      </c>
    </row>
    <row r="215" spans="2:7" x14ac:dyDescent="0.25">
      <c r="B215" s="153">
        <v>45159</v>
      </c>
      <c r="C215" s="154">
        <v>586.95831299999998</v>
      </c>
      <c r="D215" s="14">
        <f t="shared" si="6"/>
        <v>-1.2761432557786279E-3</v>
      </c>
      <c r="F215" s="154">
        <v>19265.800781000002</v>
      </c>
      <c r="G215" s="14">
        <f t="shared" si="7"/>
        <v>-2.2966993576947203E-3</v>
      </c>
    </row>
    <row r="216" spans="2:7" x14ac:dyDescent="0.25">
      <c r="B216" s="153">
        <v>45166</v>
      </c>
      <c r="C216" s="154">
        <v>599.875</v>
      </c>
      <c r="D216" s="14">
        <f t="shared" si="6"/>
        <v>2.2006140323631573E-2</v>
      </c>
      <c r="F216" s="154">
        <v>19435.300781000002</v>
      </c>
      <c r="G216" s="14">
        <f t="shared" si="7"/>
        <v>8.797973254616176E-3</v>
      </c>
    </row>
    <row r="217" spans="2:7" x14ac:dyDescent="0.25">
      <c r="B217" s="153">
        <v>45173</v>
      </c>
      <c r="C217" s="154">
        <v>597.41668700000002</v>
      </c>
      <c r="D217" s="14">
        <f t="shared" si="6"/>
        <v>-4.0980420921025162E-3</v>
      </c>
      <c r="F217" s="154">
        <v>19819.949218999998</v>
      </c>
      <c r="G217" s="14">
        <f t="shared" si="7"/>
        <v>1.9791226404688889E-2</v>
      </c>
    </row>
    <row r="218" spans="2:7" x14ac:dyDescent="0.25">
      <c r="B218" s="153">
        <v>45180</v>
      </c>
      <c r="C218" s="154">
        <v>599.75</v>
      </c>
      <c r="D218" s="14">
        <f t="shared" si="6"/>
        <v>3.905670950901996E-3</v>
      </c>
      <c r="F218" s="154">
        <v>20192.349609000001</v>
      </c>
      <c r="G218" s="14">
        <f>F218/F217-1</f>
        <v>1.8789169734249711E-2</v>
      </c>
    </row>
    <row r="219" spans="2:7" x14ac:dyDescent="0.25">
      <c r="B219" s="153">
        <v>45187</v>
      </c>
      <c r="C219" s="154">
        <v>669.29998799999998</v>
      </c>
      <c r="D219" s="14">
        <f t="shared" si="6"/>
        <v>0.11596496540225099</v>
      </c>
      <c r="F219" s="154">
        <v>19674.25</v>
      </c>
      <c r="G219" s="14">
        <f t="shared" si="7"/>
        <v>-2.5658213087251469E-2</v>
      </c>
    </row>
    <row r="220" spans="2:7" x14ac:dyDescent="0.25">
      <c r="B220" s="153">
        <v>45194</v>
      </c>
      <c r="C220" s="154">
        <v>568.84997599999997</v>
      </c>
      <c r="D220" s="14">
        <f t="shared" si="6"/>
        <v>-0.15008219602717221</v>
      </c>
      <c r="F220" s="154">
        <v>19638.300781000002</v>
      </c>
      <c r="G220" s="14">
        <f t="shared" si="7"/>
        <v>-1.8272218254824502E-3</v>
      </c>
    </row>
    <row r="221" spans="2:7" x14ac:dyDescent="0.25">
      <c r="B221" s="153">
        <v>45201</v>
      </c>
      <c r="C221" s="154">
        <v>565.34997599999997</v>
      </c>
      <c r="D221" s="14">
        <f t="shared" si="6"/>
        <v>-6.1527646087129462E-3</v>
      </c>
      <c r="F221" s="154">
        <v>19653.5</v>
      </c>
      <c r="G221" s="14">
        <f t="shared" si="7"/>
        <v>7.7395794928980521E-4</v>
      </c>
    </row>
    <row r="222" spans="2:7" x14ac:dyDescent="0.25">
      <c r="B222" s="153">
        <v>45208</v>
      </c>
      <c r="C222" s="154">
        <v>568.25</v>
      </c>
      <c r="D222" s="14">
        <f t="shared" si="6"/>
        <v>5.1296084250651575E-3</v>
      </c>
      <c r="F222" s="154">
        <v>19751.050781000002</v>
      </c>
      <c r="G222" s="14">
        <f t="shared" si="7"/>
        <v>4.96353224616497E-3</v>
      </c>
    </row>
    <row r="223" spans="2:7" x14ac:dyDescent="0.25">
      <c r="B223" s="153">
        <v>45215</v>
      </c>
      <c r="C223" s="154">
        <v>584.25</v>
      </c>
      <c r="D223" s="14">
        <f t="shared" si="6"/>
        <v>2.8156621205455368E-2</v>
      </c>
      <c r="F223" s="154">
        <v>19542.650390999999</v>
      </c>
      <c r="G223" s="14">
        <f t="shared" si="7"/>
        <v>-1.0551357105540893E-2</v>
      </c>
    </row>
    <row r="224" spans="2:7" x14ac:dyDescent="0.25">
      <c r="B224" s="153">
        <v>45222</v>
      </c>
      <c r="C224" s="154">
        <v>537.54998799999998</v>
      </c>
      <c r="D224" s="14">
        <f t="shared" si="6"/>
        <v>-7.9931556696619666E-2</v>
      </c>
      <c r="F224" s="154">
        <v>19047.25</v>
      </c>
      <c r="G224" s="14">
        <f t="shared" si="7"/>
        <v>-2.5349703396840506E-2</v>
      </c>
    </row>
    <row r="225" spans="1:10" x14ac:dyDescent="0.25">
      <c r="B225" s="153">
        <v>45229</v>
      </c>
      <c r="C225" s="154">
        <v>553.15002400000003</v>
      </c>
      <c r="D225" s="14">
        <f t="shared" si="6"/>
        <v>2.9020623845684268E-2</v>
      </c>
      <c r="F225" s="154">
        <v>19230.599609000001</v>
      </c>
      <c r="G225" s="14">
        <f t="shared" si="7"/>
        <v>9.6260409770438926E-3</v>
      </c>
    </row>
    <row r="226" spans="1:10" x14ac:dyDescent="0.25">
      <c r="B226" s="153">
        <v>45233</v>
      </c>
      <c r="C226" s="154">
        <v>553.09997599999997</v>
      </c>
      <c r="D226" s="14">
        <f>C226/C225-1</f>
        <v>-9.0478166552609984E-5</v>
      </c>
      <c r="F226" s="154">
        <v>19230.599609000001</v>
      </c>
      <c r="G226" s="14">
        <f>F226/F225-1</f>
        <v>0</v>
      </c>
    </row>
    <row r="229" spans="1:10" x14ac:dyDescent="0.25">
      <c r="A229" t="s">
        <v>194</v>
      </c>
      <c r="B229" s="236" t="s">
        <v>300</v>
      </c>
      <c r="C229" s="236"/>
      <c r="D229" s="236"/>
      <c r="F229" s="236" t="s">
        <v>272</v>
      </c>
      <c r="G229" s="236"/>
    </row>
    <row r="230" spans="1:10" x14ac:dyDescent="0.25">
      <c r="B230" s="163"/>
      <c r="C230" s="163"/>
      <c r="D230" s="163"/>
    </row>
    <row r="231" spans="1:10" x14ac:dyDescent="0.25">
      <c r="B231" s="166" t="s">
        <v>267</v>
      </c>
      <c r="C231" s="166" t="s">
        <v>270</v>
      </c>
      <c r="D231" s="48" t="s">
        <v>271</v>
      </c>
      <c r="E231" s="165"/>
      <c r="F231" s="166" t="s">
        <v>270</v>
      </c>
      <c r="G231" s="48" t="s">
        <v>271</v>
      </c>
      <c r="I231" s="161" t="s">
        <v>273</v>
      </c>
      <c r="J231" s="162">
        <f>SLOPE(D234:D338,G234:G338)</f>
        <v>0.89393171209780109</v>
      </c>
    </row>
    <row r="233" spans="1:10" x14ac:dyDescent="0.25">
      <c r="B233" s="153">
        <v>44501</v>
      </c>
      <c r="C233" s="154">
        <v>376.83160400000003</v>
      </c>
      <c r="F233" s="154">
        <v>17916.800781000002</v>
      </c>
    </row>
    <row r="234" spans="1:10" x14ac:dyDescent="0.25">
      <c r="B234" s="153">
        <v>44508</v>
      </c>
      <c r="C234" s="154">
        <v>391.05658</v>
      </c>
      <c r="D234" s="14">
        <f>C234/C233-1</f>
        <v>3.7748893269578199E-2</v>
      </c>
      <c r="F234" s="154">
        <v>18102.75</v>
      </c>
      <c r="G234" s="14">
        <f>F234/F233-1</f>
        <v>1.0378483372834646E-2</v>
      </c>
    </row>
    <row r="235" spans="1:10" x14ac:dyDescent="0.25">
      <c r="B235" s="153">
        <v>44515</v>
      </c>
      <c r="C235" s="154">
        <v>388.62039199999998</v>
      </c>
      <c r="D235" s="14">
        <f t="shared" ref="D235:D298" si="8">C235/C234-1</f>
        <v>-6.2297583638664111E-3</v>
      </c>
      <c r="F235" s="154">
        <v>17764.800781000002</v>
      </c>
      <c r="G235" s="14">
        <f t="shared" ref="G235:G298" si="9">F235/F234-1</f>
        <v>-1.8668391211279944E-2</v>
      </c>
    </row>
    <row r="236" spans="1:10" x14ac:dyDescent="0.25">
      <c r="B236" s="153">
        <v>44522</v>
      </c>
      <c r="C236" s="154">
        <v>381.385986</v>
      </c>
      <c r="D236" s="14">
        <f t="shared" si="8"/>
        <v>-1.8615610886419942E-2</v>
      </c>
      <c r="F236" s="154">
        <v>17026.449218999998</v>
      </c>
      <c r="G236" s="14">
        <f t="shared" si="9"/>
        <v>-4.1562614245001406E-2</v>
      </c>
    </row>
    <row r="237" spans="1:10" x14ac:dyDescent="0.25">
      <c r="B237" s="153">
        <v>44529</v>
      </c>
      <c r="C237" s="154">
        <v>391.218231</v>
      </c>
      <c r="D237" s="14">
        <f t="shared" si="8"/>
        <v>2.5780299646353644E-2</v>
      </c>
      <c r="F237" s="154">
        <v>17196.699218999998</v>
      </c>
      <c r="G237" s="14">
        <f t="shared" si="9"/>
        <v>9.9991488424970854E-3</v>
      </c>
    </row>
    <row r="238" spans="1:10" x14ac:dyDescent="0.25">
      <c r="B238" s="153">
        <v>44536</v>
      </c>
      <c r="C238" s="154">
        <v>392.66513099999997</v>
      </c>
      <c r="D238" s="14">
        <f t="shared" si="8"/>
        <v>3.6984472740484442E-3</v>
      </c>
      <c r="F238" s="154">
        <v>17511.300781000002</v>
      </c>
      <c r="G238" s="14">
        <f t="shared" si="9"/>
        <v>1.8294299271828462E-2</v>
      </c>
    </row>
    <row r="239" spans="1:10" x14ac:dyDescent="0.25">
      <c r="B239" s="153">
        <v>44543</v>
      </c>
      <c r="C239" s="154">
        <v>387.92984000000001</v>
      </c>
      <c r="D239" s="14">
        <f t="shared" si="8"/>
        <v>-1.205936210312486E-2</v>
      </c>
      <c r="F239" s="154">
        <v>16985.199218999998</v>
      </c>
      <c r="G239" s="14">
        <f t="shared" si="9"/>
        <v>-3.0043545512668635E-2</v>
      </c>
    </row>
    <row r="240" spans="1:10" x14ac:dyDescent="0.25">
      <c r="B240" s="153">
        <v>44550</v>
      </c>
      <c r="C240" s="154">
        <v>378.68951399999997</v>
      </c>
      <c r="D240" s="14">
        <f t="shared" si="8"/>
        <v>-2.3819580365356918E-2</v>
      </c>
      <c r="F240" s="154">
        <v>17003.75</v>
      </c>
      <c r="G240" s="14">
        <f t="shared" si="9"/>
        <v>1.0921732951623131E-3</v>
      </c>
    </row>
    <row r="241" spans="2:7" x14ac:dyDescent="0.25">
      <c r="B241" s="153">
        <v>44557</v>
      </c>
      <c r="C241" s="154">
        <v>388.81771900000001</v>
      </c>
      <c r="D241" s="14">
        <f t="shared" si="8"/>
        <v>2.6745406528473348E-2</v>
      </c>
      <c r="F241" s="154">
        <v>17354.050781000002</v>
      </c>
      <c r="G241" s="14">
        <f t="shared" si="9"/>
        <v>2.0601383871204915E-2</v>
      </c>
    </row>
    <row r="242" spans="2:7" x14ac:dyDescent="0.25">
      <c r="B242" s="153">
        <v>44564</v>
      </c>
      <c r="C242" s="154">
        <v>393.22412100000003</v>
      </c>
      <c r="D242" s="14">
        <f t="shared" si="8"/>
        <v>1.1332822000326592E-2</v>
      </c>
      <c r="F242" s="154">
        <v>17812.699218999998</v>
      </c>
      <c r="G242" s="14">
        <f t="shared" si="9"/>
        <v>2.6428898001275014E-2</v>
      </c>
    </row>
    <row r="243" spans="2:7" x14ac:dyDescent="0.25">
      <c r="B243" s="153">
        <v>44571</v>
      </c>
      <c r="C243" s="154">
        <v>401.44506799999999</v>
      </c>
      <c r="D243" s="14">
        <f t="shared" si="8"/>
        <v>2.0906517583645368E-2</v>
      </c>
      <c r="F243" s="154">
        <v>18255.75</v>
      </c>
      <c r="G243" s="14">
        <f t="shared" si="9"/>
        <v>2.4872748119354027E-2</v>
      </c>
    </row>
    <row r="244" spans="2:7" x14ac:dyDescent="0.25">
      <c r="B244" s="153">
        <v>44578</v>
      </c>
      <c r="C244" s="154">
        <v>378.623718</v>
      </c>
      <c r="D244" s="14">
        <f t="shared" si="8"/>
        <v>-5.6848001928871628E-2</v>
      </c>
      <c r="F244" s="154">
        <v>17617.150390999999</v>
      </c>
      <c r="G244" s="14">
        <f t="shared" si="9"/>
        <v>-3.4980738068827621E-2</v>
      </c>
    </row>
    <row r="245" spans="2:7" x14ac:dyDescent="0.25">
      <c r="B245" s="153">
        <v>44585</v>
      </c>
      <c r="C245" s="154">
        <v>375.13806199999999</v>
      </c>
      <c r="D245" s="14">
        <f t="shared" si="8"/>
        <v>-9.2061216302355975E-3</v>
      </c>
      <c r="F245" s="154">
        <v>17101.949218999998</v>
      </c>
      <c r="G245" s="14">
        <f t="shared" si="9"/>
        <v>-2.9244296640800638E-2</v>
      </c>
    </row>
    <row r="246" spans="2:7" x14ac:dyDescent="0.25">
      <c r="B246" s="153">
        <v>44592</v>
      </c>
      <c r="C246" s="154">
        <v>355.60510299999999</v>
      </c>
      <c r="D246" s="14">
        <f t="shared" si="8"/>
        <v>-5.2068720768728594E-2</v>
      </c>
      <c r="F246" s="154">
        <v>17516.300781000002</v>
      </c>
      <c r="G246" s="14">
        <f t="shared" si="9"/>
        <v>2.4228323724623468E-2</v>
      </c>
    </row>
    <row r="247" spans="2:7" x14ac:dyDescent="0.25">
      <c r="B247" s="153">
        <v>44599</v>
      </c>
      <c r="C247" s="154">
        <v>327.193512</v>
      </c>
      <c r="D247" s="14">
        <f t="shared" si="8"/>
        <v>-7.9896465940197725E-2</v>
      </c>
      <c r="F247" s="154">
        <v>17374.75</v>
      </c>
      <c r="G247" s="14">
        <f t="shared" si="9"/>
        <v>-8.0810887395552644E-3</v>
      </c>
    </row>
    <row r="248" spans="2:7" x14ac:dyDescent="0.25">
      <c r="B248" s="153">
        <v>44606</v>
      </c>
      <c r="C248" s="154">
        <v>325.31915300000003</v>
      </c>
      <c r="D248" s="14">
        <f t="shared" si="8"/>
        <v>-5.7285946427934054E-3</v>
      </c>
      <c r="F248" s="154">
        <v>17276.300781000002</v>
      </c>
      <c r="G248" s="14">
        <f t="shared" si="9"/>
        <v>-5.66622362911684E-3</v>
      </c>
    </row>
    <row r="249" spans="2:7" x14ac:dyDescent="0.25">
      <c r="B249" s="153">
        <v>44613</v>
      </c>
      <c r="C249" s="154">
        <v>296.51297</v>
      </c>
      <c r="D249" s="14">
        <f t="shared" si="8"/>
        <v>-8.8547454812782034E-2</v>
      </c>
      <c r="F249" s="154">
        <v>16658.400390999999</v>
      </c>
      <c r="G249" s="14">
        <f t="shared" si="9"/>
        <v>-3.5765780987070617E-2</v>
      </c>
    </row>
    <row r="250" spans="2:7" x14ac:dyDescent="0.25">
      <c r="B250" s="153">
        <v>44620</v>
      </c>
      <c r="C250" s="154">
        <v>292.665527</v>
      </c>
      <c r="D250" s="14">
        <f t="shared" si="8"/>
        <v>-1.2975631386377473E-2</v>
      </c>
      <c r="F250" s="154">
        <v>16245.349609000001</v>
      </c>
      <c r="G250" s="14">
        <f t="shared" si="9"/>
        <v>-2.479534482933643E-2</v>
      </c>
    </row>
    <row r="251" spans="2:7" x14ac:dyDescent="0.25">
      <c r="B251" s="153">
        <v>44627</v>
      </c>
      <c r="C251" s="154">
        <v>296.01971400000002</v>
      </c>
      <c r="D251" s="14">
        <f t="shared" si="8"/>
        <v>1.1460820255745574E-2</v>
      </c>
      <c r="F251" s="154">
        <v>16630.449218999998</v>
      </c>
      <c r="G251" s="14">
        <f t="shared" si="9"/>
        <v>2.3705221449137115E-2</v>
      </c>
    </row>
    <row r="252" spans="2:7" x14ac:dyDescent="0.25">
      <c r="B252" s="153">
        <v>44634</v>
      </c>
      <c r="C252" s="154">
        <v>312.95486499999998</v>
      </c>
      <c r="D252" s="14">
        <f t="shared" si="8"/>
        <v>5.7209537740449123E-2</v>
      </c>
      <c r="F252" s="154">
        <v>17287.050781000002</v>
      </c>
      <c r="G252" s="14">
        <f t="shared" si="9"/>
        <v>3.9481889716475482E-2</v>
      </c>
    </row>
    <row r="253" spans="2:7" x14ac:dyDescent="0.25">
      <c r="B253" s="153">
        <v>44641</v>
      </c>
      <c r="C253" s="154">
        <v>298.74908399999998</v>
      </c>
      <c r="D253" s="14">
        <f t="shared" si="8"/>
        <v>-4.5392427435183014E-2</v>
      </c>
      <c r="F253" s="154">
        <v>17153</v>
      </c>
      <c r="G253" s="14">
        <f t="shared" si="9"/>
        <v>-7.7544043051771538E-3</v>
      </c>
    </row>
    <row r="254" spans="2:7" x14ac:dyDescent="0.25">
      <c r="B254" s="153">
        <v>44648</v>
      </c>
      <c r="C254" s="154">
        <v>308.97592200000003</v>
      </c>
      <c r="D254" s="14">
        <f t="shared" si="8"/>
        <v>3.4232198683494586E-2</v>
      </c>
      <c r="F254" s="154">
        <v>17670.449218999998</v>
      </c>
      <c r="G254" s="14">
        <f t="shared" si="9"/>
        <v>3.0166689150585846E-2</v>
      </c>
    </row>
    <row r="255" spans="2:7" x14ac:dyDescent="0.25">
      <c r="B255" s="153">
        <v>44655</v>
      </c>
      <c r="C255" s="154">
        <v>305.29296900000003</v>
      </c>
      <c r="D255" s="14">
        <f t="shared" si="8"/>
        <v>-1.1919870571662217E-2</v>
      </c>
      <c r="F255" s="154">
        <v>17784.349609000001</v>
      </c>
      <c r="G255" s="14">
        <f t="shared" si="9"/>
        <v>6.4458117950692007E-3</v>
      </c>
    </row>
    <row r="256" spans="2:7" x14ac:dyDescent="0.25">
      <c r="B256" s="153">
        <v>44662</v>
      </c>
      <c r="C256" s="154">
        <v>305.85192899999998</v>
      </c>
      <c r="D256" s="14">
        <f t="shared" si="8"/>
        <v>1.8308970620282139E-3</v>
      </c>
      <c r="F256" s="154">
        <v>17475.650390999999</v>
      </c>
      <c r="G256" s="14">
        <f t="shared" si="9"/>
        <v>-1.7357914390289553E-2</v>
      </c>
    </row>
    <row r="257" spans="2:7" x14ac:dyDescent="0.25">
      <c r="B257" s="153">
        <v>44669</v>
      </c>
      <c r="C257" s="154">
        <v>308.97592200000003</v>
      </c>
      <c r="D257" s="14">
        <f t="shared" si="8"/>
        <v>1.0214069959323391E-2</v>
      </c>
      <c r="F257" s="154">
        <v>17171.949218999998</v>
      </c>
      <c r="G257" s="14">
        <f t="shared" si="9"/>
        <v>-1.7378533285170805E-2</v>
      </c>
    </row>
    <row r="258" spans="2:7" x14ac:dyDescent="0.25">
      <c r="B258" s="153">
        <v>44676</v>
      </c>
      <c r="C258" s="154">
        <v>308.81149299999998</v>
      </c>
      <c r="D258" s="14">
        <f t="shared" si="8"/>
        <v>-5.3217415433437498E-4</v>
      </c>
      <c r="F258" s="154">
        <v>17102.550781000002</v>
      </c>
      <c r="G258" s="14">
        <f t="shared" si="9"/>
        <v>-4.041383835634127E-3</v>
      </c>
    </row>
    <row r="259" spans="2:7" x14ac:dyDescent="0.25">
      <c r="B259" s="153">
        <v>44683</v>
      </c>
      <c r="C259" s="154">
        <v>296.80892899999998</v>
      </c>
      <c r="D259" s="14">
        <f t="shared" si="8"/>
        <v>-3.8866960174956944E-2</v>
      </c>
      <c r="F259" s="154">
        <v>16411.25</v>
      </c>
      <c r="G259" s="14">
        <f t="shared" si="9"/>
        <v>-4.0420916730619982E-2</v>
      </c>
    </row>
    <row r="260" spans="2:7" x14ac:dyDescent="0.25">
      <c r="B260" s="153">
        <v>44690</v>
      </c>
      <c r="C260" s="154">
        <v>261.82055700000001</v>
      </c>
      <c r="D260" s="14">
        <f t="shared" si="8"/>
        <v>-0.11788180402079473</v>
      </c>
      <c r="F260" s="154">
        <v>15782.150390999999</v>
      </c>
      <c r="G260" s="14">
        <f t="shared" si="9"/>
        <v>-3.8333436453652281E-2</v>
      </c>
    </row>
    <row r="261" spans="2:7" x14ac:dyDescent="0.25">
      <c r="B261" s="153">
        <v>44697</v>
      </c>
      <c r="C261" s="154">
        <v>262.21517899999998</v>
      </c>
      <c r="D261" s="14">
        <f t="shared" si="8"/>
        <v>1.5072231322155183E-3</v>
      </c>
      <c r="F261" s="154">
        <v>16266.150390999999</v>
      </c>
      <c r="G261" s="14">
        <f t="shared" si="9"/>
        <v>3.0667557209187901E-2</v>
      </c>
    </row>
    <row r="262" spans="2:7" x14ac:dyDescent="0.25">
      <c r="B262" s="153">
        <v>44704</v>
      </c>
      <c r="C262" s="154">
        <v>266.25988799999999</v>
      </c>
      <c r="D262" s="14">
        <f t="shared" si="8"/>
        <v>1.5425152027526368E-2</v>
      </c>
      <c r="F262" s="154">
        <v>16352.450194999999</v>
      </c>
      <c r="G262" s="14">
        <f t="shared" si="9"/>
        <v>5.3054842064996777E-3</v>
      </c>
    </row>
    <row r="263" spans="2:7" x14ac:dyDescent="0.25">
      <c r="B263" s="153">
        <v>44711</v>
      </c>
      <c r="C263" s="154">
        <v>271.52130099999999</v>
      </c>
      <c r="D263" s="14">
        <f t="shared" si="8"/>
        <v>1.9760441723013056E-2</v>
      </c>
      <c r="F263" s="154">
        <v>16584.300781000002</v>
      </c>
      <c r="G263" s="14">
        <f t="shared" si="9"/>
        <v>1.4178339223494207E-2</v>
      </c>
    </row>
    <row r="264" spans="2:7" x14ac:dyDescent="0.25">
      <c r="B264" s="153">
        <v>44718</v>
      </c>
      <c r="C264" s="154">
        <v>262.47827100000001</v>
      </c>
      <c r="D264" s="14">
        <f t="shared" si="8"/>
        <v>-3.3305048136904714E-2</v>
      </c>
      <c r="F264" s="154">
        <v>16201.799805000001</v>
      </c>
      <c r="G264" s="14">
        <f t="shared" si="9"/>
        <v>-2.3064039964724836E-2</v>
      </c>
    </row>
    <row r="265" spans="2:7" x14ac:dyDescent="0.25">
      <c r="B265" s="153">
        <v>44725</v>
      </c>
      <c r="C265" s="154">
        <v>244.79827900000001</v>
      </c>
      <c r="D265" s="14">
        <f t="shared" si="8"/>
        <v>-6.7357926172867844E-2</v>
      </c>
      <c r="F265" s="154">
        <v>15293.5</v>
      </c>
      <c r="G265" s="14">
        <f t="shared" si="9"/>
        <v>-5.606166079892505E-2</v>
      </c>
    </row>
    <row r="266" spans="2:7" x14ac:dyDescent="0.25">
      <c r="B266" s="153">
        <v>44732</v>
      </c>
      <c r="C266" s="154">
        <v>246.349503</v>
      </c>
      <c r="D266" s="14">
        <f t="shared" si="8"/>
        <v>6.3367438951642541E-3</v>
      </c>
      <c r="F266" s="154">
        <v>15699.25</v>
      </c>
      <c r="G266" s="14">
        <f t="shared" si="9"/>
        <v>2.6530879131657192E-2</v>
      </c>
    </row>
    <row r="267" spans="2:7" x14ac:dyDescent="0.25">
      <c r="B267" s="153">
        <v>44739</v>
      </c>
      <c r="C267" s="154">
        <v>245.85443100000001</v>
      </c>
      <c r="D267" s="14">
        <f t="shared" si="8"/>
        <v>-2.0096326315706126E-3</v>
      </c>
      <c r="F267" s="154">
        <v>15752.049805000001</v>
      </c>
      <c r="G267" s="14">
        <f t="shared" si="9"/>
        <v>3.3632055671448668E-3</v>
      </c>
    </row>
    <row r="268" spans="2:7" x14ac:dyDescent="0.25">
      <c r="B268" s="153">
        <v>44746</v>
      </c>
      <c r="C268" s="154">
        <v>258.00030500000003</v>
      </c>
      <c r="D268" s="14">
        <f t="shared" si="8"/>
        <v>4.9402705294337546E-2</v>
      </c>
      <c r="F268" s="154">
        <v>16220.599609000001</v>
      </c>
      <c r="G268" s="14">
        <f t="shared" si="9"/>
        <v>2.9745322659611828E-2</v>
      </c>
    </row>
    <row r="269" spans="2:7" x14ac:dyDescent="0.25">
      <c r="B269" s="153">
        <v>44753</v>
      </c>
      <c r="C269" s="154">
        <v>258.42935199999999</v>
      </c>
      <c r="D269" s="14">
        <f t="shared" si="8"/>
        <v>1.6629709023017192E-3</v>
      </c>
      <c r="F269" s="154">
        <v>16049.200194999999</v>
      </c>
      <c r="G269" s="14">
        <f t="shared" si="9"/>
        <v>-1.0566774233481513E-2</v>
      </c>
    </row>
    <row r="270" spans="2:7" x14ac:dyDescent="0.25">
      <c r="B270" s="153">
        <v>44760</v>
      </c>
      <c r="C270" s="154">
        <v>265.45941199999999</v>
      </c>
      <c r="D270" s="14">
        <f t="shared" si="8"/>
        <v>2.7203024523313468E-2</v>
      </c>
      <c r="F270" s="154">
        <v>16719.449218999998</v>
      </c>
      <c r="G270" s="14">
        <f t="shared" si="9"/>
        <v>4.1762144895470144E-2</v>
      </c>
    </row>
    <row r="271" spans="2:7" x14ac:dyDescent="0.25">
      <c r="B271" s="153">
        <v>44767</v>
      </c>
      <c r="C271" s="154">
        <v>264.04019199999999</v>
      </c>
      <c r="D271" s="14">
        <f t="shared" si="8"/>
        <v>-5.3462786996605338E-3</v>
      </c>
      <c r="F271" s="154">
        <v>17158.25</v>
      </c>
      <c r="G271" s="14">
        <f t="shared" si="9"/>
        <v>2.6244930395275645E-2</v>
      </c>
    </row>
    <row r="272" spans="2:7" x14ac:dyDescent="0.25">
      <c r="B272" s="153">
        <v>44774</v>
      </c>
      <c r="C272" s="154">
        <v>331.007385</v>
      </c>
      <c r="D272" s="14">
        <f t="shared" si="8"/>
        <v>0.25362499736403765</v>
      </c>
      <c r="F272" s="154">
        <v>17397.5</v>
      </c>
      <c r="G272" s="14">
        <f t="shared" si="9"/>
        <v>1.3943729692713402E-2</v>
      </c>
    </row>
    <row r="273" spans="2:7" x14ac:dyDescent="0.25">
      <c r="B273" s="153">
        <v>44781</v>
      </c>
      <c r="C273" s="154">
        <v>326.25466899999998</v>
      </c>
      <c r="D273" s="14">
        <f t="shared" si="8"/>
        <v>-1.4358338258827708E-2</v>
      </c>
      <c r="F273" s="154">
        <v>17698.150390999999</v>
      </c>
      <c r="G273" s="14">
        <f t="shared" si="9"/>
        <v>1.7281241040379314E-2</v>
      </c>
    </row>
    <row r="274" spans="2:7" x14ac:dyDescent="0.25">
      <c r="B274" s="153">
        <v>44788</v>
      </c>
      <c r="C274" s="154">
        <v>333.812836</v>
      </c>
      <c r="D274" s="14">
        <f t="shared" si="8"/>
        <v>2.3166463864460418E-2</v>
      </c>
      <c r="F274" s="154">
        <v>17758.449218999998</v>
      </c>
      <c r="G274" s="14">
        <f t="shared" si="9"/>
        <v>3.4070694771959342E-3</v>
      </c>
    </row>
    <row r="275" spans="2:7" x14ac:dyDescent="0.25">
      <c r="B275" s="153">
        <v>44795</v>
      </c>
      <c r="C275" s="154">
        <v>325.36355600000002</v>
      </c>
      <c r="D275" s="14">
        <f t="shared" si="8"/>
        <v>-2.531142930645125E-2</v>
      </c>
      <c r="F275" s="154">
        <v>17558.900390999999</v>
      </c>
      <c r="G275" s="14">
        <f t="shared" si="9"/>
        <v>-1.1236838619134604E-2</v>
      </c>
    </row>
    <row r="276" spans="2:7" x14ac:dyDescent="0.25">
      <c r="B276" s="153">
        <v>44802</v>
      </c>
      <c r="C276" s="154">
        <v>329.85220299999997</v>
      </c>
      <c r="D276" s="14">
        <f t="shared" si="8"/>
        <v>1.3795789101837652E-2</v>
      </c>
      <c r="F276" s="154">
        <v>17539.449218999998</v>
      </c>
      <c r="G276" s="14">
        <f t="shared" si="9"/>
        <v>-1.1077670905844661E-3</v>
      </c>
    </row>
    <row r="277" spans="2:7" x14ac:dyDescent="0.25">
      <c r="B277" s="153">
        <v>44809</v>
      </c>
      <c r="C277" s="154">
        <v>338.895599</v>
      </c>
      <c r="D277" s="14">
        <f t="shared" si="8"/>
        <v>2.7416509326754435E-2</v>
      </c>
      <c r="F277" s="154">
        <v>17833.349609000001</v>
      </c>
      <c r="G277" s="14">
        <f t="shared" si="9"/>
        <v>1.6756534730955508E-2</v>
      </c>
    </row>
    <row r="278" spans="2:7" x14ac:dyDescent="0.25">
      <c r="B278" s="153">
        <v>44816</v>
      </c>
      <c r="C278" s="154">
        <v>316.78222699999998</v>
      </c>
      <c r="D278" s="14">
        <f t="shared" si="8"/>
        <v>-6.5251281117994164E-2</v>
      </c>
      <c r="F278" s="154">
        <v>17530.849609000001</v>
      </c>
      <c r="G278" s="14">
        <f t="shared" si="9"/>
        <v>-1.6962601341440453E-2</v>
      </c>
    </row>
    <row r="279" spans="2:7" x14ac:dyDescent="0.25">
      <c r="B279" s="153">
        <v>44823</v>
      </c>
      <c r="C279" s="154">
        <v>316.25414999999998</v>
      </c>
      <c r="D279" s="14">
        <f t="shared" si="8"/>
        <v>-1.6670032438403926E-3</v>
      </c>
      <c r="F279" s="154">
        <v>17327.349609000001</v>
      </c>
      <c r="G279" s="14">
        <f t="shared" si="9"/>
        <v>-1.1608108251383698E-2</v>
      </c>
    </row>
    <row r="280" spans="2:7" x14ac:dyDescent="0.25">
      <c r="B280" s="153">
        <v>44830</v>
      </c>
      <c r="C280" s="154">
        <v>323.21820100000002</v>
      </c>
      <c r="D280" s="14">
        <f t="shared" si="8"/>
        <v>2.2020425660817633E-2</v>
      </c>
      <c r="F280" s="154">
        <v>17094.349609000001</v>
      </c>
      <c r="G280" s="14">
        <f t="shared" si="9"/>
        <v>-1.3446949779265527E-2</v>
      </c>
    </row>
    <row r="281" spans="2:7" x14ac:dyDescent="0.25">
      <c r="B281" s="153">
        <v>44837</v>
      </c>
      <c r="C281" s="154">
        <v>313.94381700000002</v>
      </c>
      <c r="D281" s="14">
        <f t="shared" si="8"/>
        <v>-2.8693879154410573E-2</v>
      </c>
      <c r="F281" s="154">
        <v>17314.650390999999</v>
      </c>
      <c r="G281" s="14">
        <f t="shared" si="9"/>
        <v>1.2887345060733635E-2</v>
      </c>
    </row>
    <row r="282" spans="2:7" x14ac:dyDescent="0.25">
      <c r="B282" s="153">
        <v>44844</v>
      </c>
      <c r="C282" s="154">
        <v>317.73937999999998</v>
      </c>
      <c r="D282" s="14">
        <f t="shared" si="8"/>
        <v>1.2089943469088871E-2</v>
      </c>
      <c r="F282" s="154">
        <v>17185.699218999998</v>
      </c>
      <c r="G282" s="14">
        <f t="shared" si="9"/>
        <v>-7.4475180894804094E-3</v>
      </c>
    </row>
    <row r="283" spans="2:7" x14ac:dyDescent="0.25">
      <c r="B283" s="153">
        <v>44851</v>
      </c>
      <c r="C283" s="154">
        <v>316.32015999999999</v>
      </c>
      <c r="D283" s="14">
        <f t="shared" si="8"/>
        <v>-4.4666166340476821E-3</v>
      </c>
      <c r="F283" s="154">
        <v>17576.300781000002</v>
      </c>
      <c r="G283" s="14">
        <f t="shared" si="9"/>
        <v>2.2728290366455628E-2</v>
      </c>
    </row>
    <row r="284" spans="2:7" x14ac:dyDescent="0.25">
      <c r="B284" s="153">
        <v>44858</v>
      </c>
      <c r="C284" s="154">
        <v>314.33987400000001</v>
      </c>
      <c r="D284" s="14">
        <f t="shared" si="8"/>
        <v>-6.2603850478577527E-3</v>
      </c>
      <c r="F284" s="154">
        <v>17786.800781000002</v>
      </c>
      <c r="G284" s="14">
        <f t="shared" si="9"/>
        <v>1.197635399068453E-2</v>
      </c>
    </row>
    <row r="285" spans="2:7" x14ac:dyDescent="0.25">
      <c r="B285" s="153">
        <v>44865</v>
      </c>
      <c r="C285" s="154">
        <v>295.72500600000001</v>
      </c>
      <c r="D285" s="14">
        <f t="shared" si="8"/>
        <v>-5.9218920473321779E-2</v>
      </c>
      <c r="F285" s="154">
        <v>18117.150390999999</v>
      </c>
      <c r="G285" s="14">
        <f t="shared" si="9"/>
        <v>1.8572739081492262E-2</v>
      </c>
    </row>
    <row r="286" spans="2:7" x14ac:dyDescent="0.25">
      <c r="B286" s="153">
        <v>44872</v>
      </c>
      <c r="C286" s="154">
        <v>295.39498900000001</v>
      </c>
      <c r="D286" s="14">
        <f t="shared" si="8"/>
        <v>-1.1159590609662873E-3</v>
      </c>
      <c r="F286" s="154">
        <v>18349.699218999998</v>
      </c>
      <c r="G286" s="14">
        <f t="shared" si="9"/>
        <v>1.2835839134808014E-2</v>
      </c>
    </row>
    <row r="287" spans="2:7" x14ac:dyDescent="0.25">
      <c r="B287" s="153">
        <v>44879</v>
      </c>
      <c r="C287" s="154">
        <v>286.549622</v>
      </c>
      <c r="D287" s="14">
        <f t="shared" si="8"/>
        <v>-2.9944201253867653E-2</v>
      </c>
      <c r="F287" s="154">
        <v>18307.650390999999</v>
      </c>
      <c r="G287" s="14">
        <f t="shared" si="9"/>
        <v>-2.2915268254892762E-3</v>
      </c>
    </row>
    <row r="288" spans="2:7" x14ac:dyDescent="0.25">
      <c r="B288" s="153">
        <v>44886</v>
      </c>
      <c r="C288" s="154">
        <v>287.34176600000001</v>
      </c>
      <c r="D288" s="14">
        <f t="shared" si="8"/>
        <v>2.7644217237878799E-3</v>
      </c>
      <c r="F288" s="154">
        <v>18512.75</v>
      </c>
      <c r="G288" s="14">
        <f t="shared" si="9"/>
        <v>1.1202945469224623E-2</v>
      </c>
    </row>
    <row r="289" spans="2:7" x14ac:dyDescent="0.25">
      <c r="B289" s="153">
        <v>44893</v>
      </c>
      <c r="C289" s="154">
        <v>290.90628099999998</v>
      </c>
      <c r="D289" s="14">
        <f t="shared" si="8"/>
        <v>1.2405140573960249E-2</v>
      </c>
      <c r="F289" s="154">
        <v>18696.099609000001</v>
      </c>
      <c r="G289" s="14">
        <f t="shared" si="9"/>
        <v>9.9039639707769744E-3</v>
      </c>
    </row>
    <row r="290" spans="2:7" x14ac:dyDescent="0.25">
      <c r="B290" s="153">
        <v>44900</v>
      </c>
      <c r="C290" s="154">
        <v>294.83389299999999</v>
      </c>
      <c r="D290" s="14">
        <f t="shared" si="8"/>
        <v>1.3501296659868212E-2</v>
      </c>
      <c r="F290" s="154">
        <v>18496.599609000001</v>
      </c>
      <c r="G290" s="14">
        <f t="shared" si="9"/>
        <v>-1.0670674855838058E-2</v>
      </c>
    </row>
    <row r="291" spans="2:7" x14ac:dyDescent="0.25">
      <c r="B291" s="153">
        <v>44907</v>
      </c>
      <c r="C291" s="154">
        <v>283.64520299999998</v>
      </c>
      <c r="D291" s="14">
        <f t="shared" si="8"/>
        <v>-3.7949130902667272E-2</v>
      </c>
      <c r="F291" s="154">
        <v>18269</v>
      </c>
      <c r="G291" s="14">
        <f t="shared" si="9"/>
        <v>-1.2304943276668867E-2</v>
      </c>
    </row>
    <row r="292" spans="2:7" x14ac:dyDescent="0.25">
      <c r="B292" s="153">
        <v>44914</v>
      </c>
      <c r="C292" s="154">
        <v>279.18951399999997</v>
      </c>
      <c r="D292" s="14">
        <f t="shared" si="8"/>
        <v>-1.5708670384247614E-2</v>
      </c>
      <c r="F292" s="154">
        <v>17806.800781000002</v>
      </c>
      <c r="G292" s="14">
        <f t="shared" si="9"/>
        <v>-2.529964524604511E-2</v>
      </c>
    </row>
    <row r="293" spans="2:7" x14ac:dyDescent="0.25">
      <c r="B293" s="153">
        <v>44921</v>
      </c>
      <c r="C293" s="154">
        <v>289.94915800000001</v>
      </c>
      <c r="D293" s="14">
        <f t="shared" si="8"/>
        <v>3.8538854292357261E-2</v>
      </c>
      <c r="F293" s="154">
        <v>18105.300781000002</v>
      </c>
      <c r="G293" s="14">
        <f t="shared" si="9"/>
        <v>1.6763258244484991E-2</v>
      </c>
    </row>
    <row r="294" spans="2:7" x14ac:dyDescent="0.25">
      <c r="B294" s="153">
        <v>44928</v>
      </c>
      <c r="C294" s="154">
        <v>276.846161</v>
      </c>
      <c r="D294" s="14">
        <f t="shared" si="8"/>
        <v>-4.5190670979634362E-2</v>
      </c>
      <c r="F294" s="154">
        <v>17859.449218999998</v>
      </c>
      <c r="G294" s="14">
        <f t="shared" si="9"/>
        <v>-1.3578982474458767E-2</v>
      </c>
    </row>
    <row r="295" spans="2:7" x14ac:dyDescent="0.25">
      <c r="B295" s="153">
        <v>44935</v>
      </c>
      <c r="C295" s="154">
        <v>272.885559</v>
      </c>
      <c r="D295" s="14">
        <f t="shared" si="8"/>
        <v>-1.4306147449160367E-2</v>
      </c>
      <c r="F295" s="154">
        <v>17956.599609000001</v>
      </c>
      <c r="G295" s="14">
        <f t="shared" si="9"/>
        <v>5.4397192661825855E-3</v>
      </c>
    </row>
    <row r="296" spans="2:7" x14ac:dyDescent="0.25">
      <c r="B296" s="153">
        <v>44942</v>
      </c>
      <c r="C296" s="154">
        <v>276.28506499999997</v>
      </c>
      <c r="D296" s="14">
        <f t="shared" si="8"/>
        <v>1.2457625139481898E-2</v>
      </c>
      <c r="F296" s="154">
        <v>18027.650390999999</v>
      </c>
      <c r="G296" s="14">
        <f t="shared" si="9"/>
        <v>3.9568060516528281E-3</v>
      </c>
    </row>
    <row r="297" spans="2:7" x14ac:dyDescent="0.25">
      <c r="B297" s="153">
        <v>44949</v>
      </c>
      <c r="C297" s="154">
        <v>270.872253</v>
      </c>
      <c r="D297" s="14">
        <f t="shared" si="8"/>
        <v>-1.9591402814335912E-2</v>
      </c>
      <c r="F297" s="154">
        <v>17604.349609000001</v>
      </c>
      <c r="G297" s="14">
        <f t="shared" si="9"/>
        <v>-2.3480640727941093E-2</v>
      </c>
    </row>
    <row r="298" spans="2:7" x14ac:dyDescent="0.25">
      <c r="B298" s="153">
        <v>44956</v>
      </c>
      <c r="C298" s="154">
        <v>275.69094799999999</v>
      </c>
      <c r="D298" s="14">
        <f t="shared" si="8"/>
        <v>1.7789548197097771E-2</v>
      </c>
      <c r="F298" s="154">
        <v>17854.050781000002</v>
      </c>
      <c r="G298" s="14">
        <f t="shared" si="9"/>
        <v>1.4184061186352848E-2</v>
      </c>
    </row>
    <row r="299" spans="2:7" x14ac:dyDescent="0.25">
      <c r="B299" s="153">
        <v>44963</v>
      </c>
      <c r="C299" s="154">
        <v>276.97818000000001</v>
      </c>
      <c r="D299" s="14">
        <f t="shared" ref="D299:D337" si="10">C299/C298-1</f>
        <v>4.6691123134010581E-3</v>
      </c>
      <c r="F299" s="154">
        <v>17856.5</v>
      </c>
      <c r="G299" s="14">
        <f t="shared" ref="G299:G338" si="11">F299/F298-1</f>
        <v>1.371800175793414E-4</v>
      </c>
    </row>
    <row r="300" spans="2:7" x14ac:dyDescent="0.25">
      <c r="B300" s="153">
        <v>44970</v>
      </c>
      <c r="C300" s="154">
        <v>273.71066300000001</v>
      </c>
      <c r="D300" s="14">
        <f t="shared" si="10"/>
        <v>-1.1797019534174114E-2</v>
      </c>
      <c r="F300" s="154">
        <v>17944.199218999998</v>
      </c>
      <c r="G300" s="14">
        <f t="shared" si="11"/>
        <v>4.9113330719905424E-3</v>
      </c>
    </row>
    <row r="301" spans="2:7" x14ac:dyDescent="0.25">
      <c r="B301" s="153">
        <v>44977</v>
      </c>
      <c r="C301" s="154">
        <v>276.71414199999998</v>
      </c>
      <c r="D301" s="14">
        <f t="shared" si="10"/>
        <v>1.0973189597659028E-2</v>
      </c>
      <c r="F301" s="154">
        <v>17465.800781000002</v>
      </c>
      <c r="G301" s="14">
        <f t="shared" si="11"/>
        <v>-2.6660339208308015E-2</v>
      </c>
    </row>
    <row r="302" spans="2:7" x14ac:dyDescent="0.25">
      <c r="B302" s="153">
        <v>44984</v>
      </c>
      <c r="C302" s="154">
        <v>271.037262</v>
      </c>
      <c r="D302" s="14">
        <f t="shared" si="10"/>
        <v>-2.0515322993502783E-2</v>
      </c>
      <c r="F302" s="154">
        <v>17594.349609000001</v>
      </c>
      <c r="G302" s="14">
        <f t="shared" si="11"/>
        <v>7.3600305884538031E-3</v>
      </c>
    </row>
    <row r="303" spans="2:7" x14ac:dyDescent="0.25">
      <c r="B303" s="153">
        <v>44991</v>
      </c>
      <c r="C303" s="154">
        <v>269.48602299999999</v>
      </c>
      <c r="D303" s="14">
        <f t="shared" si="10"/>
        <v>-5.7233422022984204E-3</v>
      </c>
      <c r="F303" s="154">
        <v>17412.900390999999</v>
      </c>
      <c r="G303" s="14">
        <f t="shared" si="11"/>
        <v>-1.0312925571695164E-2</v>
      </c>
    </row>
    <row r="304" spans="2:7" x14ac:dyDescent="0.25">
      <c r="B304" s="153">
        <v>44998</v>
      </c>
      <c r="C304" s="154">
        <v>263.51211499999999</v>
      </c>
      <c r="D304" s="14">
        <f t="shared" si="10"/>
        <v>-2.2167784189683126E-2</v>
      </c>
      <c r="F304" s="154">
        <v>17100.050781000002</v>
      </c>
      <c r="G304" s="14">
        <f t="shared" si="11"/>
        <v>-1.7966542217268788E-2</v>
      </c>
    </row>
    <row r="305" spans="2:7" x14ac:dyDescent="0.25">
      <c r="B305" s="153">
        <v>45005</v>
      </c>
      <c r="C305" s="154">
        <v>253.74262999999999</v>
      </c>
      <c r="D305" s="14">
        <f t="shared" si="10"/>
        <v>-3.7074139836037578E-2</v>
      </c>
      <c r="F305" s="154">
        <v>16945.050781000002</v>
      </c>
      <c r="G305" s="14">
        <f t="shared" si="11"/>
        <v>-9.0643005675878907E-3</v>
      </c>
    </row>
    <row r="306" spans="2:7" x14ac:dyDescent="0.25">
      <c r="B306" s="153">
        <v>45012</v>
      </c>
      <c r="C306" s="154">
        <v>255.326874</v>
      </c>
      <c r="D306" s="14">
        <f t="shared" si="10"/>
        <v>6.2435074468960572E-3</v>
      </c>
      <c r="F306" s="154">
        <v>17359.75</v>
      </c>
      <c r="G306" s="14">
        <f t="shared" si="11"/>
        <v>2.4473176525678486E-2</v>
      </c>
    </row>
    <row r="307" spans="2:7" x14ac:dyDescent="0.25">
      <c r="B307" s="153">
        <v>45019</v>
      </c>
      <c r="C307" s="154">
        <v>258.69339000000002</v>
      </c>
      <c r="D307" s="14">
        <f t="shared" si="10"/>
        <v>1.3185122064354404E-2</v>
      </c>
      <c r="F307" s="154">
        <v>17599.150390999999</v>
      </c>
      <c r="G307" s="14">
        <f t="shared" si="11"/>
        <v>1.3790543700226143E-2</v>
      </c>
    </row>
    <row r="308" spans="2:7" x14ac:dyDescent="0.25">
      <c r="B308" s="153">
        <v>45026</v>
      </c>
      <c r="C308" s="154">
        <v>251.63031000000001</v>
      </c>
      <c r="D308" s="14">
        <f t="shared" si="10"/>
        <v>-2.7302900936123753E-2</v>
      </c>
      <c r="F308" s="154">
        <v>17828</v>
      </c>
      <c r="G308" s="14">
        <f t="shared" si="11"/>
        <v>1.3003446411653519E-2</v>
      </c>
    </row>
    <row r="309" spans="2:7" x14ac:dyDescent="0.25">
      <c r="B309" s="153">
        <v>45033</v>
      </c>
      <c r="C309" s="154">
        <v>252.32341</v>
      </c>
      <c r="D309" s="14">
        <f t="shared" si="10"/>
        <v>2.7544376510126867E-3</v>
      </c>
      <c r="F309" s="154">
        <v>17624.050781000002</v>
      </c>
      <c r="G309" s="14">
        <f t="shared" si="11"/>
        <v>-1.1439826060130054E-2</v>
      </c>
    </row>
    <row r="310" spans="2:7" x14ac:dyDescent="0.25">
      <c r="B310" s="153">
        <v>45040</v>
      </c>
      <c r="C310" s="154">
        <v>250.93720999999999</v>
      </c>
      <c r="D310" s="14">
        <f t="shared" si="10"/>
        <v>-5.493743129105666E-3</v>
      </c>
      <c r="F310" s="154">
        <v>18065</v>
      </c>
      <c r="G310" s="14">
        <f t="shared" si="11"/>
        <v>2.5019742877464557E-2</v>
      </c>
    </row>
    <row r="311" spans="2:7" x14ac:dyDescent="0.25">
      <c r="B311" s="153">
        <v>45047</v>
      </c>
      <c r="C311" s="154">
        <v>260.17861900000003</v>
      </c>
      <c r="D311" s="14">
        <f t="shared" si="10"/>
        <v>3.6827575312565308E-2</v>
      </c>
      <c r="F311" s="154">
        <v>18069</v>
      </c>
      <c r="G311" s="14">
        <f t="shared" si="11"/>
        <v>2.2142264046509652E-4</v>
      </c>
    </row>
    <row r="312" spans="2:7" x14ac:dyDescent="0.25">
      <c r="B312" s="153">
        <v>45054</v>
      </c>
      <c r="C312" s="154">
        <v>276.15304600000002</v>
      </c>
      <c r="D312" s="14">
        <f t="shared" si="10"/>
        <v>6.1397923708711888E-2</v>
      </c>
      <c r="F312" s="154">
        <v>18314.800781000002</v>
      </c>
      <c r="G312" s="14">
        <f t="shared" si="11"/>
        <v>1.3603452376999448E-2</v>
      </c>
    </row>
    <row r="313" spans="2:7" x14ac:dyDescent="0.25">
      <c r="B313" s="153">
        <v>45061</v>
      </c>
      <c r="C313" s="154">
        <v>269.58505200000002</v>
      </c>
      <c r="D313" s="14">
        <f t="shared" si="10"/>
        <v>-2.3783891197781681E-2</v>
      </c>
      <c r="F313" s="154">
        <v>18203.400390999999</v>
      </c>
      <c r="G313" s="14">
        <f t="shared" si="11"/>
        <v>-6.0825335384249168E-3</v>
      </c>
    </row>
    <row r="314" spans="2:7" x14ac:dyDescent="0.25">
      <c r="B314" s="153">
        <v>45068</v>
      </c>
      <c r="C314" s="154">
        <v>270.83923299999998</v>
      </c>
      <c r="D314" s="14">
        <f t="shared" si="10"/>
        <v>4.652264621852753E-3</v>
      </c>
      <c r="F314" s="154">
        <v>18499.349609000001</v>
      </c>
      <c r="G314" s="14">
        <f t="shared" si="11"/>
        <v>1.6257908502980811E-2</v>
      </c>
    </row>
    <row r="315" spans="2:7" x14ac:dyDescent="0.25">
      <c r="B315" s="153">
        <v>45075</v>
      </c>
      <c r="C315" s="154">
        <v>284.06668100000002</v>
      </c>
      <c r="D315" s="14">
        <f t="shared" si="10"/>
        <v>4.883874412685274E-2</v>
      </c>
      <c r="F315" s="154">
        <v>18534.099609000001</v>
      </c>
      <c r="G315" s="14">
        <f t="shared" si="11"/>
        <v>1.8784444174779757E-3</v>
      </c>
    </row>
    <row r="316" spans="2:7" x14ac:dyDescent="0.25">
      <c r="B316" s="153">
        <v>45082</v>
      </c>
      <c r="C316" s="154">
        <v>289.06668100000002</v>
      </c>
      <c r="D316" s="14">
        <f t="shared" si="10"/>
        <v>1.7601501106706774E-2</v>
      </c>
      <c r="F316" s="154">
        <v>18563.400390999999</v>
      </c>
      <c r="G316" s="14">
        <f t="shared" si="11"/>
        <v>1.5809120819534339E-3</v>
      </c>
    </row>
    <row r="317" spans="2:7" x14ac:dyDescent="0.25">
      <c r="B317" s="153">
        <v>45089</v>
      </c>
      <c r="C317" s="154">
        <v>301.83334400000001</v>
      </c>
      <c r="D317" s="14">
        <f t="shared" si="10"/>
        <v>4.41651142768682E-2</v>
      </c>
      <c r="F317" s="154">
        <v>18826</v>
      </c>
      <c r="G317" s="14">
        <f t="shared" si="11"/>
        <v>1.4146094113625551E-2</v>
      </c>
    </row>
    <row r="318" spans="2:7" x14ac:dyDescent="0.25">
      <c r="B318" s="153">
        <v>45096</v>
      </c>
      <c r="C318" s="154">
        <v>305.60000600000001</v>
      </c>
      <c r="D318" s="14">
        <f t="shared" si="10"/>
        <v>1.2479277306088443E-2</v>
      </c>
      <c r="F318" s="154">
        <v>18665.5</v>
      </c>
      <c r="G318" s="14">
        <f t="shared" si="11"/>
        <v>-8.5254435355359703E-3</v>
      </c>
    </row>
    <row r="319" spans="2:7" x14ac:dyDescent="0.25">
      <c r="B319" s="153">
        <v>45103</v>
      </c>
      <c r="C319" s="154">
        <v>300.29998799999998</v>
      </c>
      <c r="D319" s="14">
        <f t="shared" si="10"/>
        <v>-1.7342990497192678E-2</v>
      </c>
      <c r="F319" s="154">
        <v>19189.050781000002</v>
      </c>
      <c r="G319" s="14">
        <f t="shared" si="11"/>
        <v>2.804911633762841E-2</v>
      </c>
    </row>
    <row r="320" spans="2:7" x14ac:dyDescent="0.25">
      <c r="B320" s="153">
        <v>45110</v>
      </c>
      <c r="C320" s="154">
        <v>313.79998799999998</v>
      </c>
      <c r="D320" s="14">
        <f t="shared" si="10"/>
        <v>4.4955046751450345E-2</v>
      </c>
      <c r="F320" s="154">
        <v>19331.800781000002</v>
      </c>
      <c r="G320" s="14">
        <f t="shared" si="11"/>
        <v>7.4391381642151533E-3</v>
      </c>
    </row>
    <row r="321" spans="2:7" x14ac:dyDescent="0.25">
      <c r="B321" s="153">
        <v>45117</v>
      </c>
      <c r="C321" s="154">
        <v>307.89999399999999</v>
      </c>
      <c r="D321" s="14">
        <f t="shared" si="10"/>
        <v>-1.8801766174701084E-2</v>
      </c>
      <c r="F321" s="154">
        <v>19564.5</v>
      </c>
      <c r="G321" s="14">
        <f t="shared" si="11"/>
        <v>1.2037120681933855E-2</v>
      </c>
    </row>
    <row r="322" spans="2:7" x14ac:dyDescent="0.25">
      <c r="B322" s="153">
        <v>45124</v>
      </c>
      <c r="C322" s="154">
        <v>322.79998799999998</v>
      </c>
      <c r="D322" s="14">
        <f t="shared" si="10"/>
        <v>4.8392316629924936E-2</v>
      </c>
      <c r="F322" s="154">
        <v>19745</v>
      </c>
      <c r="G322" s="14">
        <f t="shared" si="11"/>
        <v>9.225893838329613E-3</v>
      </c>
    </row>
    <row r="323" spans="2:7" x14ac:dyDescent="0.25">
      <c r="B323" s="153">
        <v>45131</v>
      </c>
      <c r="C323" s="154">
        <v>327.60000600000001</v>
      </c>
      <c r="D323" s="14">
        <f t="shared" si="10"/>
        <v>1.4869944790704359E-2</v>
      </c>
      <c r="F323" s="154">
        <v>19646.050781000002</v>
      </c>
      <c r="G323" s="14">
        <f t="shared" si="11"/>
        <v>-5.0113557356291638E-3</v>
      </c>
    </row>
    <row r="324" spans="2:7" x14ac:dyDescent="0.25">
      <c r="B324" s="153">
        <v>45138</v>
      </c>
      <c r="C324" s="154">
        <v>327.10000600000001</v>
      </c>
      <c r="D324" s="14">
        <f t="shared" si="10"/>
        <v>-1.5262514982982145E-3</v>
      </c>
      <c r="F324" s="154">
        <v>19517</v>
      </c>
      <c r="G324" s="14">
        <f t="shared" si="11"/>
        <v>-6.568789953694365E-3</v>
      </c>
    </row>
    <row r="325" spans="2:7" x14ac:dyDescent="0.25">
      <c r="B325" s="153">
        <v>45145</v>
      </c>
      <c r="C325" s="154">
        <v>329</v>
      </c>
      <c r="D325" s="14">
        <f t="shared" si="10"/>
        <v>5.8086027671915286E-3</v>
      </c>
      <c r="F325" s="154">
        <v>19428.300781000002</v>
      </c>
      <c r="G325" s="14">
        <f t="shared" si="11"/>
        <v>-4.5447158374749552E-3</v>
      </c>
    </row>
    <row r="326" spans="2:7" x14ac:dyDescent="0.25">
      <c r="B326" s="153">
        <v>45152</v>
      </c>
      <c r="C326" s="154">
        <v>328.10000600000001</v>
      </c>
      <c r="D326" s="14">
        <f t="shared" si="10"/>
        <v>-2.7355440729482927E-3</v>
      </c>
      <c r="F326" s="154">
        <v>19310.150390999999</v>
      </c>
      <c r="G326" s="14">
        <f t="shared" si="11"/>
        <v>-6.0813547891717112E-3</v>
      </c>
    </row>
    <row r="327" spans="2:7" x14ac:dyDescent="0.25">
      <c r="B327" s="153">
        <v>45159</v>
      </c>
      <c r="C327" s="154">
        <v>322.20001200000002</v>
      </c>
      <c r="D327" s="14">
        <f t="shared" si="10"/>
        <v>-1.7982303846711845E-2</v>
      </c>
      <c r="F327" s="154">
        <v>19265.800781000002</v>
      </c>
      <c r="G327" s="14">
        <f t="shared" si="11"/>
        <v>-2.2966993576947203E-3</v>
      </c>
    </row>
    <row r="328" spans="2:7" x14ac:dyDescent="0.25">
      <c r="B328" s="153">
        <v>45166</v>
      </c>
      <c r="C328" s="154">
        <v>340</v>
      </c>
      <c r="D328" s="14">
        <f t="shared" si="10"/>
        <v>5.524515002190622E-2</v>
      </c>
      <c r="F328" s="154">
        <v>19435.300781000002</v>
      </c>
      <c r="G328" s="14">
        <f t="shared" si="11"/>
        <v>8.797973254616176E-3</v>
      </c>
    </row>
    <row r="329" spans="2:7" x14ac:dyDescent="0.25">
      <c r="B329" s="153">
        <v>45173</v>
      </c>
      <c r="C329" s="154">
        <v>337.25</v>
      </c>
      <c r="D329" s="14">
        <f>C329/C328-1</f>
        <v>-8.0882352941176183E-3</v>
      </c>
      <c r="F329" s="154">
        <v>19819.949218999998</v>
      </c>
      <c r="G329" s="14">
        <f t="shared" si="11"/>
        <v>1.9791226404688889E-2</v>
      </c>
    </row>
    <row r="330" spans="2:7" x14ac:dyDescent="0.25">
      <c r="B330" s="153">
        <v>45180</v>
      </c>
      <c r="C330" s="154">
        <v>326.64999399999999</v>
      </c>
      <c r="D330" s="14">
        <f t="shared" si="10"/>
        <v>-3.1430707190511553E-2</v>
      </c>
      <c r="F330" s="154">
        <v>20192.349609000001</v>
      </c>
      <c r="G330" s="14">
        <f t="shared" si="11"/>
        <v>1.8789169734249711E-2</v>
      </c>
    </row>
    <row r="331" spans="2:7" x14ac:dyDescent="0.25">
      <c r="B331" s="153">
        <v>45187</v>
      </c>
      <c r="C331" s="154">
        <v>322.45001200000002</v>
      </c>
      <c r="D331" s="14">
        <f t="shared" si="10"/>
        <v>-1.2857743998611504E-2</v>
      </c>
      <c r="F331" s="154">
        <v>19674.25</v>
      </c>
      <c r="G331" s="14">
        <f t="shared" si="11"/>
        <v>-2.5658213087251469E-2</v>
      </c>
    </row>
    <row r="332" spans="2:7" x14ac:dyDescent="0.25">
      <c r="B332" s="153">
        <v>45194</v>
      </c>
      <c r="C332" s="154">
        <v>317.45001200000002</v>
      </c>
      <c r="D332" s="14">
        <f t="shared" si="10"/>
        <v>-1.5506279466350303E-2</v>
      </c>
      <c r="F332" s="154">
        <v>19638.300781000002</v>
      </c>
      <c r="G332" s="14">
        <f t="shared" si="11"/>
        <v>-1.8272218254824502E-3</v>
      </c>
    </row>
    <row r="333" spans="2:7" x14ac:dyDescent="0.25">
      <c r="B333" s="153">
        <v>45201</v>
      </c>
      <c r="C333" s="154">
        <v>323.79998799999998</v>
      </c>
      <c r="D333" s="14">
        <f t="shared" si="10"/>
        <v>2.0003073743780408E-2</v>
      </c>
      <c r="F333" s="154">
        <v>19653.5</v>
      </c>
      <c r="G333" s="14">
        <f t="shared" si="11"/>
        <v>7.7395794928980521E-4</v>
      </c>
    </row>
    <row r="334" spans="2:7" x14ac:dyDescent="0.25">
      <c r="B334" s="153">
        <v>45208</v>
      </c>
      <c r="C334" s="154">
        <v>322.89999399999999</v>
      </c>
      <c r="D334" s="14">
        <f t="shared" si="10"/>
        <v>-2.7794750875654861E-3</v>
      </c>
      <c r="F334" s="154">
        <v>19751.050781000002</v>
      </c>
      <c r="G334" s="14">
        <f t="shared" si="11"/>
        <v>4.96353224616497E-3</v>
      </c>
    </row>
    <row r="335" spans="2:7" x14ac:dyDescent="0.25">
      <c r="B335" s="153">
        <v>45215</v>
      </c>
      <c r="C335" s="154">
        <v>321.25</v>
      </c>
      <c r="D335" s="14">
        <f t="shared" si="10"/>
        <v>-5.1099226715997093E-3</v>
      </c>
      <c r="F335" s="154">
        <v>19542.650390999999</v>
      </c>
      <c r="G335" s="14">
        <f t="shared" si="11"/>
        <v>-1.0551357105540893E-2</v>
      </c>
    </row>
    <row r="336" spans="2:7" x14ac:dyDescent="0.25">
      <c r="B336" s="153">
        <v>45222</v>
      </c>
      <c r="C336" s="154">
        <v>313.54998799999998</v>
      </c>
      <c r="D336" s="14">
        <f>C336/C335-1</f>
        <v>-2.396890894941639E-2</v>
      </c>
      <c r="F336" s="154">
        <v>19047.25</v>
      </c>
      <c r="G336" s="14">
        <f t="shared" si="11"/>
        <v>-2.5349703396840506E-2</v>
      </c>
    </row>
    <row r="337" spans="1:10" x14ac:dyDescent="0.25">
      <c r="B337" s="153">
        <v>45229</v>
      </c>
      <c r="C337" s="154">
        <v>305</v>
      </c>
      <c r="D337" s="14">
        <f t="shared" si="10"/>
        <v>-2.7268341021272735E-2</v>
      </c>
      <c r="F337" s="154">
        <v>19230.599609000001</v>
      </c>
      <c r="G337" s="14">
        <f t="shared" si="11"/>
        <v>9.6260409770438926E-3</v>
      </c>
    </row>
    <row r="338" spans="1:10" x14ac:dyDescent="0.25">
      <c r="B338" s="153">
        <v>45233</v>
      </c>
      <c r="C338" s="154">
        <v>305.64999399999999</v>
      </c>
      <c r="D338" s="14">
        <f>C338/C337-1</f>
        <v>2.1311278688525004E-3</v>
      </c>
      <c r="F338" s="154">
        <v>19230.599609000001</v>
      </c>
      <c r="G338" s="14">
        <f t="shared" si="11"/>
        <v>0</v>
      </c>
    </row>
    <row r="341" spans="1:10" x14ac:dyDescent="0.25">
      <c r="A341" t="s">
        <v>194</v>
      </c>
      <c r="B341" s="236" t="s">
        <v>301</v>
      </c>
      <c r="C341" s="236"/>
      <c r="D341" s="236"/>
      <c r="F341" s="236" t="s">
        <v>272</v>
      </c>
      <c r="G341" s="236"/>
    </row>
    <row r="343" spans="1:10" x14ac:dyDescent="0.25">
      <c r="B343" s="166" t="s">
        <v>267</v>
      </c>
      <c r="C343" s="166" t="s">
        <v>270</v>
      </c>
      <c r="D343" s="48" t="s">
        <v>271</v>
      </c>
      <c r="F343" s="166" t="s">
        <v>270</v>
      </c>
      <c r="G343" s="48" t="s">
        <v>271</v>
      </c>
      <c r="I343" s="161" t="s">
        <v>273</v>
      </c>
      <c r="J343" s="162">
        <f>SLOPE(D346:D450,G346:G450)</f>
        <v>0.39927100450791952</v>
      </c>
    </row>
    <row r="345" spans="1:10" x14ac:dyDescent="0.25">
      <c r="B345" s="153">
        <v>44501</v>
      </c>
      <c r="C345" s="154">
        <v>1991.85022</v>
      </c>
      <c r="F345" s="154">
        <v>17916.800781000002</v>
      </c>
    </row>
    <row r="346" spans="1:10" x14ac:dyDescent="0.25">
      <c r="B346" s="153">
        <v>44508</v>
      </c>
      <c r="C346" s="154">
        <v>1982.6676030000001</v>
      </c>
      <c r="D346" s="14">
        <f>C346/C345-1</f>
        <v>-4.6100941264549666E-3</v>
      </c>
      <c r="F346" s="154">
        <v>18102.75</v>
      </c>
      <c r="G346" s="14">
        <f>F346/F345-1</f>
        <v>1.0378483372834646E-2</v>
      </c>
    </row>
    <row r="347" spans="1:10" x14ac:dyDescent="0.25">
      <c r="B347" s="153">
        <v>44515</v>
      </c>
      <c r="C347" s="154">
        <v>2064.6540530000002</v>
      </c>
      <c r="D347" s="14">
        <f t="shared" ref="D347:D410" si="12">C347/C346-1</f>
        <v>4.1351586053025358E-2</v>
      </c>
      <c r="F347" s="154">
        <v>17764.800781000002</v>
      </c>
      <c r="G347" s="14">
        <f t="shared" ref="G347:G410" si="13">F347/F346-1</f>
        <v>-1.8668391211279944E-2</v>
      </c>
    </row>
    <row r="348" spans="1:10" x14ac:dyDescent="0.25">
      <c r="B348" s="153">
        <v>44522</v>
      </c>
      <c r="C348" s="154">
        <v>1959.2897949999999</v>
      </c>
      <c r="D348" s="14">
        <f t="shared" si="12"/>
        <v>-5.1032403150979788E-2</v>
      </c>
      <c r="F348" s="154">
        <v>17026.449218999998</v>
      </c>
      <c r="G348" s="14">
        <f t="shared" si="13"/>
        <v>-4.1562614245001406E-2</v>
      </c>
    </row>
    <row r="349" spans="1:10" x14ac:dyDescent="0.25">
      <c r="B349" s="153">
        <v>44529</v>
      </c>
      <c r="C349" s="154">
        <v>1929.39978</v>
      </c>
      <c r="D349" s="14">
        <f t="shared" si="12"/>
        <v>-1.5255535488562066E-2</v>
      </c>
      <c r="F349" s="154">
        <v>17196.699218999998</v>
      </c>
      <c r="G349" s="14">
        <f t="shared" si="13"/>
        <v>9.9991488424970854E-3</v>
      </c>
    </row>
    <row r="350" spans="1:10" x14ac:dyDescent="0.25">
      <c r="B350" s="153">
        <v>44536</v>
      </c>
      <c r="C350" s="154">
        <v>1929.9151609999999</v>
      </c>
      <c r="D350" s="14">
        <f t="shared" si="12"/>
        <v>2.6711986045735436E-4</v>
      </c>
      <c r="F350" s="154">
        <v>17511.300781000002</v>
      </c>
      <c r="G350" s="14">
        <f t="shared" si="13"/>
        <v>1.8294299271828462E-2</v>
      </c>
    </row>
    <row r="351" spans="1:10" x14ac:dyDescent="0.25">
      <c r="B351" s="153">
        <v>44543</v>
      </c>
      <c r="C351" s="154">
        <v>1865.450439</v>
      </c>
      <c r="D351" s="14">
        <f t="shared" si="12"/>
        <v>-3.3402878687474047E-2</v>
      </c>
      <c r="F351" s="154">
        <v>16985.199218999998</v>
      </c>
      <c r="G351" s="14">
        <f t="shared" si="13"/>
        <v>-3.0043545512668635E-2</v>
      </c>
    </row>
    <row r="352" spans="1:10" x14ac:dyDescent="0.25">
      <c r="B352" s="153">
        <v>44550</v>
      </c>
      <c r="C352" s="154">
        <v>1849.7089840000001</v>
      </c>
      <c r="D352" s="14">
        <f t="shared" si="12"/>
        <v>-8.4384203787468692E-3</v>
      </c>
      <c r="F352" s="154">
        <v>17003.75</v>
      </c>
      <c r="G352" s="14">
        <f t="shared" si="13"/>
        <v>1.0921732951623131E-3</v>
      </c>
    </row>
    <row r="353" spans="2:7" x14ac:dyDescent="0.25">
      <c r="B353" s="153">
        <v>44557</v>
      </c>
      <c r="C353" s="154">
        <v>1916.5631100000001</v>
      </c>
      <c r="D353" s="14">
        <f t="shared" si="12"/>
        <v>3.6143050922220032E-2</v>
      </c>
      <c r="F353" s="154">
        <v>17354.050781000002</v>
      </c>
      <c r="G353" s="14">
        <f t="shared" si="13"/>
        <v>2.0601383871204915E-2</v>
      </c>
    </row>
    <row r="354" spans="2:7" x14ac:dyDescent="0.25">
      <c r="B354" s="153">
        <v>44564</v>
      </c>
      <c r="C354" s="154">
        <v>1873.742798</v>
      </c>
      <c r="D354" s="14">
        <f t="shared" si="12"/>
        <v>-2.2342239489311688E-2</v>
      </c>
      <c r="F354" s="154">
        <v>17812.699218999998</v>
      </c>
      <c r="G354" s="14">
        <f t="shared" si="13"/>
        <v>2.6428898001275014E-2</v>
      </c>
    </row>
    <row r="355" spans="2:7" x14ac:dyDescent="0.25">
      <c r="B355" s="153">
        <v>44571</v>
      </c>
      <c r="C355" s="154">
        <v>1855.003052</v>
      </c>
      <c r="D355" s="14">
        <f t="shared" si="12"/>
        <v>-1.0001237106822991E-2</v>
      </c>
      <c r="F355" s="154">
        <v>18255.75</v>
      </c>
      <c r="G355" s="14">
        <f t="shared" si="13"/>
        <v>2.4872748119354027E-2</v>
      </c>
    </row>
    <row r="356" spans="2:7" x14ac:dyDescent="0.25">
      <c r="B356" s="153">
        <v>44578</v>
      </c>
      <c r="C356" s="154">
        <v>1846.1484379999999</v>
      </c>
      <c r="D356" s="14">
        <f t="shared" si="12"/>
        <v>-4.773368965864111E-3</v>
      </c>
      <c r="F356" s="154">
        <v>17617.150390999999</v>
      </c>
      <c r="G356" s="14">
        <f t="shared" si="13"/>
        <v>-3.4980738068827621E-2</v>
      </c>
    </row>
    <row r="357" spans="2:7" x14ac:dyDescent="0.25">
      <c r="B357" s="153">
        <v>44585</v>
      </c>
      <c r="C357" s="154">
        <v>1812.3701169999999</v>
      </c>
      <c r="D357" s="14">
        <f t="shared" si="12"/>
        <v>-1.8296644140160967E-2</v>
      </c>
      <c r="F357" s="154">
        <v>17101.949218999998</v>
      </c>
      <c r="G357" s="14">
        <f t="shared" si="13"/>
        <v>-2.9244296640800638E-2</v>
      </c>
    </row>
    <row r="358" spans="2:7" x14ac:dyDescent="0.25">
      <c r="B358" s="153">
        <v>44592</v>
      </c>
      <c r="C358" s="154">
        <v>1782.5737300000001</v>
      </c>
      <c r="D358" s="14">
        <f t="shared" si="12"/>
        <v>-1.6440564055051565E-2</v>
      </c>
      <c r="F358" s="154">
        <v>17516.300781000002</v>
      </c>
      <c r="G358" s="14">
        <f t="shared" si="13"/>
        <v>2.4228323724623468E-2</v>
      </c>
    </row>
    <row r="359" spans="2:7" x14ac:dyDescent="0.25">
      <c r="B359" s="153">
        <v>44599</v>
      </c>
      <c r="C359" s="154">
        <v>1771.329956</v>
      </c>
      <c r="D359" s="14">
        <f t="shared" si="12"/>
        <v>-6.3076066985459089E-3</v>
      </c>
      <c r="F359" s="154">
        <v>17374.75</v>
      </c>
      <c r="G359" s="14">
        <f t="shared" si="13"/>
        <v>-8.0810887395552644E-3</v>
      </c>
    </row>
    <row r="360" spans="2:7" x14ac:dyDescent="0.25">
      <c r="B360" s="153">
        <v>44606</v>
      </c>
      <c r="C360" s="154">
        <v>1816.727173</v>
      </c>
      <c r="D360" s="14">
        <f t="shared" si="12"/>
        <v>2.5628887969870728E-2</v>
      </c>
      <c r="F360" s="154">
        <v>17276.300781000002</v>
      </c>
      <c r="G360" s="14">
        <f t="shared" si="13"/>
        <v>-5.66622362911684E-3</v>
      </c>
    </row>
    <row r="361" spans="2:7" x14ac:dyDescent="0.25">
      <c r="B361" s="153">
        <v>44613</v>
      </c>
      <c r="C361" s="154">
        <v>1752.7307129999999</v>
      </c>
      <c r="D361" s="14">
        <f t="shared" si="12"/>
        <v>-3.5226235920895799E-2</v>
      </c>
      <c r="F361" s="154">
        <v>16658.400390999999</v>
      </c>
      <c r="G361" s="14">
        <f t="shared" si="13"/>
        <v>-3.5765780987070617E-2</v>
      </c>
    </row>
    <row r="362" spans="2:7" x14ac:dyDescent="0.25">
      <c r="B362" s="153">
        <v>44620</v>
      </c>
      <c r="C362" s="154">
        <v>1757.470947</v>
      </c>
      <c r="D362" s="14">
        <f t="shared" si="12"/>
        <v>2.7044850443036506E-3</v>
      </c>
      <c r="F362" s="154">
        <v>16245.349609000001</v>
      </c>
      <c r="G362" s="14">
        <f t="shared" si="13"/>
        <v>-2.479534482933643E-2</v>
      </c>
    </row>
    <row r="363" spans="2:7" x14ac:dyDescent="0.25">
      <c r="B363" s="153">
        <v>44627</v>
      </c>
      <c r="C363" s="154">
        <v>1867.8901370000001</v>
      </c>
      <c r="D363" s="14">
        <f t="shared" si="12"/>
        <v>6.2828458239088114E-2</v>
      </c>
      <c r="F363" s="154">
        <v>16630.449218999998</v>
      </c>
      <c r="G363" s="14">
        <f t="shared" si="13"/>
        <v>2.3705221449137115E-2</v>
      </c>
    </row>
    <row r="364" spans="2:7" x14ac:dyDescent="0.25">
      <c r="B364" s="153">
        <v>44634</v>
      </c>
      <c r="C364" s="154">
        <v>1857.173462</v>
      </c>
      <c r="D364" s="14">
        <f t="shared" si="12"/>
        <v>-5.7373154810979043E-3</v>
      </c>
      <c r="F364" s="154">
        <v>17287.050781000002</v>
      </c>
      <c r="G364" s="14">
        <f t="shared" si="13"/>
        <v>3.9481889716475482E-2</v>
      </c>
    </row>
    <row r="365" spans="2:7" x14ac:dyDescent="0.25">
      <c r="B365" s="153">
        <v>44641</v>
      </c>
      <c r="C365" s="154">
        <v>1860.9530030000001</v>
      </c>
      <c r="D365" s="14">
        <f t="shared" si="12"/>
        <v>2.0351039239652202E-3</v>
      </c>
      <c r="F365" s="154">
        <v>17153</v>
      </c>
      <c r="G365" s="14">
        <f t="shared" si="13"/>
        <v>-7.7544043051771538E-3</v>
      </c>
    </row>
    <row r="366" spans="2:7" x14ac:dyDescent="0.25">
      <c r="B366" s="153">
        <v>44648</v>
      </c>
      <c r="C366" s="154">
        <v>1839.711182</v>
      </c>
      <c r="D366" s="14">
        <f t="shared" si="12"/>
        <v>-1.1414485462962642E-2</v>
      </c>
      <c r="F366" s="154">
        <v>17670.449218999998</v>
      </c>
      <c r="G366" s="14">
        <f t="shared" si="13"/>
        <v>3.0166689150585846E-2</v>
      </c>
    </row>
    <row r="367" spans="2:7" x14ac:dyDescent="0.25">
      <c r="B367" s="153">
        <v>44655</v>
      </c>
      <c r="C367" s="154">
        <v>1832.1522219999999</v>
      </c>
      <c r="D367" s="14">
        <f t="shared" si="12"/>
        <v>-4.1087753740685073E-3</v>
      </c>
      <c r="F367" s="154">
        <v>17784.349609000001</v>
      </c>
      <c r="G367" s="14">
        <f t="shared" si="13"/>
        <v>6.4458117950692007E-3</v>
      </c>
    </row>
    <row r="368" spans="2:7" x14ac:dyDescent="0.25">
      <c r="B368" s="153">
        <v>44662</v>
      </c>
      <c r="C368" s="154">
        <v>1813.4938959999999</v>
      </c>
      <c r="D368" s="14">
        <f t="shared" si="12"/>
        <v>-1.0183829583566117E-2</v>
      </c>
      <c r="F368" s="154">
        <v>17475.650390999999</v>
      </c>
      <c r="G368" s="14">
        <f t="shared" si="13"/>
        <v>-1.7357914390289553E-2</v>
      </c>
    </row>
    <row r="369" spans="2:7" x14ac:dyDescent="0.25">
      <c r="B369" s="153">
        <v>44669</v>
      </c>
      <c r="C369" s="154">
        <v>1806.987427</v>
      </c>
      <c r="D369" s="14">
        <f t="shared" si="12"/>
        <v>-3.5878086021414735E-3</v>
      </c>
      <c r="F369" s="154">
        <v>17171.949218999998</v>
      </c>
      <c r="G369" s="14">
        <f t="shared" si="13"/>
        <v>-1.7378533285170805E-2</v>
      </c>
    </row>
    <row r="370" spans="2:7" x14ac:dyDescent="0.25">
      <c r="B370" s="153">
        <v>44676</v>
      </c>
      <c r="C370" s="154">
        <v>1797.3710940000001</v>
      </c>
      <c r="D370" s="14">
        <f t="shared" si="12"/>
        <v>-5.3217487052277246E-3</v>
      </c>
      <c r="F370" s="154">
        <v>17102.550781000002</v>
      </c>
      <c r="G370" s="14">
        <f t="shared" si="13"/>
        <v>-4.041383835634127E-3</v>
      </c>
    </row>
    <row r="371" spans="2:7" x14ac:dyDescent="0.25">
      <c r="B371" s="153">
        <v>44683</v>
      </c>
      <c r="C371" s="154">
        <v>1751.6820070000001</v>
      </c>
      <c r="D371" s="14">
        <f t="shared" si="12"/>
        <v>-2.5419952035792504E-2</v>
      </c>
      <c r="F371" s="154">
        <v>16411.25</v>
      </c>
      <c r="G371" s="14">
        <f t="shared" si="13"/>
        <v>-4.0420916730619982E-2</v>
      </c>
    </row>
    <row r="372" spans="2:7" x14ac:dyDescent="0.25">
      <c r="B372" s="153">
        <v>44690</v>
      </c>
      <c r="C372" s="154">
        <v>1688.3394780000001</v>
      </c>
      <c r="D372" s="14">
        <f t="shared" si="12"/>
        <v>-3.6160974849814731E-2</v>
      </c>
      <c r="F372" s="154">
        <v>15782.150390999999</v>
      </c>
      <c r="G372" s="14">
        <f t="shared" si="13"/>
        <v>-3.8333436453652281E-2</v>
      </c>
    </row>
    <row r="373" spans="2:7" x14ac:dyDescent="0.25">
      <c r="B373" s="153">
        <v>44697</v>
      </c>
      <c r="C373" s="154">
        <v>1707.8111570000001</v>
      </c>
      <c r="D373" s="14">
        <f t="shared" si="12"/>
        <v>1.1533035419550863E-2</v>
      </c>
      <c r="F373" s="154">
        <v>16266.150390999999</v>
      </c>
      <c r="G373" s="14">
        <f t="shared" si="13"/>
        <v>3.0667557209187901E-2</v>
      </c>
    </row>
    <row r="374" spans="2:7" x14ac:dyDescent="0.25">
      <c r="B374" s="153">
        <v>44704</v>
      </c>
      <c r="C374" s="154">
        <v>1663.174683</v>
      </c>
      <c r="D374" s="14">
        <f t="shared" si="12"/>
        <v>-2.6136656747465015E-2</v>
      </c>
      <c r="F374" s="154">
        <v>16352.450194999999</v>
      </c>
      <c r="G374" s="14">
        <f t="shared" si="13"/>
        <v>5.3054842064996777E-3</v>
      </c>
    </row>
    <row r="375" spans="2:7" x14ac:dyDescent="0.25">
      <c r="B375" s="153">
        <v>44711</v>
      </c>
      <c r="C375" s="154">
        <v>1718.192749</v>
      </c>
      <c r="D375" s="14">
        <f t="shared" si="12"/>
        <v>3.3080148803587894E-2</v>
      </c>
      <c r="F375" s="154">
        <v>16584.300781000002</v>
      </c>
      <c r="G375" s="14">
        <f t="shared" si="13"/>
        <v>1.4178339223494207E-2</v>
      </c>
    </row>
    <row r="376" spans="2:7" x14ac:dyDescent="0.25">
      <c r="B376" s="153">
        <v>44718</v>
      </c>
      <c r="C376" s="154">
        <v>1708.7202150000001</v>
      </c>
      <c r="D376" s="14">
        <f t="shared" si="12"/>
        <v>-5.513079953057165E-3</v>
      </c>
      <c r="F376" s="154">
        <v>16201.799805000001</v>
      </c>
      <c r="G376" s="14">
        <f t="shared" si="13"/>
        <v>-2.3064039964724836E-2</v>
      </c>
    </row>
    <row r="377" spans="2:7" x14ac:dyDescent="0.25">
      <c r="B377" s="153">
        <v>44725</v>
      </c>
      <c r="C377" s="154">
        <v>1628.154419</v>
      </c>
      <c r="D377" s="14">
        <f t="shared" si="12"/>
        <v>-4.7149788065215859E-2</v>
      </c>
      <c r="F377" s="154">
        <v>15293.5</v>
      </c>
      <c r="G377" s="14">
        <f t="shared" si="13"/>
        <v>-5.606166079892505E-2</v>
      </c>
    </row>
    <row r="378" spans="2:7" x14ac:dyDescent="0.25">
      <c r="B378" s="153">
        <v>44732</v>
      </c>
      <c r="C378" s="154">
        <v>1704.0317379999999</v>
      </c>
      <c r="D378" s="14">
        <f t="shared" si="12"/>
        <v>4.6603269391734425E-2</v>
      </c>
      <c r="F378" s="154">
        <v>15699.25</v>
      </c>
      <c r="G378" s="14">
        <f t="shared" si="13"/>
        <v>2.6530879131657192E-2</v>
      </c>
    </row>
    <row r="379" spans="2:7" x14ac:dyDescent="0.25">
      <c r="B379" s="153">
        <v>44739</v>
      </c>
      <c r="C379" s="154">
        <v>1796.270874</v>
      </c>
      <c r="D379" s="14">
        <f t="shared" si="12"/>
        <v>5.4129940154905798E-2</v>
      </c>
      <c r="F379" s="154">
        <v>15752.049805000001</v>
      </c>
      <c r="G379" s="14">
        <f t="shared" si="13"/>
        <v>3.3632055671448668E-3</v>
      </c>
    </row>
    <row r="380" spans="2:7" x14ac:dyDescent="0.25">
      <c r="B380" s="153">
        <v>44746</v>
      </c>
      <c r="C380" s="154">
        <v>1814.4508060000001</v>
      </c>
      <c r="D380" s="14">
        <f t="shared" si="12"/>
        <v>1.0120930124261518E-2</v>
      </c>
      <c r="F380" s="154">
        <v>16220.599609000001</v>
      </c>
      <c r="G380" s="14">
        <f t="shared" si="13"/>
        <v>2.9745322659611828E-2</v>
      </c>
    </row>
    <row r="381" spans="2:7" x14ac:dyDescent="0.25">
      <c r="B381" s="153">
        <v>44753</v>
      </c>
      <c r="C381" s="154">
        <v>1837.27124</v>
      </c>
      <c r="D381" s="14">
        <f t="shared" si="12"/>
        <v>1.2577047514618522E-2</v>
      </c>
      <c r="F381" s="154">
        <v>16049.200194999999</v>
      </c>
      <c r="G381" s="14">
        <f t="shared" si="13"/>
        <v>-1.0566774233481513E-2</v>
      </c>
    </row>
    <row r="382" spans="2:7" x14ac:dyDescent="0.25">
      <c r="B382" s="153">
        <v>44760</v>
      </c>
      <c r="C382" s="154">
        <v>1841.6727289999999</v>
      </c>
      <c r="D382" s="14">
        <f t="shared" si="12"/>
        <v>2.3956664123256921E-3</v>
      </c>
      <c r="F382" s="154">
        <v>16719.449218999998</v>
      </c>
      <c r="G382" s="14">
        <f t="shared" si="13"/>
        <v>4.1762144895470144E-2</v>
      </c>
    </row>
    <row r="383" spans="2:7" x14ac:dyDescent="0.25">
      <c r="B383" s="153">
        <v>44767</v>
      </c>
      <c r="C383" s="154">
        <v>1861.0485839999999</v>
      </c>
      <c r="D383" s="14">
        <f t="shared" si="12"/>
        <v>1.0520791612373293E-2</v>
      </c>
      <c r="F383" s="154">
        <v>17158.25</v>
      </c>
      <c r="G383" s="14">
        <f t="shared" si="13"/>
        <v>2.6244930395275645E-2</v>
      </c>
    </row>
    <row r="384" spans="2:7" x14ac:dyDescent="0.25">
      <c r="B384" s="153">
        <v>44774</v>
      </c>
      <c r="C384" s="154">
        <v>1857.3874510000001</v>
      </c>
      <c r="D384" s="14">
        <f t="shared" si="12"/>
        <v>-1.9672420330536511E-3</v>
      </c>
      <c r="F384" s="154">
        <v>17397.5</v>
      </c>
      <c r="G384" s="14">
        <f t="shared" si="13"/>
        <v>1.3943729692713402E-2</v>
      </c>
    </row>
    <row r="385" spans="2:7" x14ac:dyDescent="0.25">
      <c r="B385" s="153">
        <v>44781</v>
      </c>
      <c r="C385" s="154">
        <v>1867.8588870000001</v>
      </c>
      <c r="D385" s="14">
        <f t="shared" si="12"/>
        <v>5.637723025619934E-3</v>
      </c>
      <c r="F385" s="154">
        <v>17698.150390999999</v>
      </c>
      <c r="G385" s="14">
        <f t="shared" si="13"/>
        <v>1.7281241040379314E-2</v>
      </c>
    </row>
    <row r="386" spans="2:7" x14ac:dyDescent="0.25">
      <c r="B386" s="153">
        <v>44788</v>
      </c>
      <c r="C386" s="154">
        <v>1848.912842</v>
      </c>
      <c r="D386" s="14">
        <f t="shared" si="12"/>
        <v>-1.0143188616582144E-2</v>
      </c>
      <c r="F386" s="154">
        <v>17758.449218999998</v>
      </c>
      <c r="G386" s="14">
        <f t="shared" si="13"/>
        <v>3.4070694771959342E-3</v>
      </c>
    </row>
    <row r="387" spans="2:7" x14ac:dyDescent="0.25">
      <c r="B387" s="153">
        <v>44795</v>
      </c>
      <c r="C387" s="154">
        <v>1888.753052</v>
      </c>
      <c r="D387" s="14">
        <f t="shared" si="12"/>
        <v>2.1547911342810755E-2</v>
      </c>
      <c r="F387" s="154">
        <v>17558.900390999999</v>
      </c>
      <c r="G387" s="14">
        <f t="shared" si="13"/>
        <v>-1.1236838619134604E-2</v>
      </c>
    </row>
    <row r="388" spans="2:7" x14ac:dyDescent="0.25">
      <c r="B388" s="153">
        <v>44802</v>
      </c>
      <c r="C388" s="154">
        <v>1890.0679929999999</v>
      </c>
      <c r="D388" s="14">
        <f t="shared" si="12"/>
        <v>6.961953012372124E-4</v>
      </c>
      <c r="F388" s="154">
        <v>17539.449218999998</v>
      </c>
      <c r="G388" s="14">
        <f t="shared" si="13"/>
        <v>-1.1077670905844661E-3</v>
      </c>
    </row>
    <row r="389" spans="2:7" x14ac:dyDescent="0.25">
      <c r="B389" s="153">
        <v>44809</v>
      </c>
      <c r="C389" s="154">
        <v>1967.0207519999999</v>
      </c>
      <c r="D389" s="14">
        <f t="shared" si="12"/>
        <v>4.071428080100814E-2</v>
      </c>
      <c r="F389" s="154">
        <v>17833.349609000001</v>
      </c>
      <c r="G389" s="14">
        <f t="shared" si="13"/>
        <v>1.6756534730955508E-2</v>
      </c>
    </row>
    <row r="390" spans="2:7" x14ac:dyDescent="0.25">
      <c r="B390" s="153">
        <v>44816</v>
      </c>
      <c r="C390" s="154">
        <v>2077.2385250000002</v>
      </c>
      <c r="D390" s="14">
        <f t="shared" si="12"/>
        <v>5.6032847079998893E-2</v>
      </c>
      <c r="F390" s="154">
        <v>17530.849609000001</v>
      </c>
      <c r="G390" s="14">
        <f t="shared" si="13"/>
        <v>-1.6962601341440453E-2</v>
      </c>
    </row>
    <row r="391" spans="2:7" x14ac:dyDescent="0.25">
      <c r="B391" s="153">
        <v>44823</v>
      </c>
      <c r="C391" s="154">
        <v>2100.7626949999999</v>
      </c>
      <c r="D391" s="14">
        <f t="shared" si="12"/>
        <v>1.1324732194633036E-2</v>
      </c>
      <c r="F391" s="154">
        <v>17327.349609000001</v>
      </c>
      <c r="G391" s="14">
        <f t="shared" si="13"/>
        <v>-1.1608108251383698E-2</v>
      </c>
    </row>
    <row r="392" spans="2:7" x14ac:dyDescent="0.25">
      <c r="B392" s="153">
        <v>44830</v>
      </c>
      <c r="C392" s="154">
        <v>2148.4929200000001</v>
      </c>
      <c r="D392" s="14">
        <f t="shared" si="12"/>
        <v>2.2720426782902425E-2</v>
      </c>
      <c r="F392" s="154">
        <v>17094.349609000001</v>
      </c>
      <c r="G392" s="14">
        <f t="shared" si="13"/>
        <v>-1.3446949779265527E-2</v>
      </c>
    </row>
    <row r="393" spans="2:7" x14ac:dyDescent="0.25">
      <c r="B393" s="153">
        <v>44837</v>
      </c>
      <c r="C393" s="154">
        <v>2166.70874</v>
      </c>
      <c r="D393" s="14">
        <f t="shared" si="12"/>
        <v>8.4784175132399664E-3</v>
      </c>
      <c r="F393" s="154">
        <v>17314.650390999999</v>
      </c>
      <c r="G393" s="14">
        <f t="shared" si="13"/>
        <v>1.2887345060733635E-2</v>
      </c>
    </row>
    <row r="394" spans="2:7" x14ac:dyDescent="0.25">
      <c r="B394" s="153">
        <v>44844</v>
      </c>
      <c r="C394" s="154">
        <v>1993.0775149999999</v>
      </c>
      <c r="D394" s="14">
        <f t="shared" si="12"/>
        <v>-8.0135932345018368E-2</v>
      </c>
      <c r="F394" s="154">
        <v>17185.699218999998</v>
      </c>
      <c r="G394" s="14">
        <f t="shared" si="13"/>
        <v>-7.4475180894804094E-3</v>
      </c>
    </row>
    <row r="395" spans="2:7" x14ac:dyDescent="0.25">
      <c r="B395" s="153">
        <v>44851</v>
      </c>
      <c r="C395" s="154">
        <v>2083.0344239999999</v>
      </c>
      <c r="D395" s="14">
        <f t="shared" si="12"/>
        <v>4.5134676560735665E-2</v>
      </c>
      <c r="F395" s="154">
        <v>17576.300781000002</v>
      </c>
      <c r="G395" s="14">
        <f t="shared" si="13"/>
        <v>2.2728290366455628E-2</v>
      </c>
    </row>
    <row r="396" spans="2:7" x14ac:dyDescent="0.25">
      <c r="B396" s="153">
        <v>44858</v>
      </c>
      <c r="C396" s="154">
        <v>2075.5827640000002</v>
      </c>
      <c r="D396" s="14">
        <f t="shared" si="12"/>
        <v>-3.5773100598551766E-3</v>
      </c>
      <c r="F396" s="154">
        <v>17786.800781000002</v>
      </c>
      <c r="G396" s="14">
        <f t="shared" si="13"/>
        <v>1.197635399068453E-2</v>
      </c>
    </row>
    <row r="397" spans="2:7" x14ac:dyDescent="0.25">
      <c r="B397" s="153">
        <v>44865</v>
      </c>
      <c r="C397" s="154">
        <v>2050.64624</v>
      </c>
      <c r="D397" s="14">
        <f t="shared" si="12"/>
        <v>-1.2014227730405391E-2</v>
      </c>
      <c r="F397" s="154">
        <v>18117.150390999999</v>
      </c>
      <c r="G397" s="14">
        <f t="shared" si="13"/>
        <v>1.8572739081492262E-2</v>
      </c>
    </row>
    <row r="398" spans="2:7" x14ac:dyDescent="0.25">
      <c r="B398" s="153">
        <v>44872</v>
      </c>
      <c r="C398" s="154">
        <v>2212.3930660000001</v>
      </c>
      <c r="D398" s="14">
        <f t="shared" si="12"/>
        <v>7.887602593024523E-2</v>
      </c>
      <c r="F398" s="154">
        <v>18349.699218999998</v>
      </c>
      <c r="G398" s="14">
        <f t="shared" si="13"/>
        <v>1.2835839134808014E-2</v>
      </c>
    </row>
    <row r="399" spans="2:7" x14ac:dyDescent="0.25">
      <c r="B399" s="153">
        <v>44879</v>
      </c>
      <c r="C399" s="154">
        <v>2279.3127439999998</v>
      </c>
      <c r="D399" s="14">
        <f t="shared" si="12"/>
        <v>3.0247644068506441E-2</v>
      </c>
      <c r="F399" s="154">
        <v>18307.650390999999</v>
      </c>
      <c r="G399" s="14">
        <f t="shared" si="13"/>
        <v>-2.2915268254892762E-3</v>
      </c>
    </row>
    <row r="400" spans="2:7" x14ac:dyDescent="0.25">
      <c r="B400" s="153">
        <v>44886</v>
      </c>
      <c r="C400" s="154">
        <v>2250.1389159999999</v>
      </c>
      <c r="D400" s="14">
        <f t="shared" si="12"/>
        <v>-1.2799396693936038E-2</v>
      </c>
      <c r="F400" s="154">
        <v>18512.75</v>
      </c>
      <c r="G400" s="14">
        <f t="shared" si="13"/>
        <v>1.1202945469224623E-2</v>
      </c>
    </row>
    <row r="401" spans="2:7" x14ac:dyDescent="0.25">
      <c r="B401" s="153">
        <v>44893</v>
      </c>
      <c r="C401" s="154">
        <v>2237.086182</v>
      </c>
      <c r="D401" s="14">
        <f t="shared" si="12"/>
        <v>-5.8008569636239793E-3</v>
      </c>
      <c r="F401" s="154">
        <v>18696.099609000001</v>
      </c>
      <c r="G401" s="14">
        <f t="shared" si="13"/>
        <v>9.9039639707769744E-3</v>
      </c>
    </row>
    <row r="402" spans="2:7" x14ac:dyDescent="0.25">
      <c r="B402" s="153">
        <v>44900</v>
      </c>
      <c r="C402" s="154">
        <v>2192.813721</v>
      </c>
      <c r="D402" s="14">
        <f t="shared" si="12"/>
        <v>-1.9790234885103786E-2</v>
      </c>
      <c r="F402" s="154">
        <v>18496.599609000001</v>
      </c>
      <c r="G402" s="14">
        <f t="shared" si="13"/>
        <v>-1.0670674855838058E-2</v>
      </c>
    </row>
    <row r="403" spans="2:7" x14ac:dyDescent="0.25">
      <c r="B403" s="153">
        <v>44907</v>
      </c>
      <c r="C403" s="154">
        <v>2217.6530760000001</v>
      </c>
      <c r="D403" s="14">
        <f t="shared" si="12"/>
        <v>1.1327617463407824E-2</v>
      </c>
      <c r="F403" s="154">
        <v>18269</v>
      </c>
      <c r="G403" s="14">
        <f t="shared" si="13"/>
        <v>-1.2304943276668867E-2</v>
      </c>
    </row>
    <row r="404" spans="2:7" x14ac:dyDescent="0.25">
      <c r="B404" s="153">
        <v>44914</v>
      </c>
      <c r="C404" s="154">
        <v>2133.7844239999999</v>
      </c>
      <c r="D404" s="14">
        <f t="shared" si="12"/>
        <v>-3.7818652929823782E-2</v>
      </c>
      <c r="F404" s="154">
        <v>17806.800781000002</v>
      </c>
      <c r="G404" s="14">
        <f t="shared" si="13"/>
        <v>-2.529964524604511E-2</v>
      </c>
    </row>
    <row r="405" spans="2:7" x14ac:dyDescent="0.25">
      <c r="B405" s="153">
        <v>44921</v>
      </c>
      <c r="C405" s="154">
        <v>2162.0329590000001</v>
      </c>
      <c r="D405" s="14">
        <f t="shared" si="12"/>
        <v>1.3238701474371783E-2</v>
      </c>
      <c r="F405" s="154">
        <v>18105.300781000002</v>
      </c>
      <c r="G405" s="14">
        <f t="shared" si="13"/>
        <v>1.6763258244484991E-2</v>
      </c>
    </row>
    <row r="406" spans="2:7" x14ac:dyDescent="0.25">
      <c r="B406" s="153">
        <v>44928</v>
      </c>
      <c r="C406" s="154">
        <v>2153.7531739999999</v>
      </c>
      <c r="D406" s="14">
        <f t="shared" si="12"/>
        <v>-3.8296294076061166E-3</v>
      </c>
      <c r="F406" s="154">
        <v>17859.449218999998</v>
      </c>
      <c r="G406" s="14">
        <f t="shared" si="13"/>
        <v>-1.3578982474458767E-2</v>
      </c>
    </row>
    <row r="407" spans="2:7" x14ac:dyDescent="0.25">
      <c r="B407" s="153">
        <v>44935</v>
      </c>
      <c r="C407" s="154">
        <v>2167.5363769999999</v>
      </c>
      <c r="D407" s="14">
        <f t="shared" si="12"/>
        <v>6.3996205165894882E-3</v>
      </c>
      <c r="F407" s="154">
        <v>17956.599609000001</v>
      </c>
      <c r="G407" s="14">
        <f t="shared" si="13"/>
        <v>5.4397192661825855E-3</v>
      </c>
    </row>
    <row r="408" spans="2:7" x14ac:dyDescent="0.25">
      <c r="B408" s="153">
        <v>44942</v>
      </c>
      <c r="C408" s="154">
        <v>2200.5581050000001</v>
      </c>
      <c r="D408" s="14">
        <f t="shared" si="12"/>
        <v>1.5234682264342991E-2</v>
      </c>
      <c r="F408" s="154">
        <v>18027.650390999999</v>
      </c>
      <c r="G408" s="14">
        <f t="shared" si="13"/>
        <v>3.9568060516528281E-3</v>
      </c>
    </row>
    <row r="409" spans="2:7" x14ac:dyDescent="0.25">
      <c r="B409" s="153">
        <v>44949</v>
      </c>
      <c r="C409" s="154">
        <v>2183.4628910000001</v>
      </c>
      <c r="D409" s="14">
        <f t="shared" si="12"/>
        <v>-7.7685810527597932E-3</v>
      </c>
      <c r="F409" s="154">
        <v>17604.349609000001</v>
      </c>
      <c r="G409" s="14">
        <f t="shared" si="13"/>
        <v>-2.3480640727941093E-2</v>
      </c>
    </row>
    <row r="410" spans="2:7" x14ac:dyDescent="0.25">
      <c r="B410" s="153">
        <v>44956</v>
      </c>
      <c r="C410" s="154">
        <v>2153.0227049999999</v>
      </c>
      <c r="D410" s="14">
        <f t="shared" si="12"/>
        <v>-1.394124265883856E-2</v>
      </c>
      <c r="F410" s="154">
        <v>17854.050781000002</v>
      </c>
      <c r="G410" s="14">
        <f t="shared" si="13"/>
        <v>1.4184061186352848E-2</v>
      </c>
    </row>
    <row r="411" spans="2:7" x14ac:dyDescent="0.25">
      <c r="B411" s="153">
        <v>44963</v>
      </c>
      <c r="C411" s="154">
        <v>2255.3017580000001</v>
      </c>
      <c r="D411" s="14">
        <f t="shared" ref="D411:D450" si="14">C411/C410-1</f>
        <v>4.7504865026493093E-2</v>
      </c>
      <c r="F411" s="154">
        <v>17856.5</v>
      </c>
      <c r="G411" s="14">
        <f t="shared" ref="G411:G450" si="15">F411/F410-1</f>
        <v>1.371800175793414E-4</v>
      </c>
    </row>
    <row r="412" spans="2:7" x14ac:dyDescent="0.25">
      <c r="B412" s="153">
        <v>44970</v>
      </c>
      <c r="C412" s="154">
        <v>2121.3647460000002</v>
      </c>
      <c r="D412" s="14">
        <f t="shared" si="14"/>
        <v>-5.938762364056116E-2</v>
      </c>
      <c r="F412" s="154">
        <v>17944.199218999998</v>
      </c>
      <c r="G412" s="14">
        <f t="shared" si="15"/>
        <v>4.9113330719905424E-3</v>
      </c>
    </row>
    <row r="413" spans="2:7" x14ac:dyDescent="0.25">
      <c r="B413" s="153">
        <v>44977</v>
      </c>
      <c r="C413" s="154">
        <v>2137.5344239999999</v>
      </c>
      <c r="D413" s="14">
        <f t="shared" si="14"/>
        <v>7.6222997626829159E-3</v>
      </c>
      <c r="F413" s="154">
        <v>17465.800781000002</v>
      </c>
      <c r="G413" s="14">
        <f t="shared" si="15"/>
        <v>-2.6660339208308015E-2</v>
      </c>
    </row>
    <row r="414" spans="2:7" x14ac:dyDescent="0.25">
      <c r="B414" s="153">
        <v>44984</v>
      </c>
      <c r="C414" s="154">
        <v>2152.6328130000002</v>
      </c>
      <c r="D414" s="14">
        <f t="shared" si="14"/>
        <v>7.0634600455914409E-3</v>
      </c>
      <c r="F414" s="154">
        <v>17594.349609000001</v>
      </c>
      <c r="G414" s="14">
        <f t="shared" si="15"/>
        <v>7.3600305884538031E-3</v>
      </c>
    </row>
    <row r="415" spans="2:7" x14ac:dyDescent="0.25">
      <c r="B415" s="153">
        <v>44991</v>
      </c>
      <c r="C415" s="154">
        <v>2247.2172850000002</v>
      </c>
      <c r="D415" s="14">
        <f t="shared" si="14"/>
        <v>4.393897158344573E-2</v>
      </c>
      <c r="F415" s="154">
        <v>17412.900390999999</v>
      </c>
      <c r="G415" s="14">
        <f t="shared" si="15"/>
        <v>-1.0312925571695164E-2</v>
      </c>
    </row>
    <row r="416" spans="2:7" x14ac:dyDescent="0.25">
      <c r="B416" s="153">
        <v>44998</v>
      </c>
      <c r="C416" s="154">
        <v>2270.3215329999998</v>
      </c>
      <c r="D416" s="14">
        <f t="shared" si="14"/>
        <v>1.0281270153188471E-2</v>
      </c>
      <c r="F416" s="154">
        <v>17100.050781000002</v>
      </c>
      <c r="G416" s="14">
        <f t="shared" si="15"/>
        <v>-1.7966542217268788E-2</v>
      </c>
    </row>
    <row r="417" spans="2:7" x14ac:dyDescent="0.25">
      <c r="B417" s="153">
        <v>45005</v>
      </c>
      <c r="C417" s="154">
        <v>2317.7121579999998</v>
      </c>
      <c r="D417" s="14">
        <f t="shared" si="14"/>
        <v>2.0873970629780469E-2</v>
      </c>
      <c r="F417" s="154">
        <v>16945.050781000002</v>
      </c>
      <c r="G417" s="14">
        <f t="shared" si="15"/>
        <v>-9.0643005675878907E-3</v>
      </c>
    </row>
    <row r="418" spans="2:7" x14ac:dyDescent="0.25">
      <c r="B418" s="153">
        <v>45012</v>
      </c>
      <c r="C418" s="154">
        <v>2266.6267090000001</v>
      </c>
      <c r="D418" s="14">
        <f t="shared" si="14"/>
        <v>-2.2041325892721009E-2</v>
      </c>
      <c r="F418" s="154">
        <v>17359.75</v>
      </c>
      <c r="G418" s="14">
        <f t="shared" si="15"/>
        <v>2.4473176525678486E-2</v>
      </c>
    </row>
    <row r="419" spans="2:7" x14ac:dyDescent="0.25">
      <c r="B419" s="153">
        <v>45019</v>
      </c>
      <c r="C419" s="154">
        <v>2198.545654</v>
      </c>
      <c r="D419" s="14">
        <f t="shared" si="14"/>
        <v>-3.0036289050011433E-2</v>
      </c>
      <c r="F419" s="154">
        <v>17599.150390999999</v>
      </c>
      <c r="G419" s="14">
        <f t="shared" si="15"/>
        <v>1.3790543700226143E-2</v>
      </c>
    </row>
    <row r="420" spans="2:7" x14ac:dyDescent="0.25">
      <c r="B420" s="153">
        <v>45026</v>
      </c>
      <c r="C420" s="154">
        <v>2269.8781739999999</v>
      </c>
      <c r="D420" s="14">
        <f t="shared" si="14"/>
        <v>3.2445321237800417E-2</v>
      </c>
      <c r="F420" s="154">
        <v>17828</v>
      </c>
      <c r="G420" s="14">
        <f t="shared" si="15"/>
        <v>1.3003446411653519E-2</v>
      </c>
    </row>
    <row r="421" spans="2:7" x14ac:dyDescent="0.25">
      <c r="B421" s="153">
        <v>45033</v>
      </c>
      <c r="C421" s="154">
        <v>2269.533203</v>
      </c>
      <c r="D421" s="14">
        <f t="shared" si="14"/>
        <v>-1.5197775984254758E-4</v>
      </c>
      <c r="F421" s="154">
        <v>17624.050781000002</v>
      </c>
      <c r="G421" s="14">
        <f t="shared" si="15"/>
        <v>-1.1439826060130054E-2</v>
      </c>
    </row>
    <row r="422" spans="2:7" x14ac:dyDescent="0.25">
      <c r="B422" s="153">
        <v>45040</v>
      </c>
      <c r="C422" s="154">
        <v>2290.420654</v>
      </c>
      <c r="D422" s="14">
        <f t="shared" si="14"/>
        <v>9.2034128306164309E-3</v>
      </c>
      <c r="F422" s="154">
        <v>18065</v>
      </c>
      <c r="G422" s="14">
        <f t="shared" si="15"/>
        <v>2.5019742877464557E-2</v>
      </c>
    </row>
    <row r="423" spans="2:7" x14ac:dyDescent="0.25">
      <c r="B423" s="153">
        <v>45047</v>
      </c>
      <c r="C423" s="154">
        <v>2373.0341800000001</v>
      </c>
      <c r="D423" s="14">
        <f t="shared" si="14"/>
        <v>3.6069149942270951E-2</v>
      </c>
      <c r="F423" s="154">
        <v>18069</v>
      </c>
      <c r="G423" s="14">
        <f t="shared" si="15"/>
        <v>2.2142264046509652E-4</v>
      </c>
    </row>
    <row r="424" spans="2:7" x14ac:dyDescent="0.25">
      <c r="B424" s="153">
        <v>45054</v>
      </c>
      <c r="C424" s="154">
        <v>2434.0214839999999</v>
      </c>
      <c r="D424" s="14">
        <f t="shared" si="14"/>
        <v>2.5700137197349537E-2</v>
      </c>
      <c r="F424" s="154">
        <v>18314.800781000002</v>
      </c>
      <c r="G424" s="14">
        <f t="shared" si="15"/>
        <v>1.3603452376999448E-2</v>
      </c>
    </row>
    <row r="425" spans="2:7" x14ac:dyDescent="0.25">
      <c r="B425" s="153">
        <v>45061</v>
      </c>
      <c r="C425" s="154">
        <v>2398.1088869999999</v>
      </c>
      <c r="D425" s="14">
        <f t="shared" si="14"/>
        <v>-1.4754428930094043E-2</v>
      </c>
      <c r="F425" s="154">
        <v>18203.400390999999</v>
      </c>
      <c r="G425" s="14">
        <f t="shared" si="15"/>
        <v>-6.0825335384249168E-3</v>
      </c>
    </row>
    <row r="426" spans="2:7" x14ac:dyDescent="0.25">
      <c r="B426" s="153">
        <v>45068</v>
      </c>
      <c r="C426" s="154">
        <v>2462.2490229999999</v>
      </c>
      <c r="D426" s="14">
        <f t="shared" si="14"/>
        <v>2.674613164885864E-2</v>
      </c>
      <c r="F426" s="154">
        <v>18499.349609000001</v>
      </c>
      <c r="G426" s="14">
        <f t="shared" si="15"/>
        <v>1.6257908502980811E-2</v>
      </c>
    </row>
    <row r="427" spans="2:7" x14ac:dyDescent="0.25">
      <c r="B427" s="153">
        <v>45075</v>
      </c>
      <c r="C427" s="154">
        <v>2416.92749</v>
      </c>
      <c r="D427" s="14">
        <f t="shared" si="14"/>
        <v>-1.840655944084002E-2</v>
      </c>
      <c r="F427" s="154">
        <v>18534.099609000001</v>
      </c>
      <c r="G427" s="14">
        <f t="shared" si="15"/>
        <v>1.8784444174779757E-3</v>
      </c>
    </row>
    <row r="428" spans="2:7" x14ac:dyDescent="0.25">
      <c r="B428" s="153">
        <v>45082</v>
      </c>
      <c r="C428" s="154">
        <v>2321.8503420000002</v>
      </c>
      <c r="D428" s="14">
        <f t="shared" si="14"/>
        <v>-3.9338022507245274E-2</v>
      </c>
      <c r="F428" s="154">
        <v>18563.400390999999</v>
      </c>
      <c r="G428" s="14">
        <f t="shared" si="15"/>
        <v>1.5809120819534339E-3</v>
      </c>
    </row>
    <row r="429" spans="2:7" x14ac:dyDescent="0.25">
      <c r="B429" s="153">
        <v>45089</v>
      </c>
      <c r="C429" s="154">
        <v>2416.286865</v>
      </c>
      <c r="D429" s="14">
        <f t="shared" si="14"/>
        <v>4.0672958670821879E-2</v>
      </c>
      <c r="F429" s="154">
        <v>18826</v>
      </c>
      <c r="G429" s="14">
        <f t="shared" si="15"/>
        <v>1.4146094113625551E-2</v>
      </c>
    </row>
    <row r="430" spans="2:7" x14ac:dyDescent="0.25">
      <c r="B430" s="153">
        <v>45096</v>
      </c>
      <c r="C430" s="154">
        <v>2416.1391600000002</v>
      </c>
      <c r="D430" s="14">
        <f t="shared" si="14"/>
        <v>-6.1128917323238774E-5</v>
      </c>
      <c r="F430" s="154">
        <v>18665.5</v>
      </c>
      <c r="G430" s="14">
        <f t="shared" si="15"/>
        <v>-8.5254435355359703E-3</v>
      </c>
    </row>
    <row r="431" spans="2:7" x14ac:dyDescent="0.25">
      <c r="B431" s="153">
        <v>45103</v>
      </c>
      <c r="C431" s="154">
        <v>2396.9760740000002</v>
      </c>
      <c r="D431" s="14">
        <f t="shared" si="14"/>
        <v>-7.9312840573305676E-3</v>
      </c>
      <c r="F431" s="154">
        <v>19189.050781000002</v>
      </c>
      <c r="G431" s="14">
        <f t="shared" si="15"/>
        <v>2.804911633762841E-2</v>
      </c>
    </row>
    <row r="432" spans="2:7" x14ac:dyDescent="0.25">
      <c r="B432" s="153">
        <v>45110</v>
      </c>
      <c r="C432" s="154">
        <v>2479.1459960000002</v>
      </c>
      <c r="D432" s="14">
        <f t="shared" si="14"/>
        <v>3.4280660074707203E-2</v>
      </c>
      <c r="F432" s="154">
        <v>19331.800781000002</v>
      </c>
      <c r="G432" s="14">
        <f t="shared" si="15"/>
        <v>7.4391381642151533E-3</v>
      </c>
    </row>
    <row r="433" spans="2:7" x14ac:dyDescent="0.25">
      <c r="B433" s="153">
        <v>45117</v>
      </c>
      <c r="C433" s="154">
        <v>2701.4196780000002</v>
      </c>
      <c r="D433" s="14">
        <f t="shared" si="14"/>
        <v>8.9657358767345485E-2</v>
      </c>
      <c r="F433" s="154">
        <v>19564.5</v>
      </c>
      <c r="G433" s="14">
        <f t="shared" si="15"/>
        <v>1.2037120681933855E-2</v>
      </c>
    </row>
    <row r="434" spans="2:7" x14ac:dyDescent="0.25">
      <c r="B434" s="153">
        <v>45124</v>
      </c>
      <c r="C434" s="154">
        <v>2642.6982419999999</v>
      </c>
      <c r="D434" s="14">
        <f t="shared" si="14"/>
        <v>-2.173725040882013E-2</v>
      </c>
      <c r="F434" s="154">
        <v>19745</v>
      </c>
      <c r="G434" s="14">
        <f t="shared" si="15"/>
        <v>9.225893838329613E-3</v>
      </c>
    </row>
    <row r="435" spans="2:7" x14ac:dyDescent="0.25">
      <c r="B435" s="153">
        <v>45131</v>
      </c>
      <c r="C435" s="154">
        <v>2679.2514649999998</v>
      </c>
      <c r="D435" s="14">
        <f t="shared" si="14"/>
        <v>1.3831780874208555E-2</v>
      </c>
      <c r="F435" s="154">
        <v>19646.050781000002</v>
      </c>
      <c r="G435" s="14">
        <f t="shared" si="15"/>
        <v>-5.0113557356291638E-3</v>
      </c>
    </row>
    <row r="436" spans="2:7" x14ac:dyDescent="0.25">
      <c r="B436" s="153">
        <v>45138</v>
      </c>
      <c r="C436" s="154">
        <v>2822.8000489999999</v>
      </c>
      <c r="D436" s="14">
        <f t="shared" si="14"/>
        <v>5.3577868996331768E-2</v>
      </c>
      <c r="F436" s="154">
        <v>19517</v>
      </c>
      <c r="G436" s="14">
        <f t="shared" si="15"/>
        <v>-6.568789953694365E-3</v>
      </c>
    </row>
    <row r="437" spans="2:7" x14ac:dyDescent="0.25">
      <c r="B437" s="153">
        <v>45145</v>
      </c>
      <c r="C437" s="154">
        <v>2819.0500489999999</v>
      </c>
      <c r="D437" s="14">
        <f t="shared" si="14"/>
        <v>-1.3284681645546748E-3</v>
      </c>
      <c r="F437" s="154">
        <v>19428.300781000002</v>
      </c>
      <c r="G437" s="14">
        <f t="shared" si="15"/>
        <v>-4.5447158374749552E-3</v>
      </c>
    </row>
    <row r="438" spans="2:7" x14ac:dyDescent="0.25">
      <c r="B438" s="153">
        <v>45152</v>
      </c>
      <c r="C438" s="154">
        <v>2826.6499020000001</v>
      </c>
      <c r="D438" s="14">
        <f t="shared" si="14"/>
        <v>2.695891476881096E-3</v>
      </c>
      <c r="F438" s="154">
        <v>19310.150390999999</v>
      </c>
      <c r="G438" s="14">
        <f t="shared" si="15"/>
        <v>-6.0813547891717112E-3</v>
      </c>
    </row>
    <row r="439" spans="2:7" x14ac:dyDescent="0.25">
      <c r="B439" s="153">
        <v>45159</v>
      </c>
      <c r="C439" s="154">
        <v>2764.6499020000001</v>
      </c>
      <c r="D439" s="14">
        <f t="shared" si="14"/>
        <v>-2.1934092352976498E-2</v>
      </c>
      <c r="F439" s="154">
        <v>19265.800781000002</v>
      </c>
      <c r="G439" s="14">
        <f t="shared" si="15"/>
        <v>-2.2966993576947203E-3</v>
      </c>
    </row>
    <row r="440" spans="2:7" x14ac:dyDescent="0.25">
      <c r="B440" s="153">
        <v>45166</v>
      </c>
      <c r="C440" s="154">
        <v>2736.5500489999999</v>
      </c>
      <c r="D440" s="14">
        <f t="shared" si="14"/>
        <v>-1.0163982419499895E-2</v>
      </c>
      <c r="F440" s="154">
        <v>19435.300781000002</v>
      </c>
      <c r="G440" s="14">
        <f t="shared" si="15"/>
        <v>8.797973254616176E-3</v>
      </c>
    </row>
    <row r="441" spans="2:7" x14ac:dyDescent="0.25">
      <c r="B441" s="153">
        <v>45173</v>
      </c>
      <c r="C441" s="154">
        <v>2707.4499510000001</v>
      </c>
      <c r="D441" s="14">
        <f t="shared" si="14"/>
        <v>-1.0633862885363166E-2</v>
      </c>
      <c r="F441" s="154">
        <v>19819.949218999998</v>
      </c>
      <c r="G441" s="14">
        <f t="shared" si="15"/>
        <v>1.9791226404688889E-2</v>
      </c>
    </row>
    <row r="442" spans="2:7" x14ac:dyDescent="0.25">
      <c r="B442" s="153">
        <v>45180</v>
      </c>
      <c r="C442" s="154">
        <v>2595.3000489999999</v>
      </c>
      <c r="D442" s="14">
        <f t="shared" si="14"/>
        <v>-4.1422705508767588E-2</v>
      </c>
      <c r="F442" s="154">
        <v>20192.349609000001</v>
      </c>
      <c r="G442" s="14">
        <f t="shared" si="15"/>
        <v>1.8789169734249711E-2</v>
      </c>
    </row>
    <row r="443" spans="2:7" x14ac:dyDescent="0.25">
      <c r="B443" s="153">
        <v>45187</v>
      </c>
      <c r="C443" s="154">
        <v>2520.1000979999999</v>
      </c>
      <c r="D443" s="14">
        <f t="shared" si="14"/>
        <v>-2.8975436203985572E-2</v>
      </c>
      <c r="F443" s="154">
        <v>19674.25</v>
      </c>
      <c r="G443" s="14">
        <f t="shared" si="15"/>
        <v>-2.5658213087251469E-2</v>
      </c>
    </row>
    <row r="444" spans="2:7" x14ac:dyDescent="0.25">
      <c r="B444" s="153">
        <v>45194</v>
      </c>
      <c r="C444" s="154">
        <v>2508.6000979999999</v>
      </c>
      <c r="D444" s="14">
        <f t="shared" si="14"/>
        <v>-4.5633108022680169E-3</v>
      </c>
      <c r="F444" s="154">
        <v>19638.300781000002</v>
      </c>
      <c r="G444" s="14">
        <f t="shared" si="15"/>
        <v>-1.8272218254824502E-3</v>
      </c>
    </row>
    <row r="445" spans="2:7" x14ac:dyDescent="0.25">
      <c r="B445" s="153">
        <v>45201</v>
      </c>
      <c r="C445" s="154">
        <v>2507.8500979999999</v>
      </c>
      <c r="D445" s="14">
        <f t="shared" si="14"/>
        <v>-2.9897152623004075E-4</v>
      </c>
      <c r="F445" s="154">
        <v>19653.5</v>
      </c>
      <c r="G445" s="14">
        <f t="shared" si="15"/>
        <v>7.7395794928980521E-4</v>
      </c>
    </row>
    <row r="446" spans="2:7" x14ac:dyDescent="0.25">
      <c r="B446" s="153">
        <v>45208</v>
      </c>
      <c r="C446" s="154">
        <v>2481.8999020000001</v>
      </c>
      <c r="D446" s="14">
        <f t="shared" si="14"/>
        <v>-1.034758657253676E-2</v>
      </c>
      <c r="F446" s="154">
        <v>19751.050781000002</v>
      </c>
      <c r="G446" s="14">
        <f t="shared" si="15"/>
        <v>4.96353224616497E-3</v>
      </c>
    </row>
    <row r="447" spans="2:7" x14ac:dyDescent="0.25">
      <c r="B447" s="153">
        <v>45215</v>
      </c>
      <c r="C447" s="154">
        <v>2441.8500979999999</v>
      </c>
      <c r="D447" s="14">
        <f t="shared" si="14"/>
        <v>-1.6136752319352854E-2</v>
      </c>
      <c r="F447" s="154">
        <v>19542.650390999999</v>
      </c>
      <c r="G447" s="14">
        <f t="shared" si="15"/>
        <v>-1.0551357105540893E-2</v>
      </c>
    </row>
    <row r="448" spans="2:7" x14ac:dyDescent="0.25">
      <c r="B448" s="153">
        <v>45222</v>
      </c>
      <c r="C448" s="154">
        <v>2421.3500979999999</v>
      </c>
      <c r="D448" s="14">
        <f t="shared" si="14"/>
        <v>-8.3952737380523779E-3</v>
      </c>
      <c r="F448" s="154">
        <v>19047.25</v>
      </c>
      <c r="G448" s="14">
        <f t="shared" si="15"/>
        <v>-2.5349703396840506E-2</v>
      </c>
    </row>
    <row r="449" spans="1:10" x14ac:dyDescent="0.25">
      <c r="B449" s="153">
        <v>45229</v>
      </c>
      <c r="C449" s="154">
        <v>2442.5500489999999</v>
      </c>
      <c r="D449" s="14">
        <f t="shared" si="14"/>
        <v>8.7554257509110389E-3</v>
      </c>
      <c r="F449" s="154">
        <v>19230.599609000001</v>
      </c>
      <c r="G449" s="14">
        <f t="shared" si="15"/>
        <v>9.6260409770438926E-3</v>
      </c>
    </row>
    <row r="450" spans="1:10" x14ac:dyDescent="0.25">
      <c r="B450" s="153">
        <v>45233</v>
      </c>
      <c r="C450" s="154">
        <v>2450</v>
      </c>
      <c r="D450" s="14">
        <f t="shared" si="14"/>
        <v>3.0500709711354101E-3</v>
      </c>
      <c r="F450" s="154">
        <v>19230.599609000001</v>
      </c>
      <c r="G450" s="14">
        <f t="shared" si="15"/>
        <v>0</v>
      </c>
    </row>
    <row r="453" spans="1:10" x14ac:dyDescent="0.25">
      <c r="A453" t="s">
        <v>194</v>
      </c>
      <c r="B453" s="236" t="s">
        <v>302</v>
      </c>
      <c r="C453" s="236"/>
      <c r="D453" s="236"/>
      <c r="F453" s="236" t="s">
        <v>272</v>
      </c>
      <c r="G453" s="236"/>
    </row>
    <row r="455" spans="1:10" x14ac:dyDescent="0.25">
      <c r="B455" s="166" t="s">
        <v>267</v>
      </c>
      <c r="C455" s="166" t="s">
        <v>270</v>
      </c>
      <c r="D455" s="48" t="s">
        <v>271</v>
      </c>
      <c r="F455" s="166" t="s">
        <v>270</v>
      </c>
      <c r="G455" s="48" t="s">
        <v>271</v>
      </c>
      <c r="I455" s="161" t="s">
        <v>273</v>
      </c>
      <c r="J455" s="162">
        <f>SLOPE(D458:D562,G458:G562)</f>
        <v>0.73337227605984423</v>
      </c>
    </row>
    <row r="457" spans="1:10" x14ac:dyDescent="0.25">
      <c r="B457" s="153">
        <v>44501</v>
      </c>
      <c r="C457" s="154">
        <v>2340.306885</v>
      </c>
      <c r="F457" s="154">
        <v>17916.800781000002</v>
      </c>
    </row>
    <row r="458" spans="1:10" x14ac:dyDescent="0.25">
      <c r="B458" s="153">
        <v>44508</v>
      </c>
      <c r="C458" s="154">
        <v>2289.3645019999999</v>
      </c>
      <c r="D458" s="14">
        <f>C458/C457-1</f>
        <v>-2.1767394407336438E-2</v>
      </c>
      <c r="F458" s="154">
        <v>18102.75</v>
      </c>
      <c r="G458" s="14">
        <f>F458/F457-1</f>
        <v>1.0378483372834646E-2</v>
      </c>
    </row>
    <row r="459" spans="1:10" x14ac:dyDescent="0.25">
      <c r="B459" s="153">
        <v>44515</v>
      </c>
      <c r="C459" s="154">
        <v>2291.3562010000001</v>
      </c>
      <c r="D459" s="14">
        <f t="shared" ref="D459:D522" si="16">C459/C458-1</f>
        <v>8.6997898249063788E-4</v>
      </c>
      <c r="F459" s="154">
        <v>17764.800781000002</v>
      </c>
      <c r="G459" s="14">
        <f t="shared" ref="G459:G522" si="17">F459/F458-1</f>
        <v>-1.8668391211279944E-2</v>
      </c>
    </row>
    <row r="460" spans="1:10" x14ac:dyDescent="0.25">
      <c r="B460" s="153">
        <v>44522</v>
      </c>
      <c r="C460" s="154">
        <v>2225.0268550000001</v>
      </c>
      <c r="D460" s="14">
        <f t="shared" si="16"/>
        <v>-2.8947636326055459E-2</v>
      </c>
      <c r="F460" s="154">
        <v>17026.449218999998</v>
      </c>
      <c r="G460" s="14">
        <f t="shared" si="17"/>
        <v>-4.1562614245001406E-2</v>
      </c>
    </row>
    <row r="461" spans="1:10" x14ac:dyDescent="0.25">
      <c r="B461" s="153">
        <v>44529</v>
      </c>
      <c r="C461" s="154">
        <v>2199.7299800000001</v>
      </c>
      <c r="D461" s="14">
        <f t="shared" si="16"/>
        <v>-1.1369244799519507E-2</v>
      </c>
      <c r="F461" s="154">
        <v>17196.699218999998</v>
      </c>
      <c r="G461" s="14">
        <f t="shared" si="17"/>
        <v>9.9991488424970854E-3</v>
      </c>
    </row>
    <row r="462" spans="1:10" x14ac:dyDescent="0.25">
      <c r="B462" s="153">
        <v>44536</v>
      </c>
      <c r="C462" s="154">
        <v>2063.336182</v>
      </c>
      <c r="D462" s="14">
        <f t="shared" si="16"/>
        <v>-6.200479115168489E-2</v>
      </c>
      <c r="F462" s="154">
        <v>17511.300781000002</v>
      </c>
      <c r="G462" s="14">
        <f t="shared" si="17"/>
        <v>1.8294299271828462E-2</v>
      </c>
    </row>
    <row r="463" spans="1:10" x14ac:dyDescent="0.25">
      <c r="B463" s="153">
        <v>44543</v>
      </c>
      <c r="C463" s="154">
        <v>2028.528198</v>
      </c>
      <c r="D463" s="14">
        <f t="shared" si="16"/>
        <v>-1.6869758938778734E-2</v>
      </c>
      <c r="F463" s="154">
        <v>16985.199218999998</v>
      </c>
      <c r="G463" s="14">
        <f t="shared" si="17"/>
        <v>-3.0043545512668635E-2</v>
      </c>
    </row>
    <row r="464" spans="1:10" x14ac:dyDescent="0.25">
      <c r="B464" s="153">
        <v>44550</v>
      </c>
      <c r="C464" s="154">
        <v>1906.3763429999999</v>
      </c>
      <c r="D464" s="14">
        <f t="shared" si="16"/>
        <v>-6.0216986443882847E-2</v>
      </c>
      <c r="F464" s="154">
        <v>17003.75</v>
      </c>
      <c r="G464" s="14">
        <f t="shared" si="17"/>
        <v>1.0921732951623131E-3</v>
      </c>
    </row>
    <row r="465" spans="2:7" x14ac:dyDescent="0.25">
      <c r="B465" s="153">
        <v>44557</v>
      </c>
      <c r="C465" s="154">
        <v>2122.0966800000001</v>
      </c>
      <c r="D465" s="14">
        <f t="shared" si="16"/>
        <v>0.11315726708008156</v>
      </c>
      <c r="F465" s="154">
        <v>17354.050781000002</v>
      </c>
      <c r="G465" s="14">
        <f t="shared" si="17"/>
        <v>2.0601383871204915E-2</v>
      </c>
    </row>
    <row r="466" spans="2:7" x14ac:dyDescent="0.25">
      <c r="B466" s="153">
        <v>44564</v>
      </c>
      <c r="C466" s="154">
        <v>2054.1735840000001</v>
      </c>
      <c r="D466" s="14">
        <f t="shared" si="16"/>
        <v>-3.2007540768594911E-2</v>
      </c>
      <c r="F466" s="154">
        <v>17812.699218999998</v>
      </c>
      <c r="G466" s="14">
        <f t="shared" si="17"/>
        <v>2.6428898001275014E-2</v>
      </c>
    </row>
    <row r="467" spans="2:7" x14ac:dyDescent="0.25">
      <c r="B467" s="153">
        <v>44571</v>
      </c>
      <c r="C467" s="154">
        <v>2063.6848140000002</v>
      </c>
      <c r="D467" s="14">
        <f t="shared" si="16"/>
        <v>4.6301977953973061E-3</v>
      </c>
      <c r="F467" s="154">
        <v>18255.75</v>
      </c>
      <c r="G467" s="14">
        <f t="shared" si="17"/>
        <v>2.4872748119354027E-2</v>
      </c>
    </row>
    <row r="468" spans="2:7" x14ac:dyDescent="0.25">
      <c r="B468" s="153">
        <v>44578</v>
      </c>
      <c r="C468" s="154">
        <v>2005.9702150000001</v>
      </c>
      <c r="D468" s="14">
        <f t="shared" si="16"/>
        <v>-2.7966770220173798E-2</v>
      </c>
      <c r="F468" s="154">
        <v>17617.150390999999</v>
      </c>
      <c r="G468" s="14">
        <f t="shared" si="17"/>
        <v>-3.4980738068827621E-2</v>
      </c>
    </row>
    <row r="469" spans="2:7" x14ac:dyDescent="0.25">
      <c r="B469" s="153">
        <v>44585</v>
      </c>
      <c r="C469" s="154">
        <v>1951.3927000000001</v>
      </c>
      <c r="D469" s="14">
        <f t="shared" si="16"/>
        <v>-2.7207540068086233E-2</v>
      </c>
      <c r="F469" s="154">
        <v>17101.949218999998</v>
      </c>
      <c r="G469" s="14">
        <f t="shared" si="17"/>
        <v>-2.9244296640800638E-2</v>
      </c>
    </row>
    <row r="470" spans="2:7" x14ac:dyDescent="0.25">
      <c r="B470" s="153">
        <v>44592</v>
      </c>
      <c r="C470" s="154">
        <v>1969.5187989999999</v>
      </c>
      <c r="D470" s="14">
        <f t="shared" si="16"/>
        <v>9.2888012751097815E-3</v>
      </c>
      <c r="F470" s="154">
        <v>17516.300781000002</v>
      </c>
      <c r="G470" s="14">
        <f t="shared" si="17"/>
        <v>2.4228323724623468E-2</v>
      </c>
    </row>
    <row r="471" spans="2:7" x14ac:dyDescent="0.25">
      <c r="B471" s="153">
        <v>44599</v>
      </c>
      <c r="C471" s="154">
        <v>1925.7971190000001</v>
      </c>
      <c r="D471" s="14">
        <f t="shared" si="16"/>
        <v>-2.2199168660994251E-2</v>
      </c>
      <c r="F471" s="154">
        <v>17374.75</v>
      </c>
      <c r="G471" s="14">
        <f t="shared" si="17"/>
        <v>-8.0810887395552644E-3</v>
      </c>
    </row>
    <row r="472" spans="2:7" x14ac:dyDescent="0.25">
      <c r="B472" s="153">
        <v>44606</v>
      </c>
      <c r="C472" s="154">
        <v>1753.051514</v>
      </c>
      <c r="D472" s="14">
        <f t="shared" si="16"/>
        <v>-8.9700832603644587E-2</v>
      </c>
      <c r="F472" s="154">
        <v>17276.300781000002</v>
      </c>
      <c r="G472" s="14">
        <f t="shared" si="17"/>
        <v>-5.66622362911684E-3</v>
      </c>
    </row>
    <row r="473" spans="2:7" x14ac:dyDescent="0.25">
      <c r="B473" s="153">
        <v>44613</v>
      </c>
      <c r="C473" s="154">
        <v>1740.4030760000001</v>
      </c>
      <c r="D473" s="14">
        <f t="shared" si="16"/>
        <v>-7.2150977304366037E-3</v>
      </c>
      <c r="F473" s="154">
        <v>16658.400390999999</v>
      </c>
      <c r="G473" s="14">
        <f t="shared" si="17"/>
        <v>-3.5765780987070617E-2</v>
      </c>
    </row>
    <row r="474" spans="2:7" x14ac:dyDescent="0.25">
      <c r="B474" s="153">
        <v>44620</v>
      </c>
      <c r="C474" s="154">
        <v>1641.406616</v>
      </c>
      <c r="D474" s="14">
        <f t="shared" si="16"/>
        <v>-5.6881340515396839E-2</v>
      </c>
      <c r="F474" s="154">
        <v>16245.349609000001</v>
      </c>
      <c r="G474" s="14">
        <f t="shared" si="17"/>
        <v>-2.479534482933643E-2</v>
      </c>
    </row>
    <row r="475" spans="2:7" x14ac:dyDescent="0.25">
      <c r="B475" s="153">
        <v>44627</v>
      </c>
      <c r="C475" s="154">
        <v>1634.0367429999999</v>
      </c>
      <c r="D475" s="14">
        <f t="shared" si="16"/>
        <v>-4.4899739821689932E-3</v>
      </c>
      <c r="F475" s="154">
        <v>16630.449218999998</v>
      </c>
      <c r="G475" s="14">
        <f t="shared" si="17"/>
        <v>2.3705221449137115E-2</v>
      </c>
    </row>
    <row r="476" spans="2:7" x14ac:dyDescent="0.25">
      <c r="B476" s="153">
        <v>44634</v>
      </c>
      <c r="C476" s="154">
        <v>1630.0529790000001</v>
      </c>
      <c r="D476" s="14">
        <f t="shared" si="16"/>
        <v>-2.4379892417142335E-3</v>
      </c>
      <c r="F476" s="154">
        <v>17287.050781000002</v>
      </c>
      <c r="G476" s="14">
        <f t="shared" si="17"/>
        <v>3.9481889716475482E-2</v>
      </c>
    </row>
    <row r="477" spans="2:7" x14ac:dyDescent="0.25">
      <c r="B477" s="153">
        <v>44641</v>
      </c>
      <c r="C477" s="154">
        <v>1525.180664</v>
      </c>
      <c r="D477" s="14">
        <f t="shared" si="16"/>
        <v>-6.4336752455945834E-2</v>
      </c>
      <c r="F477" s="154">
        <v>17153</v>
      </c>
      <c r="G477" s="14">
        <f t="shared" si="17"/>
        <v>-7.7544043051771538E-3</v>
      </c>
    </row>
    <row r="478" spans="2:7" x14ac:dyDescent="0.25">
      <c r="B478" s="153">
        <v>44648</v>
      </c>
      <c r="C478" s="154">
        <v>1610.2338870000001</v>
      </c>
      <c r="D478" s="14">
        <f t="shared" si="16"/>
        <v>5.5765998748591672E-2</v>
      </c>
      <c r="F478" s="154">
        <v>17670.449218999998</v>
      </c>
      <c r="G478" s="14">
        <f t="shared" si="17"/>
        <v>3.0166689150585846E-2</v>
      </c>
    </row>
    <row r="479" spans="2:7" x14ac:dyDescent="0.25">
      <c r="B479" s="153">
        <v>44655</v>
      </c>
      <c r="C479" s="154">
        <v>1666.8530270000001</v>
      </c>
      <c r="D479" s="14">
        <f t="shared" si="16"/>
        <v>3.5162059659225253E-2</v>
      </c>
      <c r="F479" s="154">
        <v>17784.349609000001</v>
      </c>
      <c r="G479" s="14">
        <f t="shared" si="17"/>
        <v>6.4458117950692007E-3</v>
      </c>
    </row>
    <row r="480" spans="2:7" x14ac:dyDescent="0.25">
      <c r="B480" s="153">
        <v>44662</v>
      </c>
      <c r="C480" s="154">
        <v>1615.2136230000001</v>
      </c>
      <c r="D480" s="14">
        <f t="shared" si="16"/>
        <v>-3.0980178314185536E-2</v>
      </c>
      <c r="F480" s="154">
        <v>17475.650390999999</v>
      </c>
      <c r="G480" s="14">
        <f t="shared" si="17"/>
        <v>-1.7357914390289553E-2</v>
      </c>
    </row>
    <row r="481" spans="2:7" x14ac:dyDescent="0.25">
      <c r="B481" s="153">
        <v>44669</v>
      </c>
      <c r="C481" s="154">
        <v>1550.5771480000001</v>
      </c>
      <c r="D481" s="14">
        <f t="shared" si="16"/>
        <v>-4.0017291879911321E-2</v>
      </c>
      <c r="F481" s="154">
        <v>17171.949218999998</v>
      </c>
      <c r="G481" s="14">
        <f t="shared" si="17"/>
        <v>-1.7378533285170805E-2</v>
      </c>
    </row>
    <row r="482" spans="2:7" x14ac:dyDescent="0.25">
      <c r="B482" s="153">
        <v>44676</v>
      </c>
      <c r="C482" s="154">
        <v>1549.6807859999999</v>
      </c>
      <c r="D482" s="14">
        <f t="shared" si="16"/>
        <v>-5.7808281332949463E-4</v>
      </c>
      <c r="F482" s="154">
        <v>17102.550781000002</v>
      </c>
      <c r="G482" s="14">
        <f t="shared" si="17"/>
        <v>-4.041383835634127E-3</v>
      </c>
    </row>
    <row r="483" spans="2:7" x14ac:dyDescent="0.25">
      <c r="B483" s="153">
        <v>44683</v>
      </c>
      <c r="C483" s="154">
        <v>1484.8948969999999</v>
      </c>
      <c r="D483" s="14">
        <f t="shared" si="16"/>
        <v>-4.1805957449613795E-2</v>
      </c>
      <c r="F483" s="154">
        <v>16411.25</v>
      </c>
      <c r="G483" s="14">
        <f t="shared" si="17"/>
        <v>-4.0420916730619982E-2</v>
      </c>
    </row>
    <row r="484" spans="2:7" x14ac:dyDescent="0.25">
      <c r="B484" s="153">
        <v>44690</v>
      </c>
      <c r="C484" s="154">
        <v>1437.986206</v>
      </c>
      <c r="D484" s="14">
        <f t="shared" si="16"/>
        <v>-3.1590579976247257E-2</v>
      </c>
      <c r="F484" s="154">
        <v>15782.150390999999</v>
      </c>
      <c r="G484" s="14">
        <f t="shared" si="17"/>
        <v>-3.8333436453652281E-2</v>
      </c>
    </row>
    <row r="485" spans="2:7" x14ac:dyDescent="0.25">
      <c r="B485" s="153">
        <v>44697</v>
      </c>
      <c r="C485" s="154">
        <v>1613.470581</v>
      </c>
      <c r="D485" s="14">
        <f t="shared" si="16"/>
        <v>0.12203481109053138</v>
      </c>
      <c r="F485" s="154">
        <v>16266.150390999999</v>
      </c>
      <c r="G485" s="14">
        <f t="shared" si="17"/>
        <v>3.0667557209187901E-2</v>
      </c>
    </row>
    <row r="486" spans="2:7" x14ac:dyDescent="0.25">
      <c r="B486" s="153">
        <v>44704</v>
      </c>
      <c r="C486" s="154">
        <v>1571.0435789999999</v>
      </c>
      <c r="D486" s="14">
        <f t="shared" si="16"/>
        <v>-2.6295491532113746E-2</v>
      </c>
      <c r="F486" s="154">
        <v>16352.450194999999</v>
      </c>
      <c r="G486" s="14">
        <f t="shared" si="17"/>
        <v>5.3054842064996777E-3</v>
      </c>
    </row>
    <row r="487" spans="2:7" x14ac:dyDescent="0.25">
      <c r="B487" s="153">
        <v>44711</v>
      </c>
      <c r="C487" s="154">
        <v>1565.117798</v>
      </c>
      <c r="D487" s="14">
        <f t="shared" si="16"/>
        <v>-3.7718756368119166E-3</v>
      </c>
      <c r="F487" s="154">
        <v>16584.300781000002</v>
      </c>
      <c r="G487" s="14">
        <f t="shared" si="17"/>
        <v>1.4178339223494207E-2</v>
      </c>
    </row>
    <row r="488" spans="2:7" x14ac:dyDescent="0.25">
      <c r="B488" s="153">
        <v>44718</v>
      </c>
      <c r="C488" s="154">
        <v>1543.605591</v>
      </c>
      <c r="D488" s="14">
        <f t="shared" si="16"/>
        <v>-1.3744784595440374E-2</v>
      </c>
      <c r="F488" s="154">
        <v>16201.799805000001</v>
      </c>
      <c r="G488" s="14">
        <f t="shared" si="17"/>
        <v>-2.3064039964724836E-2</v>
      </c>
    </row>
    <row r="489" spans="2:7" x14ac:dyDescent="0.25">
      <c r="B489" s="153">
        <v>44725</v>
      </c>
      <c r="C489" s="154">
        <v>1424.5908199999999</v>
      </c>
      <c r="D489" s="14">
        <f t="shared" si="16"/>
        <v>-7.7101800935366116E-2</v>
      </c>
      <c r="F489" s="154">
        <v>15293.5</v>
      </c>
      <c r="G489" s="14">
        <f t="shared" si="17"/>
        <v>-5.606166079892505E-2</v>
      </c>
    </row>
    <row r="490" spans="2:7" x14ac:dyDescent="0.25">
      <c r="B490" s="153">
        <v>44732</v>
      </c>
      <c r="C490" s="154">
        <v>1420.557251</v>
      </c>
      <c r="D490" s="14">
        <f t="shared" si="16"/>
        <v>-2.8313877524495101E-3</v>
      </c>
      <c r="F490" s="154">
        <v>15699.25</v>
      </c>
      <c r="G490" s="14">
        <f t="shared" si="17"/>
        <v>2.6530879131657192E-2</v>
      </c>
    </row>
    <row r="491" spans="2:7" x14ac:dyDescent="0.25">
      <c r="B491" s="153">
        <v>44739</v>
      </c>
      <c r="C491" s="154">
        <v>1378.528687</v>
      </c>
      <c r="D491" s="14">
        <f t="shared" si="16"/>
        <v>-2.9585969851207317E-2</v>
      </c>
      <c r="F491" s="154">
        <v>15752.049805000001</v>
      </c>
      <c r="G491" s="14">
        <f t="shared" si="17"/>
        <v>3.3632055671448668E-3</v>
      </c>
    </row>
    <row r="492" spans="2:7" x14ac:dyDescent="0.25">
      <c r="B492" s="153">
        <v>44746</v>
      </c>
      <c r="C492" s="154">
        <v>1428.7738039999999</v>
      </c>
      <c r="D492" s="14">
        <f t="shared" si="16"/>
        <v>3.6448365183712639E-2</v>
      </c>
      <c r="F492" s="154">
        <v>16220.599609000001</v>
      </c>
      <c r="G492" s="14">
        <f t="shared" si="17"/>
        <v>2.9745322659611828E-2</v>
      </c>
    </row>
    <row r="493" spans="2:7" x14ac:dyDescent="0.25">
      <c r="B493" s="153">
        <v>44753</v>
      </c>
      <c r="C493" s="154">
        <v>1403.3773189999999</v>
      </c>
      <c r="D493" s="14">
        <f t="shared" si="16"/>
        <v>-1.7775021440692651E-2</v>
      </c>
      <c r="F493" s="154">
        <v>16049.200194999999</v>
      </c>
      <c r="G493" s="14">
        <f t="shared" si="17"/>
        <v>-1.0566774233481513E-2</v>
      </c>
    </row>
    <row r="494" spans="2:7" x14ac:dyDescent="0.25">
      <c r="B494" s="153">
        <v>44760</v>
      </c>
      <c r="C494" s="154">
        <v>1387.6414789999999</v>
      </c>
      <c r="D494" s="14">
        <f t="shared" si="16"/>
        <v>-1.1212836196620946E-2</v>
      </c>
      <c r="F494" s="154">
        <v>16719.449218999998</v>
      </c>
      <c r="G494" s="14">
        <f t="shared" si="17"/>
        <v>4.1762144895470144E-2</v>
      </c>
    </row>
    <row r="495" spans="2:7" x14ac:dyDescent="0.25">
      <c r="B495" s="153">
        <v>44767</v>
      </c>
      <c r="C495" s="154">
        <v>1386.0479740000001</v>
      </c>
      <c r="D495" s="14">
        <f t="shared" si="16"/>
        <v>-1.1483549779357505E-3</v>
      </c>
      <c r="F495" s="154">
        <v>17158.25</v>
      </c>
      <c r="G495" s="14">
        <f t="shared" si="17"/>
        <v>2.6244930395275645E-2</v>
      </c>
    </row>
    <row r="496" spans="2:7" x14ac:dyDescent="0.25">
      <c r="B496" s="153">
        <v>44774</v>
      </c>
      <c r="C496" s="154">
        <v>1558.3454589999999</v>
      </c>
      <c r="D496" s="14">
        <f t="shared" si="16"/>
        <v>0.12430845701737581</v>
      </c>
      <c r="F496" s="154">
        <v>17397.5</v>
      </c>
      <c r="G496" s="14">
        <f t="shared" si="17"/>
        <v>1.3943729692713402E-2</v>
      </c>
    </row>
    <row r="497" spans="2:7" x14ac:dyDescent="0.25">
      <c r="B497" s="153">
        <v>44781</v>
      </c>
      <c r="C497" s="154">
        <v>1498.688721</v>
      </c>
      <c r="D497" s="14">
        <f t="shared" si="16"/>
        <v>-3.8282100836795174E-2</v>
      </c>
      <c r="F497" s="154">
        <v>17698.150390999999</v>
      </c>
      <c r="G497" s="14">
        <f t="shared" si="17"/>
        <v>1.7281241040379314E-2</v>
      </c>
    </row>
    <row r="498" spans="2:7" x14ac:dyDescent="0.25">
      <c r="B498" s="153">
        <v>44788</v>
      </c>
      <c r="C498" s="154">
        <v>1505.1125489999999</v>
      </c>
      <c r="D498" s="14">
        <f t="shared" si="16"/>
        <v>4.2862990225973618E-3</v>
      </c>
      <c r="F498" s="154">
        <v>17758.449218999998</v>
      </c>
      <c r="G498" s="14">
        <f t="shared" si="17"/>
        <v>3.4070694771959342E-3</v>
      </c>
    </row>
    <row r="499" spans="2:7" x14ac:dyDescent="0.25">
      <c r="B499" s="153">
        <v>44795</v>
      </c>
      <c r="C499" s="154">
        <v>1663.6160890000001</v>
      </c>
      <c r="D499" s="14">
        <f t="shared" si="16"/>
        <v>0.10531009133191427</v>
      </c>
      <c r="F499" s="154">
        <v>17558.900390999999</v>
      </c>
      <c r="G499" s="14">
        <f t="shared" si="17"/>
        <v>-1.1236838619134604E-2</v>
      </c>
    </row>
    <row r="500" spans="2:7" x14ac:dyDescent="0.25">
      <c r="B500" s="153">
        <v>44802</v>
      </c>
      <c r="C500" s="154">
        <v>1585.9746090000001</v>
      </c>
      <c r="D500" s="14">
        <f t="shared" si="16"/>
        <v>-4.6670310844775686E-2</v>
      </c>
      <c r="F500" s="154">
        <v>17539.449218999998</v>
      </c>
      <c r="G500" s="14">
        <f t="shared" si="17"/>
        <v>-1.1077670905844661E-3</v>
      </c>
    </row>
    <row r="501" spans="2:7" x14ac:dyDescent="0.25">
      <c r="B501" s="153">
        <v>44809</v>
      </c>
      <c r="C501" s="154">
        <v>1550.455811</v>
      </c>
      <c r="D501" s="14">
        <f t="shared" si="16"/>
        <v>-2.2395565350441293E-2</v>
      </c>
      <c r="F501" s="154">
        <v>17833.349609000001</v>
      </c>
      <c r="G501" s="14">
        <f t="shared" si="17"/>
        <v>1.6756534730955508E-2</v>
      </c>
    </row>
    <row r="502" spans="2:7" x14ac:dyDescent="0.25">
      <c r="B502" s="153">
        <v>44816</v>
      </c>
      <c r="C502" s="154">
        <v>1597.697876</v>
      </c>
      <c r="D502" s="14">
        <f t="shared" si="16"/>
        <v>3.0469791312227157E-2</v>
      </c>
      <c r="F502" s="154">
        <v>17530.849609000001</v>
      </c>
      <c r="G502" s="14">
        <f t="shared" si="17"/>
        <v>-1.6962601341440453E-2</v>
      </c>
    </row>
    <row r="503" spans="2:7" x14ac:dyDescent="0.25">
      <c r="B503" s="153">
        <v>44823</v>
      </c>
      <c r="C503" s="154">
        <v>1520.1251219999999</v>
      </c>
      <c r="D503" s="14">
        <f t="shared" si="16"/>
        <v>-4.855283039757885E-2</v>
      </c>
      <c r="F503" s="154">
        <v>17327.349609000001</v>
      </c>
      <c r="G503" s="14">
        <f t="shared" si="17"/>
        <v>-1.1608108251383698E-2</v>
      </c>
    </row>
    <row r="504" spans="2:7" x14ac:dyDescent="0.25">
      <c r="B504" s="153">
        <v>44830</v>
      </c>
      <c r="C504" s="154">
        <v>1495.9804690000001</v>
      </c>
      <c r="D504" s="14">
        <f t="shared" si="16"/>
        <v>-1.5883332661612237E-2</v>
      </c>
      <c r="F504" s="154">
        <v>17094.349609000001</v>
      </c>
      <c r="G504" s="14">
        <f t="shared" si="17"/>
        <v>-1.3446949779265527E-2</v>
      </c>
    </row>
    <row r="505" spans="2:7" x14ac:dyDescent="0.25">
      <c r="B505" s="153">
        <v>44837</v>
      </c>
      <c r="C505" s="154">
        <v>1490.1437989999999</v>
      </c>
      <c r="D505" s="14">
        <f t="shared" si="16"/>
        <v>-3.9015683165313231E-3</v>
      </c>
      <c r="F505" s="154">
        <v>17314.650390999999</v>
      </c>
      <c r="G505" s="14">
        <f t="shared" si="17"/>
        <v>1.2887345060733635E-2</v>
      </c>
    </row>
    <row r="506" spans="2:7" x14ac:dyDescent="0.25">
      <c r="B506" s="153">
        <v>44844</v>
      </c>
      <c r="C506" s="154">
        <v>1479.2685550000001</v>
      </c>
      <c r="D506" s="14">
        <f t="shared" si="16"/>
        <v>-7.2981171396330202E-3</v>
      </c>
      <c r="F506" s="154">
        <v>17185.699218999998</v>
      </c>
      <c r="G506" s="14">
        <f t="shared" si="17"/>
        <v>-7.4475180894804094E-3</v>
      </c>
    </row>
    <row r="507" spans="2:7" x14ac:dyDescent="0.25">
      <c r="B507" s="153">
        <v>44851</v>
      </c>
      <c r="C507" s="154">
        <v>1415.614014</v>
      </c>
      <c r="D507" s="14">
        <f t="shared" si="16"/>
        <v>-4.3031091808748756E-2</v>
      </c>
      <c r="F507" s="154">
        <v>17576.300781000002</v>
      </c>
      <c r="G507" s="14">
        <f t="shared" si="17"/>
        <v>2.2728290366455628E-2</v>
      </c>
    </row>
    <row r="508" spans="2:7" x14ac:dyDescent="0.25">
      <c r="B508" s="153">
        <v>44858</v>
      </c>
      <c r="C508" s="154">
        <v>1426.7885739999999</v>
      </c>
      <c r="D508" s="14">
        <f t="shared" si="16"/>
        <v>7.8937901783162623E-3</v>
      </c>
      <c r="F508" s="154">
        <v>17786.800781000002</v>
      </c>
      <c r="G508" s="14">
        <f t="shared" si="17"/>
        <v>1.197635399068453E-2</v>
      </c>
    </row>
    <row r="509" spans="2:7" x14ac:dyDescent="0.25">
      <c r="B509" s="153">
        <v>44865</v>
      </c>
      <c r="C509" s="154">
        <v>1539.131836</v>
      </c>
      <c r="D509" s="14">
        <f t="shared" si="16"/>
        <v>7.8738548967381972E-2</v>
      </c>
      <c r="F509" s="154">
        <v>18117.150390999999</v>
      </c>
      <c r="G509" s="14">
        <f t="shared" si="17"/>
        <v>1.8572739081492262E-2</v>
      </c>
    </row>
    <row r="510" spans="2:7" x14ac:dyDescent="0.25">
      <c r="B510" s="153">
        <v>44872</v>
      </c>
      <c r="C510" s="154">
        <v>1436.017456</v>
      </c>
      <c r="D510" s="14">
        <f t="shared" si="16"/>
        <v>-6.6995157651979054E-2</v>
      </c>
      <c r="F510" s="154">
        <v>18349.699218999998</v>
      </c>
      <c r="G510" s="14">
        <f t="shared" si="17"/>
        <v>1.2835839134808014E-2</v>
      </c>
    </row>
    <row r="511" spans="2:7" x14ac:dyDescent="0.25">
      <c r="B511" s="153">
        <v>44879</v>
      </c>
      <c r="C511" s="154">
        <v>1333.352173</v>
      </c>
      <c r="D511" s="14">
        <f t="shared" si="16"/>
        <v>-7.1493060596890201E-2</v>
      </c>
      <c r="F511" s="154">
        <v>18307.650390999999</v>
      </c>
      <c r="G511" s="14">
        <f t="shared" si="17"/>
        <v>-2.2915268254892762E-3</v>
      </c>
    </row>
    <row r="512" spans="2:7" x14ac:dyDescent="0.25">
      <c r="B512" s="153">
        <v>44886</v>
      </c>
      <c r="C512" s="154">
        <v>1315.842163</v>
      </c>
      <c r="D512" s="14">
        <f t="shared" si="16"/>
        <v>-1.3132321943573944E-2</v>
      </c>
      <c r="F512" s="154">
        <v>18512.75</v>
      </c>
      <c r="G512" s="14">
        <f t="shared" si="17"/>
        <v>1.1202945469224623E-2</v>
      </c>
    </row>
    <row r="513" spans="2:7" x14ac:dyDescent="0.25">
      <c r="B513" s="153">
        <v>44893</v>
      </c>
      <c r="C513" s="154">
        <v>1337.4926760000001</v>
      </c>
      <c r="D513" s="14">
        <f t="shared" si="16"/>
        <v>1.6453731008770012E-2</v>
      </c>
      <c r="F513" s="154">
        <v>18696.099609000001</v>
      </c>
      <c r="G513" s="14">
        <f t="shared" si="17"/>
        <v>9.9039639707769744E-3</v>
      </c>
    </row>
    <row r="514" spans="2:7" x14ac:dyDescent="0.25">
      <c r="B514" s="153">
        <v>44900</v>
      </c>
      <c r="C514" s="154">
        <v>1328.662842</v>
      </c>
      <c r="D514" s="14">
        <f t="shared" si="16"/>
        <v>-6.60178119734256E-3</v>
      </c>
      <c r="F514" s="154">
        <v>18496.599609000001</v>
      </c>
      <c r="G514" s="14">
        <f t="shared" si="17"/>
        <v>-1.0670674855838058E-2</v>
      </c>
    </row>
    <row r="515" spans="2:7" x14ac:dyDescent="0.25">
      <c r="B515" s="153">
        <v>44907</v>
      </c>
      <c r="C515" s="154">
        <v>1316.091553</v>
      </c>
      <c r="D515" s="14">
        <f t="shared" si="16"/>
        <v>-9.4616095239608011E-3</v>
      </c>
      <c r="F515" s="154">
        <v>18269</v>
      </c>
      <c r="G515" s="14">
        <f t="shared" si="17"/>
        <v>-1.2304943276668867E-2</v>
      </c>
    </row>
    <row r="516" spans="2:7" x14ac:dyDescent="0.25">
      <c r="B516" s="153">
        <v>44914</v>
      </c>
      <c r="C516" s="154">
        <v>1249.643433</v>
      </c>
      <c r="D516" s="14">
        <f t="shared" si="16"/>
        <v>-5.0488979925851774E-2</v>
      </c>
      <c r="F516" s="154">
        <v>17806.800781000002</v>
      </c>
      <c r="G516" s="14">
        <f t="shared" si="17"/>
        <v>-2.529964524604511E-2</v>
      </c>
    </row>
    <row r="517" spans="2:7" x14ac:dyDescent="0.25">
      <c r="B517" s="153">
        <v>44921</v>
      </c>
      <c r="C517" s="154">
        <v>1299.62915</v>
      </c>
      <c r="D517" s="14">
        <f t="shared" si="16"/>
        <v>3.9999983739361644E-2</v>
      </c>
      <c r="F517" s="154">
        <v>18105.300781000002</v>
      </c>
      <c r="G517" s="14">
        <f t="shared" si="17"/>
        <v>1.6763258244484991E-2</v>
      </c>
    </row>
    <row r="518" spans="2:7" x14ac:dyDescent="0.25">
      <c r="B518" s="153">
        <v>44928</v>
      </c>
      <c r="C518" s="154">
        <v>1291.2982179999999</v>
      </c>
      <c r="D518" s="14">
        <f t="shared" si="16"/>
        <v>-6.4102378743967625E-3</v>
      </c>
      <c r="F518" s="154">
        <v>17859.449218999998</v>
      </c>
      <c r="G518" s="14">
        <f t="shared" si="17"/>
        <v>-1.3578982474458767E-2</v>
      </c>
    </row>
    <row r="519" spans="2:7" x14ac:dyDescent="0.25">
      <c r="B519" s="153">
        <v>44935</v>
      </c>
      <c r="C519" s="154">
        <v>1278.7768550000001</v>
      </c>
      <c r="D519" s="14">
        <f t="shared" si="16"/>
        <v>-9.6967244478919357E-3</v>
      </c>
      <c r="F519" s="154">
        <v>17956.599609000001</v>
      </c>
      <c r="G519" s="14">
        <f t="shared" si="17"/>
        <v>5.4397192661825855E-3</v>
      </c>
    </row>
    <row r="520" spans="2:7" x14ac:dyDescent="0.25">
      <c r="B520" s="153">
        <v>44942</v>
      </c>
      <c r="C520" s="154">
        <v>1228.292236</v>
      </c>
      <c r="D520" s="14">
        <f t="shared" si="16"/>
        <v>-3.947883385799944E-2</v>
      </c>
      <c r="F520" s="154">
        <v>18027.650390999999</v>
      </c>
      <c r="G520" s="14">
        <f t="shared" si="17"/>
        <v>3.9568060516528281E-3</v>
      </c>
    </row>
    <row r="521" spans="2:7" x14ac:dyDescent="0.25">
      <c r="B521" s="153">
        <v>44949</v>
      </c>
      <c r="C521" s="154">
        <v>1210.1835940000001</v>
      </c>
      <c r="D521" s="14">
        <f t="shared" si="16"/>
        <v>-1.4742942655871283E-2</v>
      </c>
      <c r="F521" s="154">
        <v>17604.349609000001</v>
      </c>
      <c r="G521" s="14">
        <f t="shared" si="17"/>
        <v>-2.3480640727941093E-2</v>
      </c>
    </row>
    <row r="522" spans="2:7" x14ac:dyDescent="0.25">
      <c r="B522" s="153">
        <v>44956</v>
      </c>
      <c r="C522" s="154">
        <v>1133.5089109999999</v>
      </c>
      <c r="D522" s="14">
        <f t="shared" si="16"/>
        <v>-6.335789328176944E-2</v>
      </c>
      <c r="F522" s="154">
        <v>17854.050781000002</v>
      </c>
      <c r="G522" s="14">
        <f t="shared" si="17"/>
        <v>1.4184061186352848E-2</v>
      </c>
    </row>
    <row r="523" spans="2:7" x14ac:dyDescent="0.25">
      <c r="B523" s="153">
        <v>44963</v>
      </c>
      <c r="C523" s="154">
        <v>1159.1503909999999</v>
      </c>
      <c r="D523" s="14">
        <f t="shared" ref="D523:D562" si="18">C523/C522-1</f>
        <v>2.2621330764289072E-2</v>
      </c>
      <c r="F523" s="154">
        <v>17856.5</v>
      </c>
      <c r="G523" s="14">
        <f t="shared" ref="G523:G562" si="19">F523/F522-1</f>
        <v>1.371800175793414E-4</v>
      </c>
    </row>
    <row r="524" spans="2:7" x14ac:dyDescent="0.25">
      <c r="B524" s="153">
        <v>44970</v>
      </c>
      <c r="C524" s="154">
        <v>1078.2352289999999</v>
      </c>
      <c r="D524" s="14">
        <f t="shared" si="18"/>
        <v>-6.9805577109105288E-2</v>
      </c>
      <c r="F524" s="154">
        <v>17944.199218999998</v>
      </c>
      <c r="G524" s="14">
        <f t="shared" si="19"/>
        <v>4.9113330719905424E-3</v>
      </c>
    </row>
    <row r="525" spans="2:7" x14ac:dyDescent="0.25">
      <c r="B525" s="153">
        <v>44977</v>
      </c>
      <c r="C525" s="154">
        <v>1014.580811</v>
      </c>
      <c r="D525" s="14">
        <f t="shared" si="18"/>
        <v>-5.9035743117979544E-2</v>
      </c>
      <c r="F525" s="154">
        <v>17465.800781000002</v>
      </c>
      <c r="G525" s="14">
        <f t="shared" si="19"/>
        <v>-2.6660339208308015E-2</v>
      </c>
    </row>
    <row r="526" spans="2:7" x14ac:dyDescent="0.25">
      <c r="B526" s="153">
        <v>44984</v>
      </c>
      <c r="C526" s="154">
        <v>1077.038086</v>
      </c>
      <c r="D526" s="14">
        <f t="shared" si="18"/>
        <v>6.1559684869695319E-2</v>
      </c>
      <c r="F526" s="154">
        <v>17594.349609000001</v>
      </c>
      <c r="G526" s="14">
        <f t="shared" si="19"/>
        <v>7.3600305884538031E-3</v>
      </c>
    </row>
    <row r="527" spans="2:7" x14ac:dyDescent="0.25">
      <c r="B527" s="153">
        <v>44991</v>
      </c>
      <c r="C527" s="154">
        <v>1040.07251</v>
      </c>
      <c r="D527" s="14">
        <f t="shared" si="18"/>
        <v>-3.4321512377789798E-2</v>
      </c>
      <c r="F527" s="154">
        <v>17412.900390999999</v>
      </c>
      <c r="G527" s="14">
        <f t="shared" si="19"/>
        <v>-1.0312925571695164E-2</v>
      </c>
    </row>
    <row r="528" spans="2:7" x14ac:dyDescent="0.25">
      <c r="B528" s="153">
        <v>44998</v>
      </c>
      <c r="C528" s="154">
        <v>1040.272095</v>
      </c>
      <c r="D528" s="14">
        <f t="shared" si="18"/>
        <v>1.918952746862157E-4</v>
      </c>
      <c r="F528" s="154">
        <v>17100.050781000002</v>
      </c>
      <c r="G528" s="14">
        <f t="shared" si="19"/>
        <v>-1.7966542217268788E-2</v>
      </c>
    </row>
    <row r="529" spans="2:7" x14ac:dyDescent="0.25">
      <c r="B529" s="153">
        <v>45005</v>
      </c>
      <c r="C529" s="154">
        <v>1014.580811</v>
      </c>
      <c r="D529" s="14">
        <f t="shared" si="18"/>
        <v>-2.4696696300403942E-2</v>
      </c>
      <c r="F529" s="154">
        <v>16945.050781000002</v>
      </c>
      <c r="G529" s="14">
        <f t="shared" si="19"/>
        <v>-9.0643005675878907E-3</v>
      </c>
    </row>
    <row r="530" spans="2:7" x14ac:dyDescent="0.25">
      <c r="B530" s="153">
        <v>45012</v>
      </c>
      <c r="C530" s="154">
        <v>1006.050293</v>
      </c>
      <c r="D530" s="14">
        <f t="shared" si="18"/>
        <v>-8.4079236542943248E-3</v>
      </c>
      <c r="F530" s="154">
        <v>17359.75</v>
      </c>
      <c r="G530" s="14">
        <f t="shared" si="19"/>
        <v>2.4473176525678486E-2</v>
      </c>
    </row>
    <row r="531" spans="2:7" x14ac:dyDescent="0.25">
      <c r="B531" s="153">
        <v>45019</v>
      </c>
      <c r="C531" s="154">
        <v>1084.2714840000001</v>
      </c>
      <c r="D531" s="14">
        <f t="shared" si="18"/>
        <v>7.7750776024076984E-2</v>
      </c>
      <c r="F531" s="154">
        <v>17599.150390999999</v>
      </c>
      <c r="G531" s="14">
        <f t="shared" si="19"/>
        <v>1.3790543700226143E-2</v>
      </c>
    </row>
    <row r="532" spans="2:7" x14ac:dyDescent="0.25">
      <c r="B532" s="153">
        <v>45026</v>
      </c>
      <c r="C532" s="154">
        <v>1080.180908</v>
      </c>
      <c r="D532" s="14">
        <f t="shared" si="18"/>
        <v>-3.7726492491617636E-3</v>
      </c>
      <c r="F532" s="154">
        <v>17828</v>
      </c>
      <c r="G532" s="14">
        <f t="shared" si="19"/>
        <v>1.3003446411653519E-2</v>
      </c>
    </row>
    <row r="533" spans="2:7" x14ac:dyDescent="0.25">
      <c r="B533" s="153">
        <v>45033</v>
      </c>
      <c r="C533" s="154">
        <v>1144.234375</v>
      </c>
      <c r="D533" s="14">
        <f t="shared" si="18"/>
        <v>5.9298832747004981E-2</v>
      </c>
      <c r="F533" s="154">
        <v>17624.050781000002</v>
      </c>
      <c r="G533" s="14">
        <f t="shared" si="19"/>
        <v>-1.1439826060130054E-2</v>
      </c>
    </row>
    <row r="534" spans="2:7" x14ac:dyDescent="0.25">
      <c r="B534" s="153">
        <v>45040</v>
      </c>
      <c r="C534" s="154">
        <v>1150.919189</v>
      </c>
      <c r="D534" s="14">
        <f t="shared" si="18"/>
        <v>5.8421719763488422E-3</v>
      </c>
      <c r="F534" s="154">
        <v>18065</v>
      </c>
      <c r="G534" s="14">
        <f t="shared" si="19"/>
        <v>2.5019742877464557E-2</v>
      </c>
    </row>
    <row r="535" spans="2:7" x14ac:dyDescent="0.25">
      <c r="B535" s="153">
        <v>45047</v>
      </c>
      <c r="C535" s="154">
        <v>1206.741577</v>
      </c>
      <c r="D535" s="14">
        <f t="shared" si="18"/>
        <v>4.8502439209917592E-2</v>
      </c>
      <c r="F535" s="154">
        <v>18069</v>
      </c>
      <c r="G535" s="14">
        <f t="shared" si="19"/>
        <v>2.2142264046509652E-4</v>
      </c>
    </row>
    <row r="536" spans="2:7" x14ac:dyDescent="0.25">
      <c r="B536" s="153">
        <v>45054</v>
      </c>
      <c r="C536" s="154">
        <v>1298.082764</v>
      </c>
      <c r="D536" s="14">
        <f t="shared" si="18"/>
        <v>7.569241728380427E-2</v>
      </c>
      <c r="F536" s="154">
        <v>18314.800781000002</v>
      </c>
      <c r="G536" s="14">
        <f t="shared" si="19"/>
        <v>1.3603452376999448E-2</v>
      </c>
    </row>
    <row r="537" spans="2:7" x14ac:dyDescent="0.25">
      <c r="B537" s="153">
        <v>45061</v>
      </c>
      <c r="C537" s="154">
        <v>1400.4487300000001</v>
      </c>
      <c r="D537" s="14">
        <f t="shared" si="18"/>
        <v>7.8859352299357699E-2</v>
      </c>
      <c r="F537" s="154">
        <v>18203.400390999999</v>
      </c>
      <c r="G537" s="14">
        <f t="shared" si="19"/>
        <v>-6.0825335384249168E-3</v>
      </c>
    </row>
    <row r="538" spans="2:7" x14ac:dyDescent="0.25">
      <c r="B538" s="153">
        <v>45068</v>
      </c>
      <c r="C538" s="154">
        <v>1503.962158</v>
      </c>
      <c r="D538" s="14">
        <f t="shared" si="18"/>
        <v>7.3914471685086136E-2</v>
      </c>
      <c r="F538" s="154">
        <v>18499.349609000001</v>
      </c>
      <c r="G538" s="14">
        <f t="shared" si="19"/>
        <v>1.6257908502980811E-2</v>
      </c>
    </row>
    <row r="539" spans="2:7" x14ac:dyDescent="0.25">
      <c r="B539" s="153">
        <v>45075</v>
      </c>
      <c r="C539" s="154">
        <v>1457.1191409999999</v>
      </c>
      <c r="D539" s="14">
        <f t="shared" si="18"/>
        <v>-3.1146406677075578E-2</v>
      </c>
      <c r="F539" s="154">
        <v>18534.099609000001</v>
      </c>
      <c r="G539" s="14">
        <f t="shared" si="19"/>
        <v>1.8784444174779757E-3</v>
      </c>
    </row>
    <row r="540" spans="2:7" x14ac:dyDescent="0.25">
      <c r="B540" s="153">
        <v>45082</v>
      </c>
      <c r="C540" s="154">
        <v>1413.768311</v>
      </c>
      <c r="D540" s="14">
        <f t="shared" si="18"/>
        <v>-2.9751053829578322E-2</v>
      </c>
      <c r="F540" s="154">
        <v>18563.400390999999</v>
      </c>
      <c r="G540" s="14">
        <f t="shared" si="19"/>
        <v>1.5809120819534339E-3</v>
      </c>
    </row>
    <row r="541" spans="2:7" x14ac:dyDescent="0.25">
      <c r="B541" s="153">
        <v>45089</v>
      </c>
      <c r="C541" s="154">
        <v>1414.815918</v>
      </c>
      <c r="D541" s="14">
        <f t="shared" si="18"/>
        <v>7.4100331139748121E-4</v>
      </c>
      <c r="F541" s="154">
        <v>18826</v>
      </c>
      <c r="G541" s="14">
        <f t="shared" si="19"/>
        <v>1.4146094113625551E-2</v>
      </c>
    </row>
    <row r="542" spans="2:7" x14ac:dyDescent="0.25">
      <c r="B542" s="153">
        <v>45096</v>
      </c>
      <c r="C542" s="154">
        <v>1417.95874</v>
      </c>
      <c r="D542" s="14">
        <f t="shared" si="18"/>
        <v>2.2213646029956013E-3</v>
      </c>
      <c r="F542" s="154">
        <v>18665.5</v>
      </c>
      <c r="G542" s="14">
        <f t="shared" si="19"/>
        <v>-8.5254435355359703E-3</v>
      </c>
    </row>
    <row r="543" spans="2:7" x14ac:dyDescent="0.25">
      <c r="B543" s="153">
        <v>45103</v>
      </c>
      <c r="C543" s="154">
        <v>1425.6412350000001</v>
      </c>
      <c r="D543" s="14">
        <f t="shared" si="18"/>
        <v>5.4179961541052091E-3</v>
      </c>
      <c r="F543" s="154">
        <v>19189.050781000002</v>
      </c>
      <c r="G543" s="14">
        <f t="shared" si="19"/>
        <v>2.804911633762841E-2</v>
      </c>
    </row>
    <row r="544" spans="2:7" x14ac:dyDescent="0.25">
      <c r="B544" s="153">
        <v>45110</v>
      </c>
      <c r="C544" s="154">
        <v>1445.1464840000001</v>
      </c>
      <c r="D544" s="14">
        <f t="shared" si="18"/>
        <v>1.3681737397277294E-2</v>
      </c>
      <c r="F544" s="154">
        <v>19331.800781000002</v>
      </c>
      <c r="G544" s="14">
        <f t="shared" si="19"/>
        <v>7.4391381642151533E-3</v>
      </c>
    </row>
    <row r="545" spans="2:7" x14ac:dyDescent="0.25">
      <c r="B545" s="153">
        <v>45117</v>
      </c>
      <c r="C545" s="154">
        <v>1422.4483640000001</v>
      </c>
      <c r="D545" s="14">
        <f t="shared" si="18"/>
        <v>-1.5706449312442139E-2</v>
      </c>
      <c r="F545" s="154">
        <v>19564.5</v>
      </c>
      <c r="G545" s="14">
        <f t="shared" si="19"/>
        <v>1.2037120681933855E-2</v>
      </c>
    </row>
    <row r="546" spans="2:7" x14ac:dyDescent="0.25">
      <c r="B546" s="153">
        <v>45124</v>
      </c>
      <c r="C546" s="154">
        <v>1496.4792480000001</v>
      </c>
      <c r="D546" s="14">
        <f t="shared" si="18"/>
        <v>5.2044689897790875E-2</v>
      </c>
      <c r="F546" s="154">
        <v>19745</v>
      </c>
      <c r="G546" s="14">
        <f t="shared" si="19"/>
        <v>9.225893838329613E-3</v>
      </c>
    </row>
    <row r="547" spans="2:7" x14ac:dyDescent="0.25">
      <c r="B547" s="153">
        <v>45131</v>
      </c>
      <c r="C547" s="154">
        <v>1571.4578859999999</v>
      </c>
      <c r="D547" s="14">
        <f t="shared" si="18"/>
        <v>5.0103359669174452E-2</v>
      </c>
      <c r="F547" s="154">
        <v>19646.050781000002</v>
      </c>
      <c r="G547" s="14">
        <f t="shared" si="19"/>
        <v>-5.0113557356291638E-3</v>
      </c>
    </row>
    <row r="548" spans="2:7" x14ac:dyDescent="0.25">
      <c r="B548" s="153">
        <v>45138</v>
      </c>
      <c r="C548" s="154">
        <v>1583.349976</v>
      </c>
      <c r="D548" s="14">
        <f t="shared" si="18"/>
        <v>7.5675524657363713E-3</v>
      </c>
      <c r="F548" s="154">
        <v>19517</v>
      </c>
      <c r="G548" s="14">
        <f t="shared" si="19"/>
        <v>-6.568789953694365E-3</v>
      </c>
    </row>
    <row r="549" spans="2:7" x14ac:dyDescent="0.25">
      <c r="B549" s="153">
        <v>45145</v>
      </c>
      <c r="C549" s="154">
        <v>1544.849976</v>
      </c>
      <c r="D549" s="14">
        <f t="shared" si="18"/>
        <v>-2.4315533889268215E-2</v>
      </c>
      <c r="F549" s="154">
        <v>19428.300781000002</v>
      </c>
      <c r="G549" s="14">
        <f t="shared" si="19"/>
        <v>-4.5447158374749552E-3</v>
      </c>
    </row>
    <row r="550" spans="2:7" x14ac:dyDescent="0.25">
      <c r="B550" s="153">
        <v>45152</v>
      </c>
      <c r="C550" s="154">
        <v>1498.0500489999999</v>
      </c>
      <c r="D550" s="14">
        <f t="shared" si="18"/>
        <v>-3.0294156537566619E-2</v>
      </c>
      <c r="F550" s="154">
        <v>19310.150390999999</v>
      </c>
      <c r="G550" s="14">
        <f t="shared" si="19"/>
        <v>-6.0813547891717112E-3</v>
      </c>
    </row>
    <row r="551" spans="2:7" x14ac:dyDescent="0.25">
      <c r="B551" s="153">
        <v>45159</v>
      </c>
      <c r="C551" s="154">
        <v>1515.5500489999999</v>
      </c>
      <c r="D551" s="14">
        <f t="shared" si="18"/>
        <v>1.1681852693561146E-2</v>
      </c>
      <c r="F551" s="154">
        <v>19265.800781000002</v>
      </c>
      <c r="G551" s="14">
        <f t="shared" si="19"/>
        <v>-2.2966993576947203E-3</v>
      </c>
    </row>
    <row r="552" spans="2:7" x14ac:dyDescent="0.25">
      <c r="B552" s="153">
        <v>45166</v>
      </c>
      <c r="C552" s="154">
        <v>1583.1999510000001</v>
      </c>
      <c r="D552" s="14">
        <f t="shared" si="18"/>
        <v>4.4637194294333771E-2</v>
      </c>
      <c r="F552" s="154">
        <v>19435.300781000002</v>
      </c>
      <c r="G552" s="14">
        <f t="shared" si="19"/>
        <v>8.797973254616176E-3</v>
      </c>
    </row>
    <row r="553" spans="2:7" x14ac:dyDescent="0.25">
      <c r="B553" s="153">
        <v>45173</v>
      </c>
      <c r="C553" s="154">
        <v>1580.8000489999999</v>
      </c>
      <c r="D553" s="14">
        <f t="shared" si="18"/>
        <v>-1.5158552768298472E-3</v>
      </c>
      <c r="F553" s="154">
        <v>19819.949218999998</v>
      </c>
      <c r="G553" s="14">
        <f t="shared" si="19"/>
        <v>1.9791226404688889E-2</v>
      </c>
    </row>
    <row r="554" spans="2:7" x14ac:dyDescent="0.25">
      <c r="B554" s="153">
        <v>45180</v>
      </c>
      <c r="C554" s="154">
        <v>1535.150024</v>
      </c>
      <c r="D554" s="14">
        <f t="shared" si="18"/>
        <v>-2.8877798320462889E-2</v>
      </c>
      <c r="F554" s="154">
        <v>20192.349609000001</v>
      </c>
      <c r="G554" s="14">
        <f t="shared" si="19"/>
        <v>1.8789169734249711E-2</v>
      </c>
    </row>
    <row r="555" spans="2:7" x14ac:dyDescent="0.25">
      <c r="B555" s="153">
        <v>45187</v>
      </c>
      <c r="C555" s="154">
        <v>1549.150024</v>
      </c>
      <c r="D555" s="14">
        <f t="shared" si="18"/>
        <v>9.1196298610096704E-3</v>
      </c>
      <c r="F555" s="154">
        <v>19674.25</v>
      </c>
      <c r="G555" s="14">
        <f t="shared" si="19"/>
        <v>-2.5658213087251469E-2</v>
      </c>
    </row>
    <row r="556" spans="2:7" x14ac:dyDescent="0.25">
      <c r="B556" s="153">
        <v>45194</v>
      </c>
      <c r="C556" s="154">
        <v>1485.8000489999999</v>
      </c>
      <c r="D556" s="14">
        <f t="shared" si="18"/>
        <v>-4.0893376379665614E-2</v>
      </c>
      <c r="F556" s="154">
        <v>19638.300781000002</v>
      </c>
      <c r="G556" s="14">
        <f t="shared" si="19"/>
        <v>-1.8272218254824502E-3</v>
      </c>
    </row>
    <row r="557" spans="2:7" x14ac:dyDescent="0.25">
      <c r="B557" s="153">
        <v>45201</v>
      </c>
      <c r="C557" s="154">
        <v>1506.4499510000001</v>
      </c>
      <c r="D557" s="14">
        <f t="shared" si="18"/>
        <v>1.389817022411477E-2</v>
      </c>
      <c r="F557" s="154">
        <v>19653.5</v>
      </c>
      <c r="G557" s="14">
        <f t="shared" si="19"/>
        <v>7.7395794928980521E-4</v>
      </c>
    </row>
    <row r="558" spans="2:7" x14ac:dyDescent="0.25">
      <c r="B558" s="153">
        <v>45208</v>
      </c>
      <c r="C558" s="154">
        <v>1455.400024</v>
      </c>
      <c r="D558" s="14">
        <f t="shared" si="18"/>
        <v>-3.3887569225988901E-2</v>
      </c>
      <c r="F558" s="154">
        <v>19751.050781000002</v>
      </c>
      <c r="G558" s="14">
        <f t="shared" si="19"/>
        <v>4.96353224616497E-3</v>
      </c>
    </row>
    <row r="559" spans="2:7" x14ac:dyDescent="0.25">
      <c r="B559" s="153">
        <v>45215</v>
      </c>
      <c r="C559" s="154">
        <v>1458.599976</v>
      </c>
      <c r="D559" s="14">
        <f t="shared" si="18"/>
        <v>2.1986752420171118E-3</v>
      </c>
      <c r="F559" s="154">
        <v>19542.650390999999</v>
      </c>
      <c r="G559" s="14">
        <f t="shared" si="19"/>
        <v>-1.0551357105540893E-2</v>
      </c>
    </row>
    <row r="560" spans="2:7" x14ac:dyDescent="0.25">
      <c r="B560" s="153">
        <v>45222</v>
      </c>
      <c r="C560" s="154">
        <v>1411.8000489999999</v>
      </c>
      <c r="D560" s="14">
        <f t="shared" si="18"/>
        <v>-3.2085511977274273E-2</v>
      </c>
      <c r="F560" s="154">
        <v>19047.25</v>
      </c>
      <c r="G560" s="14">
        <f t="shared" si="19"/>
        <v>-2.5349703396840506E-2</v>
      </c>
    </row>
    <row r="561" spans="2:7" x14ac:dyDescent="0.25">
      <c r="B561" s="153">
        <v>45229</v>
      </c>
      <c r="C561" s="154">
        <v>1464.099976</v>
      </c>
      <c r="D561" s="14">
        <f t="shared" si="18"/>
        <v>3.7044854217879397E-2</v>
      </c>
      <c r="F561" s="154">
        <v>19230.599609000001</v>
      </c>
      <c r="G561" s="14">
        <f t="shared" si="19"/>
        <v>9.6260409770438926E-3</v>
      </c>
    </row>
    <row r="562" spans="2:7" x14ac:dyDescent="0.25">
      <c r="B562" s="153">
        <v>45233</v>
      </c>
      <c r="C562" s="154">
        <v>1473.0500489999999</v>
      </c>
      <c r="D562" s="14">
        <f t="shared" si="18"/>
        <v>6.1130203857062693E-3</v>
      </c>
      <c r="F562" s="154">
        <v>19230.599609000001</v>
      </c>
      <c r="G562" s="14">
        <f t="shared" si="19"/>
        <v>0</v>
      </c>
    </row>
  </sheetData>
  <mergeCells count="10">
    <mergeCell ref="B341:D341"/>
    <mergeCell ref="F341:G341"/>
    <mergeCell ref="B453:D453"/>
    <mergeCell ref="F453:G453"/>
    <mergeCell ref="B5:D5"/>
    <mergeCell ref="F5:G5"/>
    <mergeCell ref="B117:D117"/>
    <mergeCell ref="F117:G117"/>
    <mergeCell ref="B229:D229"/>
    <mergeCell ref="F229:G22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showGridLines="0" topLeftCell="A10" workbookViewId="0">
      <selection activeCell="G7" sqref="G7"/>
    </sheetView>
  </sheetViews>
  <sheetFormatPr defaultRowHeight="15" x14ac:dyDescent="0.25"/>
  <cols>
    <col min="1" max="1" width="1.85546875" customWidth="1"/>
    <col min="6" max="6" width="18.85546875" bestFit="1" customWidth="1"/>
  </cols>
  <sheetData>
    <row r="2" spans="2:7" x14ac:dyDescent="0.25">
      <c r="B2" s="129" t="s">
        <v>154</v>
      </c>
      <c r="C2" s="129" t="s">
        <v>303</v>
      </c>
    </row>
    <row r="3" spans="2:7" x14ac:dyDescent="0.25">
      <c r="B3" s="129">
        <v>2000</v>
      </c>
      <c r="C3" s="14">
        <v>-0.14649999999999999</v>
      </c>
      <c r="E3">
        <v>100</v>
      </c>
    </row>
    <row r="4" spans="2:7" x14ac:dyDescent="0.25">
      <c r="B4" s="129">
        <v>2001</v>
      </c>
      <c r="C4" s="14">
        <v>-0.1618</v>
      </c>
      <c r="D4" s="128"/>
      <c r="F4" t="s">
        <v>316</v>
      </c>
      <c r="G4" s="14">
        <f>AVERAGE(C3:C25)</f>
        <v>0.15443478260869564</v>
      </c>
    </row>
    <row r="5" spans="2:7" ht="17.25" x14ac:dyDescent="0.25">
      <c r="B5" s="129">
        <v>2002</v>
      </c>
      <c r="C5" s="14">
        <v>3.2500000000000001E-2</v>
      </c>
      <c r="F5" t="s">
        <v>317</v>
      </c>
      <c r="G5" s="127" t="s">
        <v>319</v>
      </c>
    </row>
    <row r="6" spans="2:7" x14ac:dyDescent="0.25">
      <c r="B6" s="129">
        <v>2003</v>
      </c>
      <c r="C6" s="14">
        <v>0.71900000000000008</v>
      </c>
    </row>
    <row r="7" spans="2:7" x14ac:dyDescent="0.25">
      <c r="B7" s="129">
        <v>2004</v>
      </c>
      <c r="C7" s="14">
        <v>0.10679999999999999</v>
      </c>
      <c r="F7" t="s">
        <v>318</v>
      </c>
      <c r="G7" s="14">
        <f>SUM(G4:G5)</f>
        <v>0.15443478260869564</v>
      </c>
    </row>
    <row r="8" spans="2:7" x14ac:dyDescent="0.25">
      <c r="B8" s="129">
        <v>2005</v>
      </c>
      <c r="C8" s="14">
        <v>0.36340000000000006</v>
      </c>
    </row>
    <row r="9" spans="2:7" x14ac:dyDescent="0.25">
      <c r="B9" s="129">
        <v>2006</v>
      </c>
      <c r="C9" s="14">
        <v>0.39829999999999999</v>
      </c>
    </row>
    <row r="10" spans="2:7" x14ac:dyDescent="0.25">
      <c r="B10" s="129">
        <v>2007</v>
      </c>
      <c r="C10" s="14">
        <v>0.54770000000000008</v>
      </c>
    </row>
    <row r="11" spans="2:7" x14ac:dyDescent="0.25">
      <c r="B11" s="129">
        <v>2008</v>
      </c>
      <c r="C11" s="14">
        <v>-0.51790000000000003</v>
      </c>
    </row>
    <row r="12" spans="2:7" x14ac:dyDescent="0.25">
      <c r="B12" s="129">
        <v>2009</v>
      </c>
      <c r="C12" s="14">
        <v>0.75760000000000005</v>
      </c>
    </row>
    <row r="13" spans="2:7" x14ac:dyDescent="0.25">
      <c r="B13" s="129">
        <v>2010</v>
      </c>
      <c r="C13" s="14">
        <v>0.17949999999999999</v>
      </c>
    </row>
    <row r="14" spans="2:7" x14ac:dyDescent="0.25">
      <c r="B14" s="129">
        <v>2011</v>
      </c>
      <c r="C14" s="14">
        <v>-0.2462</v>
      </c>
    </row>
    <row r="15" spans="2:7" x14ac:dyDescent="0.25">
      <c r="B15" s="129">
        <v>2012</v>
      </c>
      <c r="C15" s="14">
        <v>0.27699999999999997</v>
      </c>
    </row>
    <row r="16" spans="2:7" x14ac:dyDescent="0.25">
      <c r="B16" s="129">
        <v>2013</v>
      </c>
      <c r="C16" s="14">
        <v>6.7599999999999993E-2</v>
      </c>
    </row>
    <row r="17" spans="2:3" x14ac:dyDescent="0.25">
      <c r="B17" s="129">
        <v>2014</v>
      </c>
      <c r="C17" s="14">
        <v>0.31390000000000001</v>
      </c>
    </row>
    <row r="18" spans="2:3" x14ac:dyDescent="0.25">
      <c r="B18" s="129">
        <v>2015</v>
      </c>
      <c r="C18" s="14">
        <v>-4.0599999999999997E-2</v>
      </c>
    </row>
    <row r="19" spans="2:3" x14ac:dyDescent="0.25">
      <c r="B19" s="129">
        <v>2016</v>
      </c>
      <c r="C19" s="14">
        <v>3.0099999999999998E-2</v>
      </c>
    </row>
    <row r="20" spans="2:3" x14ac:dyDescent="0.25">
      <c r="B20" s="129">
        <v>2017</v>
      </c>
      <c r="C20" s="14">
        <v>0.28649999999999998</v>
      </c>
    </row>
    <row r="21" spans="2:3" x14ac:dyDescent="0.25">
      <c r="B21" s="129">
        <v>2018</v>
      </c>
      <c r="C21" s="14">
        <v>3.15E-2</v>
      </c>
    </row>
    <row r="22" spans="2:3" x14ac:dyDescent="0.25">
      <c r="B22" s="129">
        <v>2019</v>
      </c>
      <c r="C22" s="14">
        <v>0.1202</v>
      </c>
    </row>
    <row r="23" spans="2:3" x14ac:dyDescent="0.25">
      <c r="B23" s="129">
        <v>2020</v>
      </c>
      <c r="C23" s="14">
        <v>0.14899999999999999</v>
      </c>
    </row>
    <row r="24" spans="2:3" x14ac:dyDescent="0.25">
      <c r="B24" s="129">
        <v>2021</v>
      </c>
      <c r="C24" s="14">
        <v>0.2412</v>
      </c>
    </row>
    <row r="25" spans="2:3" x14ac:dyDescent="0.25">
      <c r="B25" s="129">
        <v>2022</v>
      </c>
      <c r="C25" s="14">
        <v>4.3200000000000002E-2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5"/>
  <sheetViews>
    <sheetView showGridLines="0" zoomScale="90" zoomScaleNormal="90" workbookViewId="0">
      <selection activeCell="D9" sqref="D9"/>
    </sheetView>
  </sheetViews>
  <sheetFormatPr defaultRowHeight="15" x14ac:dyDescent="0.25"/>
  <cols>
    <col min="1" max="1" width="1.85546875" style="195" customWidth="1"/>
    <col min="2" max="2" width="17" style="195" customWidth="1"/>
    <col min="3" max="3" width="12.140625" style="195" customWidth="1"/>
    <col min="4" max="4" width="6" style="195" customWidth="1"/>
    <col min="5" max="5" width="11.85546875" style="195" customWidth="1"/>
    <col min="6" max="6" width="12.140625" style="195" bestFit="1" customWidth="1"/>
    <col min="7" max="7" width="9" style="195" customWidth="1"/>
    <col min="8" max="8" width="15.85546875" style="195" bestFit="1" customWidth="1"/>
    <col min="9" max="9" width="1.85546875" style="195" customWidth="1"/>
    <col min="10" max="10" width="8.85546875" style="195" customWidth="1"/>
    <col min="11" max="11" width="7.28515625" style="195" customWidth="1"/>
    <col min="12" max="12" width="11.28515625" style="195" bestFit="1" customWidth="1"/>
    <col min="13" max="13" width="1.85546875" style="195" customWidth="1"/>
    <col min="14" max="14" width="12.42578125" style="195" customWidth="1"/>
    <col min="15" max="15" width="13.28515625" style="195" customWidth="1"/>
    <col min="16" max="16" width="12.42578125" style="195" customWidth="1"/>
    <col min="17" max="16384" width="9.140625" style="195"/>
  </cols>
  <sheetData>
    <row r="3" spans="1:16" x14ac:dyDescent="0.25">
      <c r="B3" s="197" t="s">
        <v>370</v>
      </c>
    </row>
    <row r="4" spans="1:16" x14ac:dyDescent="0.25">
      <c r="B4" s="229" t="s">
        <v>369</v>
      </c>
      <c r="C4" s="228"/>
      <c r="D4" s="228"/>
      <c r="E4" s="228"/>
      <c r="F4" s="228"/>
      <c r="G4" s="228"/>
      <c r="H4" s="228"/>
      <c r="I4" s="228"/>
      <c r="J4" s="228"/>
    </row>
    <row r="5" spans="1:16" ht="4.5" customHeight="1" x14ac:dyDescent="0.25">
      <c r="A5" s="195" t="s">
        <v>368</v>
      </c>
    </row>
    <row r="6" spans="1:16" x14ac:dyDescent="0.25">
      <c r="B6" s="205"/>
      <c r="C6" s="205"/>
      <c r="D6" s="239" t="s">
        <v>367</v>
      </c>
      <c r="E6" s="239"/>
      <c r="F6" s="239"/>
      <c r="G6" s="239"/>
      <c r="H6" s="239"/>
      <c r="I6" s="205"/>
      <c r="J6" s="227" t="s">
        <v>366</v>
      </c>
      <c r="K6" s="227"/>
      <c r="L6" s="227"/>
      <c r="M6" s="226"/>
      <c r="N6" s="239" t="s">
        <v>365</v>
      </c>
      <c r="O6" s="239"/>
      <c r="P6" s="239"/>
    </row>
    <row r="7" spans="1:16" ht="30" x14ac:dyDescent="0.25">
      <c r="B7" s="205" t="s">
        <v>364</v>
      </c>
      <c r="C7" s="205" t="s">
        <v>363</v>
      </c>
      <c r="D7" s="225" t="s">
        <v>362</v>
      </c>
      <c r="E7" s="225" t="s">
        <v>361</v>
      </c>
      <c r="F7" s="204" t="s">
        <v>360</v>
      </c>
      <c r="G7" s="204" t="s">
        <v>347</v>
      </c>
      <c r="H7" s="204" t="s">
        <v>359</v>
      </c>
      <c r="I7" s="204"/>
      <c r="J7" s="204" t="s">
        <v>358</v>
      </c>
      <c r="K7" s="204" t="s">
        <v>64</v>
      </c>
      <c r="L7" s="204" t="s">
        <v>357</v>
      </c>
      <c r="M7" s="204"/>
      <c r="N7" s="204" t="s">
        <v>351</v>
      </c>
      <c r="O7" s="204" t="s">
        <v>350</v>
      </c>
      <c r="P7" s="204" t="s">
        <v>349</v>
      </c>
    </row>
    <row r="8" spans="1:16" s="221" customFormat="1" ht="4.5" customHeight="1" x14ac:dyDescent="0.25">
      <c r="B8" s="222"/>
      <c r="C8" s="222"/>
      <c r="D8" s="224"/>
      <c r="E8" s="224"/>
      <c r="F8" s="223"/>
      <c r="G8" s="223"/>
      <c r="H8" s="223"/>
      <c r="I8" s="222"/>
      <c r="J8" s="222"/>
      <c r="K8" s="222"/>
      <c r="L8" s="222"/>
      <c r="M8" s="222"/>
      <c r="N8" s="222"/>
      <c r="O8" s="222"/>
      <c r="P8" s="222"/>
    </row>
    <row r="9" spans="1:16" s="216" customFormat="1" ht="15" customHeight="1" x14ac:dyDescent="0.25">
      <c r="B9" s="219" t="str">
        <f>'Comps Data'!C3</f>
        <v>Asian Paints</v>
      </c>
      <c r="C9" s="219"/>
      <c r="D9" s="220">
        <f>'Comps Data'!D3</f>
        <v>3029.3</v>
      </c>
      <c r="E9" s="230">
        <f>'Comps Data'!E3</f>
        <v>95.92</v>
      </c>
      <c r="F9" s="220">
        <f t="shared" ref="F9:F16" si="0">E9*D9</f>
        <v>290570.45600000001</v>
      </c>
      <c r="G9" s="220">
        <f>'Comps Data'!I3</f>
        <v>1482.9499999999998</v>
      </c>
      <c r="H9" s="220">
        <f>F9+G9</f>
        <v>292053.40600000002</v>
      </c>
      <c r="I9" s="220"/>
      <c r="J9" s="220">
        <f>'Comps Data'!J3</f>
        <v>35084.959999999999</v>
      </c>
      <c r="K9" s="220">
        <f>'Comps Data'!O3</f>
        <v>7986.8200000000006</v>
      </c>
      <c r="L9" s="220">
        <f>'Comps Data'!L3</f>
        <v>4195.33</v>
      </c>
      <c r="M9" s="219"/>
      <c r="N9" s="218">
        <f t="shared" ref="N9:O16" si="1">$H9/J9</f>
        <v>8.32417668425445</v>
      </c>
      <c r="O9" s="218">
        <f t="shared" si="1"/>
        <v>36.566919750288598</v>
      </c>
      <c r="P9" s="217">
        <f t="shared" ref="P9:P16" si="2">F9/L9</f>
        <v>69.260452932188883</v>
      </c>
    </row>
    <row r="10" spans="1:16" x14ac:dyDescent="0.25">
      <c r="B10" s="219" t="str">
        <f>'Comps Data'!C4</f>
        <v>Berger Paints</v>
      </c>
      <c r="C10" s="214"/>
      <c r="D10" s="215">
        <f>'Comps Data'!D4</f>
        <v>569.15</v>
      </c>
      <c r="E10" s="231">
        <f>'Comps Data'!E4</f>
        <v>116.57</v>
      </c>
      <c r="F10" s="215">
        <f t="shared" si="0"/>
        <v>66345.815499999997</v>
      </c>
      <c r="G10" s="232">
        <f>'Comps Data'!I4</f>
        <v>909.48</v>
      </c>
      <c r="H10" s="215">
        <f>F10+G10</f>
        <v>67255.295499999993</v>
      </c>
      <c r="I10" s="215"/>
      <c r="J10" s="232">
        <f>'Comps Data'!J4</f>
        <v>10934.03</v>
      </c>
      <c r="K10" s="232">
        <f>'Comps Data'!O4</f>
        <v>1791.52</v>
      </c>
      <c r="L10" s="232">
        <f>'Comps Data'!L4</f>
        <v>860.4</v>
      </c>
      <c r="M10" s="214"/>
      <c r="N10" s="213">
        <f t="shared" si="1"/>
        <v>6.1510070394904703</v>
      </c>
      <c r="O10" s="213">
        <f t="shared" si="1"/>
        <v>37.540912465392509</v>
      </c>
      <c r="P10" s="212">
        <f t="shared" si="2"/>
        <v>77.110431775918173</v>
      </c>
    </row>
    <row r="11" spans="1:16" x14ac:dyDescent="0.25">
      <c r="B11" s="219" t="str">
        <f>'Comps Data'!C5</f>
        <v>Kansai Nerolac</v>
      </c>
      <c r="C11" s="214"/>
      <c r="D11" s="215">
        <f>'Comps Data'!D5</f>
        <v>305.8</v>
      </c>
      <c r="E11" s="231">
        <f>'Comps Data'!E5</f>
        <v>80.84</v>
      </c>
      <c r="F11" s="215">
        <f t="shared" si="0"/>
        <v>24720.872000000003</v>
      </c>
      <c r="G11" s="232">
        <f>'Comps Data'!I5</f>
        <v>196.40999999999997</v>
      </c>
      <c r="H11" s="215">
        <f>F11+G11</f>
        <v>24917.282000000003</v>
      </c>
      <c r="I11" s="215"/>
      <c r="J11" s="232">
        <f>'Comps Data'!J5</f>
        <v>7673.74</v>
      </c>
      <c r="K11" s="232">
        <f>'Comps Data'!O5</f>
        <v>1024.6399999999999</v>
      </c>
      <c r="L11" s="232">
        <f>'Comps Data'!L5</f>
        <v>468.47</v>
      </c>
      <c r="M11" s="214"/>
      <c r="N11" s="213">
        <f t="shared" si="1"/>
        <v>3.2470844724997203</v>
      </c>
      <c r="O11" s="213">
        <f t="shared" si="1"/>
        <v>24.318084400374772</v>
      </c>
      <c r="P11" s="212">
        <f t="shared" si="2"/>
        <v>52.769381177023078</v>
      </c>
    </row>
    <row r="12" spans="1:16" x14ac:dyDescent="0.25">
      <c r="B12" s="219" t="str">
        <f>'Comps Data'!C6</f>
        <v>Akzo Nobel</v>
      </c>
      <c r="C12" s="214"/>
      <c r="D12" s="215">
        <f>'Comps Data'!D6</f>
        <v>2440.25</v>
      </c>
      <c r="E12" s="231">
        <f>'Comps Data'!E6</f>
        <v>4.55</v>
      </c>
      <c r="F12" s="215">
        <f t="shared" si="0"/>
        <v>11103.137499999999</v>
      </c>
      <c r="G12" s="232">
        <f>'Comps Data'!I6</f>
        <v>-500.40000000000003</v>
      </c>
      <c r="H12" s="215">
        <f t="shared" ref="H12:H16" si="3">F12+G12</f>
        <v>10602.737499999999</v>
      </c>
      <c r="I12" s="215"/>
      <c r="J12" s="232">
        <f>'Comps Data'!J6</f>
        <v>3893.7</v>
      </c>
      <c r="K12" s="232">
        <f>'Comps Data'!O6</f>
        <v>637.1</v>
      </c>
      <c r="L12" s="232">
        <f>'Comps Data'!L6</f>
        <v>335.1</v>
      </c>
      <c r="M12" s="214"/>
      <c r="N12" s="213">
        <f t="shared" si="1"/>
        <v>2.723049413154583</v>
      </c>
      <c r="O12" s="213">
        <f t="shared" si="1"/>
        <v>16.642187254748077</v>
      </c>
      <c r="P12" s="212">
        <f t="shared" si="2"/>
        <v>33.13380334228588</v>
      </c>
    </row>
    <row r="13" spans="1:16" x14ac:dyDescent="0.25">
      <c r="B13" s="219" t="str">
        <f>'Comps Data'!C7</f>
        <v>Indigo Paints</v>
      </c>
      <c r="C13" s="214"/>
      <c r="D13" s="215">
        <f>'Comps Data'!D7</f>
        <v>1421.05</v>
      </c>
      <c r="E13" s="231">
        <f>'Comps Data'!E7</f>
        <v>4.76</v>
      </c>
      <c r="F13" s="215">
        <f t="shared" si="0"/>
        <v>6764.1979999999994</v>
      </c>
      <c r="G13" s="232">
        <f>'Comps Data'!I7</f>
        <v>-35.11</v>
      </c>
      <c r="H13" s="215">
        <f t="shared" si="3"/>
        <v>6729.0879999999997</v>
      </c>
      <c r="I13" s="215"/>
      <c r="J13" s="232">
        <f>'Comps Data'!J7</f>
        <v>1154.22</v>
      </c>
      <c r="K13" s="232">
        <f>'Comps Data'!O7</f>
        <v>214.89</v>
      </c>
      <c r="L13" s="232">
        <f>'Comps Data'!L7</f>
        <v>131.94</v>
      </c>
      <c r="M13" s="214"/>
      <c r="N13" s="213">
        <f t="shared" si="1"/>
        <v>5.8299873507650188</v>
      </c>
      <c r="O13" s="213">
        <f t="shared" si="1"/>
        <v>31.3141048908744</v>
      </c>
      <c r="P13" s="212">
        <f t="shared" si="2"/>
        <v>51.267227527664083</v>
      </c>
    </row>
    <row r="14" spans="1:16" x14ac:dyDescent="0.25">
      <c r="B14" s="219" t="str">
        <f>'Comps Data'!C8</f>
        <v>Shalimar Paints</v>
      </c>
      <c r="C14" s="214"/>
      <c r="D14" s="215">
        <f>'Comps Data'!D8</f>
        <v>176.05</v>
      </c>
      <c r="E14" s="231">
        <f>'Comps Data'!E8</f>
        <v>7.22</v>
      </c>
      <c r="F14" s="215">
        <f t="shared" si="0"/>
        <v>1271.0810000000001</v>
      </c>
      <c r="G14" s="232">
        <f>'Comps Data'!I8</f>
        <v>116.64</v>
      </c>
      <c r="H14" s="215">
        <f t="shared" si="3"/>
        <v>1387.7210000000002</v>
      </c>
      <c r="I14" s="215"/>
      <c r="J14" s="232">
        <f>'Comps Data'!J8</f>
        <v>501.23</v>
      </c>
      <c r="K14" s="232">
        <f>'Comps Data'!O8</f>
        <v>-8.7800000000000011</v>
      </c>
      <c r="L14" s="232">
        <f>'Comps Data'!L8</f>
        <v>-36.15</v>
      </c>
      <c r="M14" s="214"/>
      <c r="N14" s="213">
        <f t="shared" si="1"/>
        <v>2.7686311673283726</v>
      </c>
      <c r="O14" s="213">
        <f t="shared" si="1"/>
        <v>-158.05478359908884</v>
      </c>
      <c r="P14" s="212">
        <f t="shared" si="2"/>
        <v>-35.16130013831259</v>
      </c>
    </row>
    <row r="15" spans="1:16" x14ac:dyDescent="0.25">
      <c r="B15" s="219" t="str">
        <f>'Comps Data'!C9</f>
        <v>MCON Rasayan</v>
      </c>
      <c r="C15" s="214"/>
      <c r="D15" s="215">
        <f>'Comps Data'!D9</f>
        <v>146.5</v>
      </c>
      <c r="E15" s="231">
        <f>'Comps Data'!E9</f>
        <v>0.63</v>
      </c>
      <c r="F15" s="215">
        <f t="shared" si="0"/>
        <v>92.295000000000002</v>
      </c>
      <c r="G15" s="232">
        <f>'Comps Data'!I9</f>
        <v>8.1900000000000013</v>
      </c>
      <c r="H15" s="215">
        <f t="shared" si="3"/>
        <v>100.485</v>
      </c>
      <c r="I15" s="215"/>
      <c r="J15" s="232">
        <f>'Comps Data'!J9</f>
        <v>31</v>
      </c>
      <c r="K15" s="232">
        <f>'Comps Data'!O9</f>
        <v>2.6799999999999997</v>
      </c>
      <c r="L15" s="232">
        <f>'Comps Data'!L9</f>
        <v>1.1399999999999999</v>
      </c>
      <c r="M15" s="214"/>
      <c r="N15" s="213">
        <f t="shared" si="1"/>
        <v>3.2414516129032256</v>
      </c>
      <c r="O15" s="213">
        <f t="shared" si="1"/>
        <v>37.494402985074629</v>
      </c>
      <c r="P15" s="212">
        <f t="shared" si="2"/>
        <v>80.96052631578948</v>
      </c>
    </row>
    <row r="16" spans="1:16" x14ac:dyDescent="0.25">
      <c r="B16" s="219" t="str">
        <f>'Comps Data'!C10</f>
        <v>Retina Paints</v>
      </c>
      <c r="C16" s="214"/>
      <c r="D16" s="215">
        <f>'Comps Data'!D10</f>
        <v>60</v>
      </c>
      <c r="E16" s="231">
        <f>'Comps Data'!E10</f>
        <v>1.39</v>
      </c>
      <c r="F16" s="215">
        <f t="shared" si="0"/>
        <v>83.399999999999991</v>
      </c>
      <c r="G16" s="232">
        <f>'Comps Data'!I10</f>
        <v>3.93</v>
      </c>
      <c r="H16" s="215">
        <f t="shared" si="3"/>
        <v>87.33</v>
      </c>
      <c r="I16" s="215"/>
      <c r="J16" s="232">
        <f>'Comps Data'!J10</f>
        <v>10.039999999999999</v>
      </c>
      <c r="K16" s="232">
        <f>'Comps Data'!O10</f>
        <v>1.1200000000000001</v>
      </c>
      <c r="L16" s="232">
        <f>'Comps Data'!L10</f>
        <v>0.3</v>
      </c>
      <c r="M16" s="214"/>
      <c r="N16" s="213">
        <f t="shared" si="1"/>
        <v>8.698207171314742</v>
      </c>
      <c r="O16" s="213">
        <f t="shared" si="1"/>
        <v>77.973214285714278</v>
      </c>
      <c r="P16" s="212">
        <f t="shared" si="2"/>
        <v>278</v>
      </c>
    </row>
    <row r="17" spans="2:16" ht="6.75" customHeight="1" x14ac:dyDescent="0.25">
      <c r="F17" s="211"/>
      <c r="G17" s="211"/>
      <c r="H17" s="211"/>
      <c r="I17" s="211"/>
      <c r="J17" s="211"/>
      <c r="K17" s="211"/>
      <c r="L17" s="211"/>
    </row>
    <row r="18" spans="2:16" x14ac:dyDescent="0.25">
      <c r="B18" s="208" t="s">
        <v>356</v>
      </c>
      <c r="C18" s="208"/>
      <c r="D18" s="208"/>
      <c r="E18" s="208"/>
      <c r="F18" s="208"/>
      <c r="G18" s="208"/>
      <c r="H18" s="208"/>
      <c r="I18" s="208"/>
      <c r="J18" s="208"/>
      <c r="K18" s="208"/>
      <c r="L18" s="208"/>
      <c r="M18" s="208"/>
      <c r="N18" s="207">
        <f>MAX(N9:N16)</f>
        <v>8.698207171314742</v>
      </c>
      <c r="O18" s="207">
        <f>MAX(O9:O16)</f>
        <v>77.973214285714278</v>
      </c>
      <c r="P18" s="207">
        <f>MAX(P9:P16)</f>
        <v>278</v>
      </c>
    </row>
    <row r="19" spans="2:16" x14ac:dyDescent="0.25">
      <c r="B19" s="208" t="s">
        <v>355</v>
      </c>
      <c r="C19" s="208"/>
      <c r="D19" s="208"/>
      <c r="E19" s="208"/>
      <c r="F19" s="208"/>
      <c r="G19" s="208"/>
      <c r="H19" s="208"/>
      <c r="I19" s="208"/>
      <c r="J19" s="208"/>
      <c r="K19" s="208"/>
      <c r="L19" s="208"/>
      <c r="M19" s="208"/>
      <c r="N19" s="207">
        <f>QUARTILE(N9:N16,3)</f>
        <v>6.6942994506814655</v>
      </c>
      <c r="O19" s="207">
        <f>QUARTILE(O9:O16,3)</f>
        <v>37.506030355154095</v>
      </c>
      <c r="P19" s="207">
        <f>QUARTILE(P9:P16,3)</f>
        <v>78.072955410885996</v>
      </c>
    </row>
    <row r="20" spans="2:16" x14ac:dyDescent="0.25">
      <c r="B20" s="210" t="s">
        <v>266</v>
      </c>
      <c r="C20" s="210"/>
      <c r="D20" s="210"/>
      <c r="E20" s="210"/>
      <c r="F20" s="210"/>
      <c r="G20" s="210"/>
      <c r="H20" s="210"/>
      <c r="I20" s="210"/>
      <c r="J20" s="210"/>
      <c r="K20" s="210"/>
      <c r="L20" s="210"/>
      <c r="M20" s="210"/>
      <c r="N20" s="209">
        <f>AVERAGE(N9:N16)</f>
        <v>5.1229493639638228</v>
      </c>
      <c r="O20" s="209">
        <f>AVERAGE(O9:O16)</f>
        <v>12.974380304172303</v>
      </c>
      <c r="P20" s="209">
        <f>AVERAGE(P9:P16)</f>
        <v>75.917565366569619</v>
      </c>
    </row>
    <row r="21" spans="2:16" x14ac:dyDescent="0.25">
      <c r="B21" s="210" t="s">
        <v>151</v>
      </c>
      <c r="C21" s="210"/>
      <c r="D21" s="210"/>
      <c r="E21" s="210"/>
      <c r="F21" s="210"/>
      <c r="G21" s="210"/>
      <c r="H21" s="210"/>
      <c r="I21" s="210"/>
      <c r="J21" s="210"/>
      <c r="K21" s="210"/>
      <c r="L21" s="210"/>
      <c r="M21" s="210"/>
      <c r="N21" s="209">
        <f>MEDIAN(N9:N16)</f>
        <v>4.5385359116323691</v>
      </c>
      <c r="O21" s="209">
        <f>MEDIAN(O9:O16)</f>
        <v>33.940512320581497</v>
      </c>
      <c r="P21" s="209">
        <f>MEDIAN(P9:P16)</f>
        <v>61.014917054605981</v>
      </c>
    </row>
    <row r="22" spans="2:16" x14ac:dyDescent="0.25">
      <c r="B22" s="208" t="s">
        <v>354</v>
      </c>
      <c r="C22" s="208"/>
      <c r="D22" s="208"/>
      <c r="E22" s="208"/>
      <c r="F22" s="208"/>
      <c r="G22" s="208"/>
      <c r="H22" s="208"/>
      <c r="I22" s="208"/>
      <c r="J22" s="208"/>
      <c r="K22" s="208"/>
      <c r="L22" s="208"/>
      <c r="M22" s="208"/>
      <c r="N22" s="207">
        <f>QUARTILE(N9:N16,1)</f>
        <v>3.1232465015095121</v>
      </c>
      <c r="O22" s="207">
        <f>QUARTILE(O9:O16,1)</f>
        <v>22.399110113968099</v>
      </c>
      <c r="P22" s="207">
        <f>QUARTILE(P9:P16,1)</f>
        <v>46.733871481319532</v>
      </c>
    </row>
    <row r="23" spans="2:16" x14ac:dyDescent="0.25">
      <c r="B23" s="208" t="s">
        <v>353</v>
      </c>
      <c r="C23" s="208"/>
      <c r="D23" s="208"/>
      <c r="E23" s="208"/>
      <c r="F23" s="208"/>
      <c r="G23" s="208"/>
      <c r="H23" s="208"/>
      <c r="I23" s="208"/>
      <c r="J23" s="208"/>
      <c r="K23" s="208"/>
      <c r="L23" s="208"/>
      <c r="M23" s="208"/>
      <c r="N23" s="207">
        <f>MIN(N9:N16)</f>
        <v>2.723049413154583</v>
      </c>
      <c r="O23" s="207">
        <f>MIN(O9:O16)</f>
        <v>-158.05478359908884</v>
      </c>
      <c r="P23" s="207">
        <f>MIN(P9:P16)</f>
        <v>-35.16130013831259</v>
      </c>
    </row>
    <row r="25" spans="2:16" x14ac:dyDescent="0.25">
      <c r="B25" s="206" t="s">
        <v>352</v>
      </c>
      <c r="C25" s="205"/>
      <c r="D25" s="205"/>
      <c r="E25" s="205"/>
      <c r="F25" s="205"/>
      <c r="G25" s="205"/>
      <c r="H25" s="205"/>
      <c r="I25" s="205"/>
      <c r="J25" s="205"/>
      <c r="K25" s="205"/>
      <c r="L25" s="205"/>
      <c r="M25" s="205"/>
      <c r="N25" s="204" t="s">
        <v>351</v>
      </c>
      <c r="O25" s="204" t="s">
        <v>350</v>
      </c>
      <c r="P25" s="204" t="s">
        <v>349</v>
      </c>
    </row>
    <row r="26" spans="2:16" ht="4.5" customHeight="1" x14ac:dyDescent="0.25"/>
    <row r="27" spans="2:16" x14ac:dyDescent="0.25">
      <c r="B27" s="202" t="s">
        <v>348</v>
      </c>
      <c r="C27" s="202"/>
      <c r="D27" s="202"/>
      <c r="E27" s="202"/>
      <c r="F27" s="202"/>
      <c r="G27" s="202"/>
      <c r="H27" s="202"/>
      <c r="I27" s="202"/>
      <c r="J27" s="202"/>
      <c r="K27" s="202"/>
      <c r="L27" s="202"/>
      <c r="M27" s="202"/>
      <c r="N27" s="203">
        <f>N21*J9</f>
        <v>159234.3509181852</v>
      </c>
      <c r="O27" s="203">
        <f>O21*K9</f>
        <v>271076.76261226676</v>
      </c>
      <c r="P27" s="203">
        <f>P29+P28</f>
        <v>257460.66196670011</v>
      </c>
    </row>
    <row r="28" spans="2:16" x14ac:dyDescent="0.25">
      <c r="B28" s="202" t="s">
        <v>347</v>
      </c>
      <c r="C28" s="202"/>
      <c r="D28" s="202"/>
      <c r="E28" s="202"/>
      <c r="F28" s="202"/>
      <c r="G28" s="202"/>
      <c r="H28" s="202"/>
      <c r="I28" s="202"/>
      <c r="J28" s="202"/>
      <c r="K28" s="202"/>
      <c r="L28" s="202"/>
      <c r="M28" s="202"/>
      <c r="N28" s="203">
        <f>$G$9</f>
        <v>1482.9499999999998</v>
      </c>
      <c r="O28" s="203">
        <f>$G$9</f>
        <v>1482.9499999999998</v>
      </c>
      <c r="P28" s="203">
        <f>$G$9</f>
        <v>1482.9499999999998</v>
      </c>
    </row>
    <row r="29" spans="2:16" x14ac:dyDescent="0.25">
      <c r="B29" s="202" t="s">
        <v>346</v>
      </c>
      <c r="C29" s="202"/>
      <c r="D29" s="202"/>
      <c r="E29" s="202"/>
      <c r="F29" s="202"/>
      <c r="G29" s="202"/>
      <c r="H29" s="202"/>
      <c r="I29" s="202"/>
      <c r="J29" s="202"/>
      <c r="K29" s="202"/>
      <c r="L29" s="202"/>
      <c r="M29" s="202"/>
      <c r="N29" s="203">
        <f>N27-N28</f>
        <v>157751.40091818519</v>
      </c>
      <c r="O29" s="203">
        <f>O27-O28</f>
        <v>269593.81261226675</v>
      </c>
      <c r="P29" s="203">
        <f>P21*L9</f>
        <v>255977.7119667001</v>
      </c>
    </row>
    <row r="30" spans="2:16" x14ac:dyDescent="0.25">
      <c r="B30" s="202" t="s">
        <v>345</v>
      </c>
      <c r="C30" s="202"/>
      <c r="D30" s="202"/>
      <c r="E30" s="202"/>
      <c r="F30" s="202"/>
      <c r="G30" s="202"/>
      <c r="H30" s="202"/>
      <c r="I30" s="202"/>
      <c r="J30" s="202"/>
      <c r="K30" s="202"/>
      <c r="L30" s="202"/>
      <c r="M30" s="202"/>
      <c r="N30" s="202">
        <f>$E$9</f>
        <v>95.92</v>
      </c>
      <c r="O30" s="233">
        <f>$E$9</f>
        <v>95.92</v>
      </c>
      <c r="P30" s="233">
        <f>$E$9</f>
        <v>95.92</v>
      </c>
    </row>
    <row r="31" spans="2:16" ht="4.5" customHeight="1" x14ac:dyDescent="0.25"/>
    <row r="32" spans="2:16" x14ac:dyDescent="0.25">
      <c r="B32" s="201" t="s">
        <v>344</v>
      </c>
      <c r="C32" s="201"/>
      <c r="D32" s="201"/>
      <c r="E32" s="201"/>
      <c r="F32" s="201"/>
      <c r="G32" s="201"/>
      <c r="H32" s="201"/>
      <c r="I32" s="201"/>
      <c r="J32" s="201"/>
      <c r="K32" s="201"/>
      <c r="L32" s="201"/>
      <c r="M32" s="201"/>
      <c r="N32" s="200">
        <f>N29/N30</f>
        <v>1644.61427145731</v>
      </c>
      <c r="O32" s="200">
        <f>O29/O30</f>
        <v>2810.6110572588277</v>
      </c>
      <c r="P32" s="200">
        <f>P29/P30</f>
        <v>2668.6583816378243</v>
      </c>
    </row>
    <row r="33" spans="2:16" ht="4.5" customHeight="1" x14ac:dyDescent="0.25">
      <c r="B33" s="199"/>
      <c r="C33" s="199"/>
      <c r="D33" s="199"/>
      <c r="E33" s="199"/>
      <c r="F33" s="199"/>
      <c r="G33" s="199"/>
      <c r="H33" s="199"/>
      <c r="I33" s="199"/>
      <c r="J33" s="199"/>
      <c r="K33" s="199"/>
      <c r="L33" s="199"/>
      <c r="M33" s="199"/>
      <c r="N33" s="198"/>
      <c r="O33" s="198"/>
      <c r="P33" s="198"/>
    </row>
    <row r="34" spans="2:16" x14ac:dyDescent="0.25">
      <c r="B34" s="197" t="s">
        <v>343</v>
      </c>
    </row>
    <row r="35" spans="2:16" x14ac:dyDescent="0.25">
      <c r="N35" s="196" t="str">
        <f>IF(N32&gt;$D$9,"Undervalued","Overvalued")</f>
        <v>Overvalued</v>
      </c>
      <c r="O35" s="196" t="str">
        <f>IF(O32&gt;$D$9,"Undervalued","Overvalued")</f>
        <v>Overvalued</v>
      </c>
      <c r="P35" s="196" t="str">
        <f>IF(P32&gt;$D$9,"Undervalued","Overvalued")</f>
        <v>Overvalued</v>
      </c>
    </row>
  </sheetData>
  <mergeCells count="2">
    <mergeCell ref="D6:H6"/>
    <mergeCell ref="N6:P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10" zoomScaleNormal="110" zoomScalePageLayoutView="120" workbookViewId="0">
      <pane xSplit="1" ySplit="1" topLeftCell="B23" activePane="bottomRight" state="frozen"/>
      <selection activeCell="C4" sqref="C4"/>
      <selection pane="topRight" activeCell="C4" sqref="C4"/>
      <selection pane="bottomLeft" activeCell="C4" sqref="C4"/>
      <selection pane="bottomRight" activeCell="J17" sqref="J17"/>
    </sheetView>
  </sheetViews>
  <sheetFormatPr defaultColWidth="8.85546875" defaultRowHeight="15" x14ac:dyDescent="0.25"/>
  <cols>
    <col min="1" max="1" width="27.7109375" style="1" bestFit="1" customWidth="1"/>
    <col min="2" max="11" width="13.42578125" style="1" bestFit="1" customWidth="1"/>
    <col min="12" max="16384" width="8.85546875" style="1"/>
  </cols>
  <sheetData>
    <row r="1" spans="1:11" s="3" customFormat="1" x14ac:dyDescent="0.25">
      <c r="A1" s="3" t="s">
        <v>53</v>
      </c>
      <c r="B1" s="3" t="s">
        <v>52</v>
      </c>
    </row>
    <row r="2" spans="1:11" x14ac:dyDescent="0.25">
      <c r="A2" s="3" t="s">
        <v>51</v>
      </c>
      <c r="B2" s="1">
        <v>2.1</v>
      </c>
      <c r="E2" s="240" t="s">
        <v>50</v>
      </c>
      <c r="F2" s="240"/>
      <c r="G2" s="240"/>
      <c r="H2" s="240"/>
      <c r="I2" s="240"/>
      <c r="J2" s="240"/>
      <c r="K2" s="240"/>
    </row>
    <row r="3" spans="1:11" x14ac:dyDescent="0.25">
      <c r="A3" s="3" t="s">
        <v>49</v>
      </c>
      <c r="B3" s="1">
        <v>2.1</v>
      </c>
    </row>
    <row r="4" spans="1:11" x14ac:dyDescent="0.25">
      <c r="A4" s="3"/>
    </row>
    <row r="5" spans="1:11" x14ac:dyDescent="0.25">
      <c r="A5" s="3" t="s">
        <v>48</v>
      </c>
    </row>
    <row r="6" spans="1:11" x14ac:dyDescent="0.25">
      <c r="A6" s="1" t="s">
        <v>47</v>
      </c>
      <c r="B6" s="1">
        <f>IF(B9&gt;0, B9/B8, 0)</f>
        <v>95.91977769195897</v>
      </c>
    </row>
    <row r="7" spans="1:11" x14ac:dyDescent="0.25">
      <c r="A7" s="1" t="s">
        <v>46</v>
      </c>
      <c r="B7">
        <v>1</v>
      </c>
    </row>
    <row r="8" spans="1:11" x14ac:dyDescent="0.25">
      <c r="A8" s="1" t="s">
        <v>45</v>
      </c>
      <c r="B8">
        <v>2977.85</v>
      </c>
    </row>
    <row r="9" spans="1:11" x14ac:dyDescent="0.25">
      <c r="A9" s="1" t="s">
        <v>44</v>
      </c>
      <c r="B9">
        <v>285634.71000000002</v>
      </c>
    </row>
    <row r="15" spans="1:11" x14ac:dyDescent="0.25">
      <c r="A15" s="3" t="s">
        <v>43</v>
      </c>
    </row>
    <row r="16" spans="1:11" s="5" customFormat="1" x14ac:dyDescent="0.25">
      <c r="A16" s="7" t="s">
        <v>7</v>
      </c>
      <c r="B16" s="6">
        <v>41729</v>
      </c>
      <c r="C16" s="6">
        <v>42094</v>
      </c>
      <c r="D16" s="6">
        <v>42460</v>
      </c>
      <c r="E16" s="6">
        <v>42825</v>
      </c>
      <c r="F16" s="6">
        <v>43190</v>
      </c>
      <c r="G16" s="6">
        <v>43555</v>
      </c>
      <c r="H16" s="6">
        <v>43921</v>
      </c>
      <c r="I16" s="6">
        <v>44286</v>
      </c>
      <c r="J16" s="6">
        <v>44651</v>
      </c>
      <c r="K16" s="6">
        <v>45016</v>
      </c>
    </row>
    <row r="17" spans="1:11" s="4" customFormat="1" x14ac:dyDescent="0.25">
      <c r="A17" s="4" t="s">
        <v>33</v>
      </c>
      <c r="B17">
        <v>12220.37</v>
      </c>
      <c r="C17">
        <v>13615.26</v>
      </c>
      <c r="D17">
        <v>14271.49</v>
      </c>
      <c r="E17">
        <v>15061.99</v>
      </c>
      <c r="F17">
        <v>16824.55</v>
      </c>
      <c r="G17">
        <v>19240.13</v>
      </c>
      <c r="H17">
        <v>20211.25</v>
      </c>
      <c r="I17">
        <v>21712.79</v>
      </c>
      <c r="J17">
        <v>29101.279999999999</v>
      </c>
      <c r="K17">
        <v>34488.589999999997</v>
      </c>
    </row>
    <row r="18" spans="1:11" s="4" customFormat="1" x14ac:dyDescent="0.25">
      <c r="A18" s="1" t="s">
        <v>42</v>
      </c>
      <c r="B18">
        <v>6339.75</v>
      </c>
      <c r="C18">
        <v>6874.83</v>
      </c>
      <c r="D18">
        <v>6569.83</v>
      </c>
      <c r="E18">
        <v>7452.6</v>
      </c>
      <c r="F18">
        <v>8128.17</v>
      </c>
      <c r="G18">
        <v>9974.4</v>
      </c>
      <c r="H18">
        <v>9981.99</v>
      </c>
      <c r="I18">
        <v>10425.549999999999</v>
      </c>
      <c r="J18">
        <v>17123.25</v>
      </c>
      <c r="K18">
        <v>18985.53</v>
      </c>
    </row>
    <row r="19" spans="1:11" s="4" customFormat="1" x14ac:dyDescent="0.25">
      <c r="A19" s="1" t="s">
        <v>41</v>
      </c>
      <c r="B19">
        <v>90.28</v>
      </c>
      <c r="C19">
        <v>148.07</v>
      </c>
      <c r="D19">
        <v>-199.33</v>
      </c>
      <c r="E19">
        <v>528.6</v>
      </c>
      <c r="F19">
        <v>-142.13</v>
      </c>
      <c r="G19">
        <v>293.26</v>
      </c>
      <c r="H19">
        <v>239.15</v>
      </c>
      <c r="I19">
        <v>92.45</v>
      </c>
      <c r="J19">
        <v>1324.97</v>
      </c>
      <c r="K19">
        <v>309.73</v>
      </c>
    </row>
    <row r="20" spans="1:11" s="4" customFormat="1" x14ac:dyDescent="0.25">
      <c r="A20" s="1" t="s">
        <v>40</v>
      </c>
      <c r="B20">
        <v>133.74</v>
      </c>
      <c r="C20">
        <v>130.68</v>
      </c>
      <c r="D20">
        <v>114.48</v>
      </c>
      <c r="E20">
        <v>106.02</v>
      </c>
      <c r="F20">
        <v>110.3</v>
      </c>
      <c r="G20">
        <v>119.63</v>
      </c>
      <c r="H20">
        <v>97.79</v>
      </c>
      <c r="I20">
        <v>86.05</v>
      </c>
      <c r="J20">
        <v>117.23</v>
      </c>
      <c r="K20">
        <v>138.29</v>
      </c>
    </row>
    <row r="21" spans="1:11" s="4" customFormat="1" x14ac:dyDescent="0.25">
      <c r="A21" s="1" t="s">
        <v>39</v>
      </c>
      <c r="B21">
        <v>1292.18</v>
      </c>
      <c r="C21">
        <v>1504.47</v>
      </c>
      <c r="D21">
        <v>1535.22</v>
      </c>
      <c r="E21">
        <v>1662.75</v>
      </c>
      <c r="F21">
        <v>1691.68</v>
      </c>
      <c r="G21">
        <v>1862.35</v>
      </c>
      <c r="H21">
        <v>1946.12</v>
      </c>
      <c r="I21">
        <v>2068.31</v>
      </c>
      <c r="J21">
        <v>2880.45</v>
      </c>
      <c r="K21">
        <v>2916.2</v>
      </c>
    </row>
    <row r="22" spans="1:11" s="4" customFormat="1" x14ac:dyDescent="0.25">
      <c r="A22" s="1" t="s">
        <v>38</v>
      </c>
      <c r="B22">
        <v>763.59</v>
      </c>
      <c r="C22">
        <v>936.86</v>
      </c>
      <c r="D22">
        <v>994.98</v>
      </c>
      <c r="E22">
        <v>1039.8900000000001</v>
      </c>
      <c r="F22">
        <v>1121.8900000000001</v>
      </c>
      <c r="G22">
        <v>1242.69</v>
      </c>
      <c r="H22">
        <v>1371.27</v>
      </c>
      <c r="I22">
        <v>1547.61</v>
      </c>
      <c r="J22">
        <v>1794.61</v>
      </c>
      <c r="K22">
        <v>2036.41</v>
      </c>
    </row>
    <row r="23" spans="1:11" s="4" customFormat="1" x14ac:dyDescent="0.25">
      <c r="A23" s="1" t="s">
        <v>37</v>
      </c>
      <c r="B23">
        <v>2826.43</v>
      </c>
      <c r="C23">
        <v>3351.66</v>
      </c>
      <c r="D23">
        <v>3912.3</v>
      </c>
      <c r="E23">
        <v>4364.04</v>
      </c>
      <c r="F23">
        <v>2254.92</v>
      </c>
      <c r="G23">
        <v>2366.87</v>
      </c>
      <c r="H23">
        <v>2311.5100000000002</v>
      </c>
      <c r="I23">
        <v>2245.69</v>
      </c>
      <c r="J23">
        <v>2941.98</v>
      </c>
      <c r="K23">
        <v>3500.84</v>
      </c>
    </row>
    <row r="24" spans="1:11" s="4" customFormat="1" x14ac:dyDescent="0.25">
      <c r="A24" s="1" t="s">
        <v>36</v>
      </c>
      <c r="B24">
        <v>-1048.7</v>
      </c>
      <c r="C24">
        <v>-1278.06</v>
      </c>
      <c r="D24">
        <v>-1779.69</v>
      </c>
      <c r="E24">
        <v>-2028.47</v>
      </c>
      <c r="F24">
        <v>171.45</v>
      </c>
      <c r="G24">
        <v>202.51</v>
      </c>
      <c r="H24">
        <v>584.9</v>
      </c>
      <c r="I24">
        <v>576.42999999999995</v>
      </c>
      <c r="J24">
        <v>765.12</v>
      </c>
      <c r="K24">
        <v>961.21</v>
      </c>
    </row>
    <row r="25" spans="1:11" s="4" customFormat="1" x14ac:dyDescent="0.25">
      <c r="A25" s="4" t="s">
        <v>31</v>
      </c>
      <c r="B25">
        <v>124.26</v>
      </c>
      <c r="C25">
        <v>142.13999999999999</v>
      </c>
      <c r="D25">
        <v>213.39</v>
      </c>
      <c r="E25">
        <v>337.9</v>
      </c>
      <c r="F25">
        <v>336.41</v>
      </c>
      <c r="G25">
        <v>273.77</v>
      </c>
      <c r="H25">
        <v>355.05</v>
      </c>
      <c r="I25">
        <v>331.65</v>
      </c>
      <c r="J25">
        <v>295.88</v>
      </c>
      <c r="K25">
        <v>431.46</v>
      </c>
    </row>
    <row r="26" spans="1:11" s="4" customFormat="1" x14ac:dyDescent="0.25">
      <c r="A26" s="4" t="s">
        <v>30</v>
      </c>
      <c r="B26">
        <v>245.66</v>
      </c>
      <c r="C26">
        <v>265.92</v>
      </c>
      <c r="D26">
        <v>275.58</v>
      </c>
      <c r="E26">
        <v>334.79</v>
      </c>
      <c r="F26">
        <v>360.47</v>
      </c>
      <c r="G26">
        <v>622.14</v>
      </c>
      <c r="H26">
        <v>780.5</v>
      </c>
      <c r="I26">
        <v>791.27</v>
      </c>
      <c r="J26">
        <v>816.36</v>
      </c>
      <c r="K26">
        <v>858.02</v>
      </c>
    </row>
    <row r="27" spans="1:11" s="4" customFormat="1" x14ac:dyDescent="0.25">
      <c r="A27" s="4" t="s">
        <v>29</v>
      </c>
      <c r="B27">
        <v>47.99</v>
      </c>
      <c r="C27">
        <v>42.24</v>
      </c>
      <c r="D27">
        <v>49</v>
      </c>
      <c r="E27">
        <v>37.33</v>
      </c>
      <c r="F27">
        <v>41.47</v>
      </c>
      <c r="G27">
        <v>110.47</v>
      </c>
      <c r="H27">
        <v>102.33</v>
      </c>
      <c r="I27">
        <v>91.63</v>
      </c>
      <c r="J27">
        <v>95.41</v>
      </c>
      <c r="K27">
        <v>144.44999999999999</v>
      </c>
    </row>
    <row r="28" spans="1:11" s="4" customFormat="1" x14ac:dyDescent="0.25">
      <c r="A28" s="4" t="s">
        <v>28</v>
      </c>
      <c r="B28">
        <v>1834.27</v>
      </c>
      <c r="C28">
        <v>2076.87</v>
      </c>
      <c r="D28">
        <v>2613.85</v>
      </c>
      <c r="E28">
        <v>2959.54</v>
      </c>
      <c r="F28">
        <v>3138.48</v>
      </c>
      <c r="G28">
        <v>3306.1</v>
      </c>
      <c r="H28">
        <v>3629.04</v>
      </c>
      <c r="I28">
        <v>4304.3500000000004</v>
      </c>
      <c r="J28">
        <v>4187.72</v>
      </c>
      <c r="K28">
        <v>5688.83</v>
      </c>
    </row>
    <row r="29" spans="1:11" s="4" customFormat="1" x14ac:dyDescent="0.25">
      <c r="A29" s="4" t="s">
        <v>27</v>
      </c>
      <c r="B29">
        <v>571.51</v>
      </c>
      <c r="C29">
        <v>649.54</v>
      </c>
      <c r="D29">
        <v>844.49</v>
      </c>
      <c r="E29">
        <v>943.29</v>
      </c>
      <c r="F29">
        <v>1040.96</v>
      </c>
      <c r="G29">
        <v>1098.06</v>
      </c>
      <c r="H29">
        <v>854.85</v>
      </c>
      <c r="I29">
        <v>1097.5999999999999</v>
      </c>
      <c r="J29">
        <v>1102.9100000000001</v>
      </c>
      <c r="K29">
        <v>1493.5</v>
      </c>
    </row>
    <row r="30" spans="1:11" s="4" customFormat="1" x14ac:dyDescent="0.25">
      <c r="A30" s="4" t="s">
        <v>26</v>
      </c>
      <c r="B30">
        <v>1218.81</v>
      </c>
      <c r="C30">
        <v>1395.15</v>
      </c>
      <c r="D30">
        <v>1745.16</v>
      </c>
      <c r="E30">
        <v>1939.43</v>
      </c>
      <c r="F30">
        <v>2038.93</v>
      </c>
      <c r="G30">
        <v>2155.92</v>
      </c>
      <c r="H30">
        <v>2705.17</v>
      </c>
      <c r="I30">
        <v>3139.29</v>
      </c>
      <c r="J30">
        <v>3030.57</v>
      </c>
      <c r="K30">
        <v>4106.45</v>
      </c>
    </row>
    <row r="31" spans="1:11" s="4" customFormat="1" x14ac:dyDescent="0.25">
      <c r="A31" s="4" t="s">
        <v>35</v>
      </c>
      <c r="B31">
        <v>508.38</v>
      </c>
      <c r="C31">
        <v>585.11</v>
      </c>
      <c r="D31">
        <v>719.4</v>
      </c>
      <c r="E31">
        <v>987.98</v>
      </c>
      <c r="F31">
        <v>834.5</v>
      </c>
      <c r="G31">
        <v>1007.16</v>
      </c>
      <c r="H31">
        <v>1151.04</v>
      </c>
      <c r="I31">
        <v>1712.17</v>
      </c>
      <c r="J31">
        <v>1836.87</v>
      </c>
      <c r="K31">
        <v>2460.35</v>
      </c>
    </row>
    <row r="32" spans="1:11" s="4" customFormat="1" x14ac:dyDescent="0.25"/>
    <row r="33" spans="1:11" x14ac:dyDescent="0.25">
      <c r="A33" s="4"/>
    </row>
    <row r="34" spans="1:11" x14ac:dyDescent="0.25">
      <c r="A34" s="1" t="s">
        <v>64</v>
      </c>
      <c r="B34" s="1">
        <f>B30+(B29+B27+B26)</f>
        <v>2083.9699999999998</v>
      </c>
      <c r="C34" s="1">
        <f t="shared" ref="C34:K34" si="0">C30+(C29+C27+C26)</f>
        <v>2352.8500000000004</v>
      </c>
      <c r="D34" s="1">
        <f t="shared" si="0"/>
        <v>2914.23</v>
      </c>
      <c r="E34" s="1">
        <f t="shared" si="0"/>
        <v>3254.84</v>
      </c>
      <c r="F34" s="1">
        <f t="shared" si="0"/>
        <v>3481.83</v>
      </c>
      <c r="G34" s="1">
        <f t="shared" si="0"/>
        <v>3986.59</v>
      </c>
      <c r="H34" s="1">
        <f t="shared" si="0"/>
        <v>4442.8500000000004</v>
      </c>
      <c r="I34" s="1">
        <f t="shared" si="0"/>
        <v>5119.79</v>
      </c>
      <c r="J34" s="1">
        <f t="shared" si="0"/>
        <v>5045.25</v>
      </c>
      <c r="K34" s="1">
        <f t="shared" si="0"/>
        <v>6602.42</v>
      </c>
    </row>
    <row r="35" spans="1:11" x14ac:dyDescent="0.25">
      <c r="A35" s="4"/>
    </row>
    <row r="36" spans="1:11" x14ac:dyDescent="0.25">
      <c r="A36" s="4"/>
    </row>
    <row r="37" spans="1:11" x14ac:dyDescent="0.25">
      <c r="A37" s="4"/>
    </row>
    <row r="38" spans="1:11" x14ac:dyDescent="0.25">
      <c r="A38" s="4"/>
    </row>
    <row r="39" spans="1:11" x14ac:dyDescent="0.25">
      <c r="A39" s="4"/>
    </row>
    <row r="40" spans="1:11" x14ac:dyDescent="0.25">
      <c r="A40" s="3" t="s">
        <v>34</v>
      </c>
    </row>
    <row r="41" spans="1:11" s="5" customFormat="1" x14ac:dyDescent="0.25">
      <c r="A41" s="7" t="s">
        <v>7</v>
      </c>
      <c r="B41" s="6">
        <v>44377</v>
      </c>
      <c r="C41" s="6">
        <v>44469</v>
      </c>
      <c r="D41" s="6">
        <v>44561</v>
      </c>
      <c r="E41" s="6">
        <v>44651</v>
      </c>
      <c r="F41" s="6">
        <v>44742</v>
      </c>
      <c r="G41" s="6">
        <v>44834</v>
      </c>
      <c r="H41" s="6">
        <v>44926</v>
      </c>
      <c r="I41" s="6">
        <v>45016</v>
      </c>
      <c r="J41" s="6">
        <v>45107</v>
      </c>
      <c r="K41" s="6">
        <v>45199</v>
      </c>
    </row>
    <row r="42" spans="1:11" s="4" customFormat="1" x14ac:dyDescent="0.25">
      <c r="A42" s="4" t="s">
        <v>33</v>
      </c>
      <c r="B42">
        <v>5585.36</v>
      </c>
      <c r="C42">
        <v>7096.01</v>
      </c>
      <c r="D42">
        <v>8527.24</v>
      </c>
      <c r="E42">
        <v>7892.67</v>
      </c>
      <c r="F42">
        <v>8606.94</v>
      </c>
      <c r="G42">
        <v>8457.57</v>
      </c>
      <c r="H42">
        <v>8636.74</v>
      </c>
      <c r="I42">
        <v>8787.34</v>
      </c>
      <c r="J42">
        <v>9182.31</v>
      </c>
      <c r="K42">
        <v>8478.57</v>
      </c>
    </row>
    <row r="43" spans="1:11" s="4" customFormat="1" x14ac:dyDescent="0.25">
      <c r="A43" s="4" t="s">
        <v>32</v>
      </c>
      <c r="B43">
        <v>4674.32</v>
      </c>
      <c r="C43">
        <v>6191.56</v>
      </c>
      <c r="D43">
        <v>6984.93</v>
      </c>
      <c r="E43">
        <v>6449.38</v>
      </c>
      <c r="F43">
        <v>7050.99</v>
      </c>
      <c r="G43">
        <v>7229.87</v>
      </c>
      <c r="H43">
        <v>7025.31</v>
      </c>
      <c r="I43">
        <v>6922.58</v>
      </c>
      <c r="J43">
        <v>7061.02</v>
      </c>
      <c r="K43">
        <v>6762.34</v>
      </c>
    </row>
    <row r="44" spans="1:11" s="4" customFormat="1" x14ac:dyDescent="0.25">
      <c r="A44" s="4" t="s">
        <v>31</v>
      </c>
      <c r="B44">
        <v>89.61</v>
      </c>
      <c r="C44">
        <v>148.4</v>
      </c>
      <c r="D44">
        <v>86.77</v>
      </c>
      <c r="E44">
        <v>-26.38</v>
      </c>
      <c r="F44">
        <v>87.52</v>
      </c>
      <c r="G44">
        <v>117.56</v>
      </c>
      <c r="H44">
        <v>122.21</v>
      </c>
      <c r="I44">
        <v>104.17</v>
      </c>
      <c r="J44">
        <v>227.74</v>
      </c>
      <c r="K44">
        <v>194.33</v>
      </c>
    </row>
    <row r="45" spans="1:11" s="4" customFormat="1" x14ac:dyDescent="0.25">
      <c r="A45" s="4" t="s">
        <v>30</v>
      </c>
      <c r="B45">
        <v>200.59</v>
      </c>
      <c r="C45">
        <v>202.75</v>
      </c>
      <c r="D45">
        <v>207.91</v>
      </c>
      <c r="E45">
        <v>205.11</v>
      </c>
      <c r="F45">
        <v>208.1</v>
      </c>
      <c r="G45">
        <v>215.7</v>
      </c>
      <c r="H45">
        <v>214.05</v>
      </c>
      <c r="I45">
        <v>220.17</v>
      </c>
      <c r="J45">
        <v>198.32</v>
      </c>
      <c r="K45">
        <v>208.72</v>
      </c>
    </row>
    <row r="46" spans="1:11" s="4" customFormat="1" x14ac:dyDescent="0.25">
      <c r="A46" s="4" t="s">
        <v>29</v>
      </c>
      <c r="B46">
        <v>21.48</v>
      </c>
      <c r="C46">
        <v>23.86</v>
      </c>
      <c r="D46">
        <v>27.45</v>
      </c>
      <c r="E46">
        <v>22.62</v>
      </c>
      <c r="F46">
        <v>28.75</v>
      </c>
      <c r="G46">
        <v>35.4</v>
      </c>
      <c r="H46">
        <v>41.39</v>
      </c>
      <c r="I46">
        <v>38.909999999999997</v>
      </c>
      <c r="J46">
        <v>45.75</v>
      </c>
      <c r="K46">
        <v>50.9</v>
      </c>
    </row>
    <row r="47" spans="1:11" s="4" customFormat="1" x14ac:dyDescent="0.25">
      <c r="A47" s="4" t="s">
        <v>28</v>
      </c>
      <c r="B47">
        <v>778.58</v>
      </c>
      <c r="C47">
        <v>826.24</v>
      </c>
      <c r="D47">
        <v>1393.72</v>
      </c>
      <c r="E47">
        <v>1189.18</v>
      </c>
      <c r="F47">
        <v>1406.62</v>
      </c>
      <c r="G47">
        <v>1094.1600000000001</v>
      </c>
      <c r="H47">
        <v>1478.2</v>
      </c>
      <c r="I47">
        <v>1709.85</v>
      </c>
      <c r="J47">
        <v>2104.96</v>
      </c>
      <c r="K47">
        <v>1650.94</v>
      </c>
    </row>
    <row r="48" spans="1:11" s="4" customFormat="1" x14ac:dyDescent="0.25">
      <c r="A48" s="4" t="s">
        <v>27</v>
      </c>
      <c r="B48">
        <v>204.28</v>
      </c>
      <c r="C48">
        <v>221.07</v>
      </c>
      <c r="D48">
        <v>362.43</v>
      </c>
      <c r="E48">
        <v>315.13</v>
      </c>
      <c r="F48">
        <v>370.59</v>
      </c>
      <c r="G48">
        <v>290.33</v>
      </c>
      <c r="H48">
        <v>381.14</v>
      </c>
      <c r="I48">
        <v>451.44</v>
      </c>
      <c r="J48">
        <v>530.12</v>
      </c>
      <c r="K48">
        <v>418.55</v>
      </c>
    </row>
    <row r="49" spans="1:11" s="4" customFormat="1" x14ac:dyDescent="0.25">
      <c r="A49" s="4" t="s">
        <v>26</v>
      </c>
      <c r="B49">
        <v>568.5</v>
      </c>
      <c r="C49">
        <v>595.96</v>
      </c>
      <c r="D49">
        <v>1015.69</v>
      </c>
      <c r="E49">
        <v>850.42</v>
      </c>
      <c r="F49">
        <v>1016.93</v>
      </c>
      <c r="G49">
        <v>782.71</v>
      </c>
      <c r="H49">
        <v>1072.67</v>
      </c>
      <c r="I49">
        <v>1234.1400000000001</v>
      </c>
      <c r="J49">
        <v>1550.37</v>
      </c>
      <c r="K49">
        <v>1205.42</v>
      </c>
    </row>
    <row r="50" spans="1:11" x14ac:dyDescent="0.25">
      <c r="A50" s="4" t="s">
        <v>25</v>
      </c>
      <c r="B50">
        <v>911.04</v>
      </c>
      <c r="C50">
        <v>904.45</v>
      </c>
      <c r="D50">
        <v>1542.31</v>
      </c>
      <c r="E50">
        <v>1443.29</v>
      </c>
      <c r="F50">
        <v>1555.95</v>
      </c>
      <c r="G50">
        <v>1227.7</v>
      </c>
      <c r="H50">
        <v>1611.43</v>
      </c>
      <c r="I50">
        <v>1864.76</v>
      </c>
      <c r="J50">
        <v>2121.29</v>
      </c>
      <c r="K50">
        <v>1716.23</v>
      </c>
    </row>
    <row r="51" spans="1:11" x14ac:dyDescent="0.25">
      <c r="A51" s="4"/>
    </row>
    <row r="52" spans="1:11" x14ac:dyDescent="0.25">
      <c r="A52" s="4"/>
    </row>
    <row r="53" spans="1:11" x14ac:dyDescent="0.25">
      <c r="A53" s="4"/>
    </row>
    <row r="54" spans="1:11" x14ac:dyDescent="0.25">
      <c r="A54" s="4"/>
    </row>
    <row r="55" spans="1:11" x14ac:dyDescent="0.25">
      <c r="A55" s="3" t="s">
        <v>24</v>
      </c>
    </row>
    <row r="56" spans="1:11" s="5" customFormat="1" x14ac:dyDescent="0.25">
      <c r="A56" s="7" t="s">
        <v>7</v>
      </c>
      <c r="B56" s="6">
        <v>41729</v>
      </c>
      <c r="C56" s="6">
        <v>42094</v>
      </c>
      <c r="D56" s="6">
        <v>42460</v>
      </c>
      <c r="E56" s="6">
        <v>42825</v>
      </c>
      <c r="F56" s="6">
        <v>43190</v>
      </c>
      <c r="G56" s="6">
        <v>43555</v>
      </c>
      <c r="H56" s="6">
        <v>43921</v>
      </c>
      <c r="I56" s="6">
        <v>44286</v>
      </c>
      <c r="J56" s="6">
        <v>44651</v>
      </c>
      <c r="K56" s="6">
        <v>45016</v>
      </c>
    </row>
    <row r="57" spans="1:11" x14ac:dyDescent="0.25">
      <c r="A57" s="4" t="s">
        <v>23</v>
      </c>
      <c r="B57">
        <v>95.92</v>
      </c>
      <c r="C57">
        <v>95.92</v>
      </c>
      <c r="D57">
        <v>95.92</v>
      </c>
      <c r="E57">
        <v>95.92</v>
      </c>
      <c r="F57">
        <v>95.92</v>
      </c>
      <c r="G57">
        <v>95.92</v>
      </c>
      <c r="H57">
        <v>95.92</v>
      </c>
      <c r="I57">
        <v>95.92</v>
      </c>
      <c r="J57">
        <v>95.92</v>
      </c>
      <c r="K57">
        <v>95.92</v>
      </c>
    </row>
    <row r="58" spans="1:11" x14ac:dyDescent="0.25">
      <c r="A58" s="4" t="s">
        <v>22</v>
      </c>
      <c r="B58">
        <v>3943.3</v>
      </c>
      <c r="C58">
        <v>4646.4399999999996</v>
      </c>
      <c r="D58">
        <v>6428.9</v>
      </c>
      <c r="E58">
        <v>7507.97</v>
      </c>
      <c r="F58">
        <v>8314.31</v>
      </c>
      <c r="G58">
        <v>9374.6299999999992</v>
      </c>
      <c r="H58">
        <v>10034.24</v>
      </c>
      <c r="I58">
        <v>12710.37</v>
      </c>
      <c r="J58">
        <v>13715.64</v>
      </c>
      <c r="K58">
        <v>15896.31</v>
      </c>
    </row>
    <row r="59" spans="1:11" x14ac:dyDescent="0.25">
      <c r="A59" s="4" t="s">
        <v>21</v>
      </c>
      <c r="B59">
        <v>249.15</v>
      </c>
      <c r="C59">
        <v>418.17</v>
      </c>
      <c r="D59">
        <v>323.29000000000002</v>
      </c>
      <c r="E59">
        <v>560.34</v>
      </c>
      <c r="F59">
        <v>533.42999999999995</v>
      </c>
      <c r="G59">
        <v>1319.6</v>
      </c>
      <c r="H59">
        <v>1118.5</v>
      </c>
      <c r="I59">
        <v>1093.1199999999999</v>
      </c>
      <c r="J59">
        <v>1586.88</v>
      </c>
      <c r="K59">
        <v>1932.62</v>
      </c>
    </row>
    <row r="60" spans="1:11" x14ac:dyDescent="0.25">
      <c r="A60" s="4" t="s">
        <v>20</v>
      </c>
      <c r="B60">
        <v>3787.03</v>
      </c>
      <c r="C60">
        <v>3753.97</v>
      </c>
      <c r="D60">
        <v>3710.92</v>
      </c>
      <c r="E60">
        <v>4240.96</v>
      </c>
      <c r="F60">
        <v>4819.82</v>
      </c>
      <c r="G60">
        <v>5458.69</v>
      </c>
      <c r="H60">
        <v>4889.3100000000004</v>
      </c>
      <c r="I60">
        <v>6455.93</v>
      </c>
      <c r="J60">
        <v>7559.99</v>
      </c>
      <c r="K60">
        <v>7854.48</v>
      </c>
    </row>
    <row r="61" spans="1:11" s="3" customFormat="1" x14ac:dyDescent="0.25">
      <c r="A61" s="3" t="s">
        <v>15</v>
      </c>
      <c r="B61">
        <v>8075.4</v>
      </c>
      <c r="C61">
        <v>8914.5</v>
      </c>
      <c r="D61">
        <v>10559.03</v>
      </c>
      <c r="E61">
        <v>12405.19</v>
      </c>
      <c r="F61">
        <v>13763.48</v>
      </c>
      <c r="G61">
        <v>16248.84</v>
      </c>
      <c r="H61">
        <v>16137.97</v>
      </c>
      <c r="I61">
        <v>20355.34</v>
      </c>
      <c r="J61">
        <v>22958.43</v>
      </c>
      <c r="K61">
        <v>25779.33</v>
      </c>
    </row>
    <row r="62" spans="1:11" x14ac:dyDescent="0.25">
      <c r="A62" s="4" t="s">
        <v>19</v>
      </c>
      <c r="B62">
        <v>2561.58</v>
      </c>
      <c r="C62">
        <v>2660.04</v>
      </c>
      <c r="D62">
        <v>3416.35</v>
      </c>
      <c r="E62">
        <v>3303.74</v>
      </c>
      <c r="F62">
        <v>3732.24</v>
      </c>
      <c r="G62">
        <v>6496.56</v>
      </c>
      <c r="H62">
        <v>6272.31</v>
      </c>
      <c r="I62">
        <v>5858.52</v>
      </c>
      <c r="J62">
        <v>5519.06</v>
      </c>
      <c r="K62">
        <v>5770.46</v>
      </c>
    </row>
    <row r="63" spans="1:11" x14ac:dyDescent="0.25">
      <c r="A63" s="4" t="s">
        <v>18</v>
      </c>
      <c r="B63">
        <v>71.599999999999994</v>
      </c>
      <c r="C63">
        <v>196</v>
      </c>
      <c r="D63">
        <v>106.59</v>
      </c>
      <c r="E63">
        <v>257.54000000000002</v>
      </c>
      <c r="F63">
        <v>1405.11</v>
      </c>
      <c r="G63">
        <v>209.67</v>
      </c>
      <c r="H63">
        <v>140.24</v>
      </c>
      <c r="I63">
        <v>182.98</v>
      </c>
      <c r="J63">
        <v>426.43</v>
      </c>
      <c r="K63">
        <v>1019.59</v>
      </c>
    </row>
    <row r="64" spans="1:11" x14ac:dyDescent="0.25">
      <c r="A64" s="4" t="s">
        <v>17</v>
      </c>
      <c r="B64">
        <v>1423.55</v>
      </c>
      <c r="C64">
        <v>1587.79</v>
      </c>
      <c r="D64">
        <v>2712.13</v>
      </c>
      <c r="E64">
        <v>2651.99</v>
      </c>
      <c r="F64">
        <v>2140.6999999999998</v>
      </c>
      <c r="G64">
        <v>2568.58</v>
      </c>
      <c r="H64">
        <v>2018.85</v>
      </c>
      <c r="I64">
        <v>4736.8</v>
      </c>
      <c r="J64">
        <v>3247.53</v>
      </c>
      <c r="K64">
        <v>4261.71</v>
      </c>
    </row>
    <row r="65" spans="1:11" x14ac:dyDescent="0.25">
      <c r="A65" s="4" t="s">
        <v>16</v>
      </c>
      <c r="B65">
        <v>4018.67</v>
      </c>
      <c r="C65">
        <v>4470.67</v>
      </c>
      <c r="D65">
        <v>4323.96</v>
      </c>
      <c r="E65">
        <v>6191.92</v>
      </c>
      <c r="F65">
        <v>6485.43</v>
      </c>
      <c r="G65">
        <v>6974.03</v>
      </c>
      <c r="H65">
        <v>7706.57</v>
      </c>
      <c r="I65">
        <v>9577.0400000000009</v>
      </c>
      <c r="J65">
        <v>13765.41</v>
      </c>
      <c r="K65">
        <v>14727.57</v>
      </c>
    </row>
    <row r="66" spans="1:11" s="3" customFormat="1" x14ac:dyDescent="0.25">
      <c r="A66" s="3" t="s">
        <v>15</v>
      </c>
      <c r="B66">
        <v>8075.4</v>
      </c>
      <c r="C66">
        <v>8914.5</v>
      </c>
      <c r="D66">
        <v>10559.03</v>
      </c>
      <c r="E66">
        <v>12405.19</v>
      </c>
      <c r="F66">
        <v>13763.48</v>
      </c>
      <c r="G66">
        <v>16248.84</v>
      </c>
      <c r="H66">
        <v>16137.97</v>
      </c>
      <c r="I66">
        <v>20355.34</v>
      </c>
      <c r="J66">
        <v>22958.43</v>
      </c>
      <c r="K66">
        <v>25779.33</v>
      </c>
    </row>
    <row r="67" spans="1:11" s="4" customFormat="1" x14ac:dyDescent="0.25">
      <c r="A67" s="4" t="s">
        <v>14</v>
      </c>
      <c r="B67">
        <v>1110.3</v>
      </c>
      <c r="C67">
        <v>1182.07</v>
      </c>
      <c r="D67">
        <v>1186.8399999999999</v>
      </c>
      <c r="E67">
        <v>1446.6</v>
      </c>
      <c r="F67">
        <v>1730.63</v>
      </c>
      <c r="G67">
        <v>1907.33</v>
      </c>
      <c r="H67">
        <v>1795.22</v>
      </c>
      <c r="I67">
        <v>2602.17</v>
      </c>
      <c r="J67">
        <v>3871.44</v>
      </c>
      <c r="K67">
        <v>4636.9399999999996</v>
      </c>
    </row>
    <row r="68" spans="1:11" x14ac:dyDescent="0.25">
      <c r="A68" s="4" t="s">
        <v>13</v>
      </c>
      <c r="B68">
        <v>2069.86</v>
      </c>
      <c r="C68">
        <v>2258.52</v>
      </c>
      <c r="D68">
        <v>1998.24</v>
      </c>
      <c r="E68">
        <v>2626.94</v>
      </c>
      <c r="F68">
        <v>2658.31</v>
      </c>
      <c r="G68">
        <v>3149.86</v>
      </c>
      <c r="H68">
        <v>3389.81</v>
      </c>
      <c r="I68">
        <v>3798.6</v>
      </c>
      <c r="J68">
        <v>6152.98</v>
      </c>
      <c r="K68">
        <v>6210.64</v>
      </c>
    </row>
    <row r="69" spans="1:11" x14ac:dyDescent="0.25">
      <c r="A69" s="1" t="s">
        <v>12</v>
      </c>
      <c r="B69">
        <v>229</v>
      </c>
      <c r="C69">
        <v>204.39</v>
      </c>
      <c r="D69">
        <v>424.2</v>
      </c>
      <c r="E69">
        <v>801.21</v>
      </c>
      <c r="F69">
        <v>404.65</v>
      </c>
      <c r="G69">
        <v>444.88</v>
      </c>
      <c r="H69">
        <v>782.83</v>
      </c>
      <c r="I69">
        <v>610.75</v>
      </c>
      <c r="J69">
        <v>864.33</v>
      </c>
      <c r="K69">
        <v>843.82</v>
      </c>
    </row>
    <row r="70" spans="1:11" x14ac:dyDescent="0.25">
      <c r="A70" s="1" t="s">
        <v>11</v>
      </c>
      <c r="B70">
        <v>959197800</v>
      </c>
      <c r="C70">
        <v>959197790</v>
      </c>
      <c r="D70">
        <v>959197790</v>
      </c>
      <c r="E70">
        <v>959197790</v>
      </c>
      <c r="F70">
        <v>959197790</v>
      </c>
      <c r="G70">
        <v>959197790</v>
      </c>
      <c r="H70">
        <v>959197790</v>
      </c>
      <c r="I70">
        <v>959197790</v>
      </c>
      <c r="J70">
        <v>959197790</v>
      </c>
      <c r="K70">
        <v>959197790</v>
      </c>
    </row>
    <row r="71" spans="1:11" x14ac:dyDescent="0.25">
      <c r="A71" s="1" t="s">
        <v>10</v>
      </c>
    </row>
    <row r="72" spans="1:11" x14ac:dyDescent="0.25">
      <c r="A72" s="1" t="s">
        <v>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4" spans="1:11" x14ac:dyDescent="0.25">
      <c r="A74" s="1" t="s">
        <v>16</v>
      </c>
      <c r="B74" s="1">
        <f>B65-SUM(B67:B69)</f>
        <v>609.51000000000022</v>
      </c>
      <c r="C74" s="1">
        <f t="shared" ref="C74:K74" si="1">C65-SUM(C67:C69)</f>
        <v>825.69</v>
      </c>
      <c r="D74" s="1">
        <f t="shared" si="1"/>
        <v>714.68000000000029</v>
      </c>
      <c r="E74" s="1">
        <f t="shared" si="1"/>
        <v>1317.17</v>
      </c>
      <c r="F74" s="1">
        <f t="shared" si="1"/>
        <v>1691.8400000000001</v>
      </c>
      <c r="G74" s="1">
        <f t="shared" si="1"/>
        <v>1471.9599999999991</v>
      </c>
      <c r="H74" s="1">
        <f t="shared" si="1"/>
        <v>1738.71</v>
      </c>
      <c r="I74" s="1">
        <f t="shared" si="1"/>
        <v>2565.5200000000004</v>
      </c>
      <c r="J74" s="1">
        <f t="shared" si="1"/>
        <v>2876.66</v>
      </c>
      <c r="K74" s="1">
        <f t="shared" si="1"/>
        <v>3036.17</v>
      </c>
    </row>
    <row r="75" spans="1:11" x14ac:dyDescent="0.25">
      <c r="A75" s="4"/>
    </row>
    <row r="76" spans="1:11" x14ac:dyDescent="0.25">
      <c r="A76" s="1" t="s">
        <v>85</v>
      </c>
      <c r="B76" s="1">
        <f>B66</f>
        <v>8075.4</v>
      </c>
      <c r="C76" s="1">
        <f t="shared" ref="C76:K76" si="2">C66</f>
        <v>8914.5</v>
      </c>
      <c r="D76" s="1">
        <f t="shared" si="2"/>
        <v>10559.03</v>
      </c>
      <c r="E76" s="1">
        <f t="shared" si="2"/>
        <v>12405.19</v>
      </c>
      <c r="F76" s="1">
        <f t="shared" si="2"/>
        <v>13763.48</v>
      </c>
      <c r="G76" s="1">
        <f t="shared" si="2"/>
        <v>16248.84</v>
      </c>
      <c r="H76" s="1">
        <f t="shared" si="2"/>
        <v>16137.97</v>
      </c>
      <c r="I76" s="1">
        <f t="shared" si="2"/>
        <v>20355.34</v>
      </c>
      <c r="J76" s="1">
        <f t="shared" si="2"/>
        <v>22958.43</v>
      </c>
      <c r="K76" s="1">
        <f t="shared" si="2"/>
        <v>25779.33</v>
      </c>
    </row>
    <row r="77" spans="1:11" x14ac:dyDescent="0.25">
      <c r="A77" s="4"/>
    </row>
    <row r="78" spans="1:11" x14ac:dyDescent="0.25">
      <c r="A78" s="4"/>
    </row>
    <row r="79" spans="1:11" x14ac:dyDescent="0.25">
      <c r="A79" s="4"/>
    </row>
    <row r="80" spans="1:11" x14ac:dyDescent="0.25">
      <c r="A80" s="3" t="s">
        <v>8</v>
      </c>
    </row>
    <row r="81" spans="1:11" s="5" customFormat="1" x14ac:dyDescent="0.25">
      <c r="A81" s="7" t="s">
        <v>7</v>
      </c>
      <c r="B81" s="6">
        <v>41729</v>
      </c>
      <c r="C81" s="6">
        <v>42094</v>
      </c>
      <c r="D81" s="6">
        <v>42460</v>
      </c>
      <c r="E81" s="6">
        <v>42825</v>
      </c>
      <c r="F81" s="6">
        <v>43190</v>
      </c>
      <c r="G81" s="6">
        <v>43555</v>
      </c>
      <c r="H81" s="6">
        <v>43921</v>
      </c>
      <c r="I81" s="6">
        <v>44286</v>
      </c>
      <c r="J81" s="6">
        <v>44651</v>
      </c>
      <c r="K81" s="6">
        <v>45016</v>
      </c>
    </row>
    <row r="82" spans="1:11" s="3" customFormat="1" x14ac:dyDescent="0.25">
      <c r="A82" s="4" t="s">
        <v>6</v>
      </c>
      <c r="B82">
        <v>1402.03</v>
      </c>
      <c r="C82">
        <v>1187.69</v>
      </c>
      <c r="D82">
        <v>2242.9499999999998</v>
      </c>
      <c r="E82">
        <v>1527.33</v>
      </c>
      <c r="F82">
        <v>2113.44</v>
      </c>
      <c r="G82">
        <v>2469.54</v>
      </c>
      <c r="H82">
        <v>3038.15</v>
      </c>
      <c r="I82">
        <v>3683.35</v>
      </c>
      <c r="J82">
        <v>986.49</v>
      </c>
      <c r="K82">
        <v>4193.43</v>
      </c>
    </row>
    <row r="83" spans="1:11" s="4" customFormat="1" x14ac:dyDescent="0.25">
      <c r="A83" s="4" t="s">
        <v>5</v>
      </c>
      <c r="B83">
        <v>-585.99</v>
      </c>
      <c r="C83">
        <v>-464.99</v>
      </c>
      <c r="D83">
        <v>-866.21</v>
      </c>
      <c r="E83">
        <v>-681.11</v>
      </c>
      <c r="F83">
        <v>-1556.14</v>
      </c>
      <c r="G83">
        <v>-917.79</v>
      </c>
      <c r="H83">
        <v>-517.91</v>
      </c>
      <c r="I83">
        <v>-540.54</v>
      </c>
      <c r="J83">
        <v>-316.75</v>
      </c>
      <c r="K83">
        <v>-1282.3399999999999</v>
      </c>
    </row>
    <row r="84" spans="1:11" s="4" customFormat="1" x14ac:dyDescent="0.25">
      <c r="A84" s="4" t="s">
        <v>4</v>
      </c>
      <c r="B84">
        <v>-625.91</v>
      </c>
      <c r="C84">
        <v>-576.09</v>
      </c>
      <c r="D84">
        <v>-848.98</v>
      </c>
      <c r="E84">
        <v>-756.43</v>
      </c>
      <c r="F84">
        <v>-1379.14</v>
      </c>
      <c r="G84">
        <v>-1117.46</v>
      </c>
      <c r="H84">
        <v>-2871.46</v>
      </c>
      <c r="I84">
        <v>-650.4</v>
      </c>
      <c r="J84">
        <v>-1807.61</v>
      </c>
      <c r="K84">
        <v>-2140.0500000000002</v>
      </c>
    </row>
    <row r="85" spans="1:11" s="3" customFormat="1" x14ac:dyDescent="0.25">
      <c r="A85" s="4" t="s">
        <v>3</v>
      </c>
      <c r="B85">
        <v>190.13</v>
      </c>
      <c r="C85">
        <v>146.61000000000001</v>
      </c>
      <c r="D85">
        <v>527.76</v>
      </c>
      <c r="E85">
        <v>89.79</v>
      </c>
      <c r="F85">
        <v>-821.84</v>
      </c>
      <c r="G85">
        <v>434.29</v>
      </c>
      <c r="H85">
        <v>-351.22</v>
      </c>
      <c r="I85">
        <v>2492.41</v>
      </c>
      <c r="J85">
        <v>-1137.8699999999999</v>
      </c>
      <c r="K85">
        <v>771.04</v>
      </c>
    </row>
    <row r="86" spans="1:11" x14ac:dyDescent="0.25">
      <c r="A86" s="4"/>
    </row>
    <row r="87" spans="1:11" x14ac:dyDescent="0.25">
      <c r="A87" s="4"/>
    </row>
    <row r="88" spans="1:11" x14ac:dyDescent="0.25">
      <c r="A88" s="4"/>
    </row>
    <row r="89" spans="1:11" x14ac:dyDescent="0.25">
      <c r="A89" s="4"/>
    </row>
    <row r="90" spans="1:11" s="3" customFormat="1" x14ac:dyDescent="0.25">
      <c r="A90" s="3" t="s">
        <v>2</v>
      </c>
      <c r="B90">
        <v>547.95000000000005</v>
      </c>
      <c r="C90">
        <v>811.3</v>
      </c>
      <c r="D90">
        <v>868.4</v>
      </c>
      <c r="E90">
        <v>1073.5</v>
      </c>
      <c r="F90">
        <v>1120.4000000000001</v>
      </c>
      <c r="G90">
        <v>1492.7</v>
      </c>
      <c r="H90">
        <v>1666.5</v>
      </c>
      <c r="I90">
        <v>2537.4</v>
      </c>
      <c r="J90">
        <v>3079.95</v>
      </c>
      <c r="K90">
        <v>2761.65</v>
      </c>
    </row>
    <row r="92" spans="1:11" s="3" customFormat="1" x14ac:dyDescent="0.25">
      <c r="A92" s="3" t="s">
        <v>1</v>
      </c>
    </row>
    <row r="93" spans="1:11" x14ac:dyDescent="0.25">
      <c r="A93" s="1" t="s">
        <v>0</v>
      </c>
      <c r="B93" s="2">
        <v>95.92</v>
      </c>
      <c r="C93" s="2">
        <v>95.92</v>
      </c>
      <c r="D93" s="2">
        <v>95.92</v>
      </c>
      <c r="E93" s="2">
        <v>95.92</v>
      </c>
      <c r="F93" s="2">
        <v>95.92</v>
      </c>
      <c r="G93" s="2">
        <v>95.92</v>
      </c>
      <c r="H93" s="2">
        <v>95.92</v>
      </c>
      <c r="I93" s="2">
        <v>95.92</v>
      </c>
      <c r="J93" s="2">
        <v>95.92</v>
      </c>
      <c r="K93" s="2">
        <v>95.92</v>
      </c>
    </row>
  </sheetData>
  <mergeCells count="1">
    <mergeCell ref="E2:K2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0"/>
  <sheetViews>
    <sheetView showGridLines="0" workbookViewId="0">
      <selection activeCell="M22" sqref="M22"/>
    </sheetView>
  </sheetViews>
  <sheetFormatPr defaultRowHeight="15" x14ac:dyDescent="0.25"/>
  <cols>
    <col min="2" max="2" width="28" bestFit="1" customWidth="1"/>
    <col min="3" max="10" width="10.7109375" customWidth="1"/>
  </cols>
  <sheetData>
    <row r="2" spans="2:12" x14ac:dyDescent="0.25">
      <c r="C2" s="47">
        <v>41699</v>
      </c>
      <c r="D2" s="47">
        <v>42064</v>
      </c>
      <c r="E2" s="47">
        <v>42430</v>
      </c>
      <c r="F2" s="47">
        <v>42795</v>
      </c>
      <c r="G2" s="47">
        <v>43160</v>
      </c>
      <c r="H2" s="47">
        <v>43525</v>
      </c>
      <c r="I2" s="47">
        <v>43891</v>
      </c>
      <c r="J2" s="47">
        <v>44256</v>
      </c>
      <c r="K2" s="47">
        <v>44621</v>
      </c>
      <c r="L2" s="74">
        <v>44986</v>
      </c>
    </row>
    <row r="3" spans="2:12" x14ac:dyDescent="0.25">
      <c r="B3" s="24" t="s">
        <v>87</v>
      </c>
      <c r="C3" s="25">
        <v>1402</v>
      </c>
      <c r="D3" s="25">
        <v>1188</v>
      </c>
      <c r="E3" s="25">
        <v>2243</v>
      </c>
      <c r="F3" s="25">
        <v>1527</v>
      </c>
      <c r="G3" s="25">
        <v>2113</v>
      </c>
      <c r="H3" s="25">
        <v>2470</v>
      </c>
      <c r="I3" s="25">
        <v>3038</v>
      </c>
      <c r="J3" s="25">
        <v>3683</v>
      </c>
      <c r="K3">
        <v>986</v>
      </c>
      <c r="L3" s="25">
        <v>4193</v>
      </c>
    </row>
    <row r="4" spans="2:12" x14ac:dyDescent="0.25">
      <c r="B4" t="s">
        <v>88</v>
      </c>
      <c r="C4" s="25">
        <v>2051</v>
      </c>
      <c r="D4" s="25">
        <v>2271</v>
      </c>
      <c r="E4" s="25">
        <v>2848</v>
      </c>
      <c r="F4" s="25">
        <v>3056</v>
      </c>
      <c r="G4" s="25">
        <v>3274</v>
      </c>
      <c r="H4" s="25">
        <v>3861</v>
      </c>
      <c r="I4" s="25">
        <v>4380</v>
      </c>
      <c r="J4" s="25">
        <v>4970</v>
      </c>
      <c r="K4" s="25">
        <v>4957</v>
      </c>
      <c r="L4" s="25">
        <v>6460</v>
      </c>
    </row>
    <row r="5" spans="2:12" x14ac:dyDescent="0.25">
      <c r="B5" t="s">
        <v>14</v>
      </c>
      <c r="C5" s="25">
        <v>-254</v>
      </c>
      <c r="D5" s="25">
        <v>-155</v>
      </c>
      <c r="E5" s="25">
        <v>-146</v>
      </c>
      <c r="F5" s="25">
        <v>-475</v>
      </c>
      <c r="G5" s="25">
        <v>-483</v>
      </c>
      <c r="H5" s="25">
        <v>-205</v>
      </c>
      <c r="I5">
        <v>160</v>
      </c>
      <c r="J5" s="25">
        <v>-849</v>
      </c>
      <c r="K5" s="25">
        <v>-1326</v>
      </c>
      <c r="L5">
        <v>-834</v>
      </c>
    </row>
    <row r="6" spans="2:12" x14ac:dyDescent="0.25">
      <c r="B6" t="s">
        <v>13</v>
      </c>
      <c r="C6" s="25">
        <v>-231</v>
      </c>
      <c r="D6" s="25">
        <v>-144</v>
      </c>
      <c r="E6" s="25">
        <v>202</v>
      </c>
      <c r="F6" s="25">
        <v>-629</v>
      </c>
      <c r="G6" s="25">
        <v>-39</v>
      </c>
      <c r="H6" s="25">
        <v>-492</v>
      </c>
      <c r="I6">
        <v>-251</v>
      </c>
      <c r="J6" s="25">
        <v>-409</v>
      </c>
      <c r="K6" s="25">
        <v>-2354</v>
      </c>
      <c r="L6">
        <v>-56</v>
      </c>
    </row>
    <row r="7" spans="2:12" x14ac:dyDescent="0.25">
      <c r="B7" t="s">
        <v>89</v>
      </c>
      <c r="C7" s="25">
        <v>317</v>
      </c>
      <c r="D7" s="25">
        <v>-151</v>
      </c>
      <c r="E7" s="25">
        <v>142</v>
      </c>
      <c r="F7" s="25">
        <v>501</v>
      </c>
      <c r="G7" s="25">
        <v>442</v>
      </c>
      <c r="H7" s="25">
        <v>287</v>
      </c>
      <c r="I7" s="25">
        <v>-241</v>
      </c>
      <c r="J7" s="25">
        <v>1143</v>
      </c>
      <c r="K7">
        <v>644</v>
      </c>
      <c r="L7">
        <v>-539</v>
      </c>
    </row>
    <row r="8" spans="2:12" x14ac:dyDescent="0.25"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-92</v>
      </c>
      <c r="K8">
        <v>242</v>
      </c>
      <c r="L8">
        <v>657</v>
      </c>
    </row>
    <row r="9" spans="2:12" x14ac:dyDescent="0.25">
      <c r="B9" t="s">
        <v>91</v>
      </c>
      <c r="C9" s="25">
        <v>-168</v>
      </c>
      <c r="D9" s="25">
        <v>-450</v>
      </c>
      <c r="E9">
        <v>198</v>
      </c>
      <c r="F9" s="25">
        <v>-603</v>
      </c>
      <c r="G9">
        <v>-80</v>
      </c>
      <c r="H9" s="25">
        <v>-410</v>
      </c>
      <c r="I9" s="25">
        <v>-331</v>
      </c>
      <c r="J9" s="25">
        <v>-206</v>
      </c>
      <c r="K9" s="25">
        <v>-2795</v>
      </c>
      <c r="L9">
        <v>-772</v>
      </c>
    </row>
    <row r="10" spans="2:12" x14ac:dyDescent="0.25">
      <c r="B10" t="s">
        <v>92</v>
      </c>
      <c r="C10" s="25">
        <v>-480</v>
      </c>
      <c r="D10" s="25">
        <v>-633</v>
      </c>
      <c r="E10" s="25">
        <v>-802</v>
      </c>
      <c r="F10" s="25">
        <v>-925</v>
      </c>
      <c r="G10" s="25">
        <v>-1081</v>
      </c>
      <c r="H10">
        <v>-982</v>
      </c>
      <c r="I10" s="25">
        <v>-1011</v>
      </c>
      <c r="J10" s="25">
        <v>-1080</v>
      </c>
      <c r="K10" s="25">
        <v>-1176</v>
      </c>
      <c r="L10" s="25">
        <v>-1494</v>
      </c>
    </row>
    <row r="11" spans="2:12" x14ac:dyDescent="0.25">
      <c r="B11" s="48" t="s">
        <v>158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>
        <v>0</v>
      </c>
      <c r="L11">
        <v>0</v>
      </c>
    </row>
    <row r="12" spans="2:12" x14ac:dyDescent="0.25">
      <c r="B12" s="24" t="s">
        <v>93</v>
      </c>
      <c r="C12" s="25">
        <v>-586</v>
      </c>
      <c r="D12" s="25">
        <v>-465</v>
      </c>
      <c r="E12" s="25">
        <v>-866</v>
      </c>
      <c r="F12" s="25">
        <v>-681</v>
      </c>
      <c r="G12" s="25">
        <v>-1556</v>
      </c>
      <c r="H12" s="25">
        <v>-918</v>
      </c>
      <c r="I12" s="25">
        <v>-518</v>
      </c>
      <c r="J12" s="25">
        <v>-541</v>
      </c>
      <c r="K12">
        <v>-317</v>
      </c>
      <c r="L12" s="25">
        <v>-1282</v>
      </c>
    </row>
    <row r="13" spans="2:12" x14ac:dyDescent="0.25">
      <c r="B13" t="s">
        <v>94</v>
      </c>
      <c r="C13" s="25">
        <v>-251</v>
      </c>
      <c r="D13" s="25">
        <v>-454</v>
      </c>
      <c r="E13" s="25">
        <v>-817</v>
      </c>
      <c r="F13" s="25">
        <v>-684</v>
      </c>
      <c r="G13" s="25">
        <v>-1426</v>
      </c>
      <c r="H13" s="25">
        <v>-1151</v>
      </c>
      <c r="I13" s="25">
        <v>-404</v>
      </c>
      <c r="J13" s="25">
        <v>-282</v>
      </c>
      <c r="K13">
        <v>-551</v>
      </c>
      <c r="L13" s="25">
        <v>-1446</v>
      </c>
    </row>
    <row r="14" spans="2:12" x14ac:dyDescent="0.25">
      <c r="B14" t="s">
        <v>95</v>
      </c>
      <c r="C14">
        <v>16</v>
      </c>
      <c r="D14">
        <v>16</v>
      </c>
      <c r="E14">
        <v>15</v>
      </c>
      <c r="F14">
        <v>17</v>
      </c>
      <c r="G14">
        <v>17</v>
      </c>
      <c r="H14">
        <v>17</v>
      </c>
      <c r="I14">
        <v>37</v>
      </c>
      <c r="J14">
        <v>28</v>
      </c>
      <c r="K14">
        <v>40</v>
      </c>
      <c r="L14">
        <v>26</v>
      </c>
    </row>
    <row r="15" spans="2:12" x14ac:dyDescent="0.25">
      <c r="B15" t="s">
        <v>96</v>
      </c>
      <c r="C15" s="25">
        <v>-872</v>
      </c>
      <c r="D15">
        <v>-243</v>
      </c>
      <c r="E15">
        <v>-282</v>
      </c>
      <c r="F15">
        <v>-153</v>
      </c>
      <c r="G15" s="25">
        <v>-320</v>
      </c>
      <c r="H15" s="25">
        <v>-573</v>
      </c>
      <c r="I15" s="25">
        <v>-25</v>
      </c>
      <c r="J15">
        <v>-140</v>
      </c>
      <c r="K15">
        <v>0</v>
      </c>
      <c r="L15">
        <v>-146</v>
      </c>
    </row>
    <row r="16" spans="2:12" x14ac:dyDescent="0.25">
      <c r="B16" t="s">
        <v>97</v>
      </c>
      <c r="C16">
        <v>463</v>
      </c>
      <c r="D16" s="25">
        <v>278</v>
      </c>
      <c r="E16" s="25">
        <v>205</v>
      </c>
      <c r="F16" s="25">
        <v>357</v>
      </c>
      <c r="G16">
        <v>362</v>
      </c>
      <c r="H16">
        <v>733</v>
      </c>
      <c r="I16">
        <v>134</v>
      </c>
      <c r="J16" s="25">
        <v>272</v>
      </c>
      <c r="K16">
        <v>207</v>
      </c>
      <c r="L16">
        <v>446</v>
      </c>
    </row>
    <row r="17" spans="2:12" x14ac:dyDescent="0.25">
      <c r="B17" t="s">
        <v>98</v>
      </c>
      <c r="C17">
        <v>14</v>
      </c>
      <c r="D17">
        <v>11</v>
      </c>
      <c r="E17">
        <v>15</v>
      </c>
      <c r="F17">
        <v>32</v>
      </c>
      <c r="G17" s="25">
        <v>39</v>
      </c>
      <c r="H17">
        <v>40</v>
      </c>
      <c r="I17">
        <v>65</v>
      </c>
      <c r="J17">
        <v>73</v>
      </c>
      <c r="K17">
        <v>77</v>
      </c>
      <c r="L17">
        <v>87</v>
      </c>
    </row>
    <row r="18" spans="2:12" x14ac:dyDescent="0.25">
      <c r="B18" t="s">
        <v>99</v>
      </c>
      <c r="C18">
        <v>65</v>
      </c>
      <c r="D18">
        <v>71</v>
      </c>
      <c r="E18" s="25">
        <v>69</v>
      </c>
      <c r="F18">
        <v>74</v>
      </c>
      <c r="G18">
        <v>38</v>
      </c>
      <c r="H18">
        <v>40</v>
      </c>
      <c r="I18">
        <v>27</v>
      </c>
      <c r="J18">
        <v>8</v>
      </c>
      <c r="K18">
        <v>15</v>
      </c>
      <c r="L18">
        <v>56</v>
      </c>
    </row>
    <row r="19" spans="2:12" x14ac:dyDescent="0.25">
      <c r="B19" t="s">
        <v>100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-180</v>
      </c>
    </row>
    <row r="20" spans="2:12" x14ac:dyDescent="0.25">
      <c r="B20" t="s">
        <v>101</v>
      </c>
      <c r="C20">
        <v>0</v>
      </c>
      <c r="D20">
        <v>0</v>
      </c>
      <c r="E20">
        <v>0</v>
      </c>
      <c r="F20">
        <v>0</v>
      </c>
      <c r="G20">
        <v>141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2:12" x14ac:dyDescent="0.25">
      <c r="B21" t="s">
        <v>102</v>
      </c>
      <c r="C21">
        <v>0</v>
      </c>
      <c r="D21">
        <v>0</v>
      </c>
      <c r="E21">
        <v>0</v>
      </c>
      <c r="F21">
        <v>0</v>
      </c>
      <c r="G21">
        <v>-525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2:12" x14ac:dyDescent="0.25">
      <c r="B22" t="s">
        <v>103</v>
      </c>
      <c r="C22">
        <v>-70</v>
      </c>
      <c r="D22">
        <v>-324</v>
      </c>
      <c r="E22">
        <v>118</v>
      </c>
      <c r="F22">
        <v>-24</v>
      </c>
      <c r="G22">
        <v>-353</v>
      </c>
      <c r="H22">
        <v>-500</v>
      </c>
      <c r="I22">
        <v>-105</v>
      </c>
      <c r="J22">
        <v>-126</v>
      </c>
    </row>
    <row r="23" spans="2:12" x14ac:dyDescent="0.25">
      <c r="B23" t="s">
        <v>104</v>
      </c>
      <c r="C23">
        <v>-626</v>
      </c>
      <c r="D23">
        <v>-576</v>
      </c>
      <c r="E23">
        <v>-849</v>
      </c>
      <c r="F23">
        <v>-756</v>
      </c>
      <c r="G23" s="25">
        <v>-1379</v>
      </c>
      <c r="H23" s="25">
        <v>-1117</v>
      </c>
      <c r="I23" s="25">
        <v>-2871</v>
      </c>
      <c r="J23">
        <v>-650</v>
      </c>
      <c r="K23" s="25">
        <v>-1808</v>
      </c>
      <c r="L23" s="25">
        <v>-2140</v>
      </c>
    </row>
    <row r="24" spans="2:12" x14ac:dyDescent="0.25">
      <c r="B24" t="s">
        <v>105</v>
      </c>
      <c r="C24">
        <v>44</v>
      </c>
      <c r="D24">
        <v>239</v>
      </c>
      <c r="E24">
        <v>8</v>
      </c>
      <c r="F24">
        <v>271</v>
      </c>
      <c r="G24">
        <v>10</v>
      </c>
      <c r="H24">
        <v>243</v>
      </c>
      <c r="I24">
        <v>18</v>
      </c>
      <c r="J24">
        <v>155</v>
      </c>
      <c r="K24">
        <v>418</v>
      </c>
      <c r="L24">
        <v>254</v>
      </c>
    </row>
    <row r="25" spans="2:12" x14ac:dyDescent="0.25">
      <c r="B25" t="s">
        <v>106</v>
      </c>
      <c r="C25">
        <v>-81</v>
      </c>
      <c r="D25">
        <v>-86</v>
      </c>
      <c r="E25">
        <v>-119</v>
      </c>
      <c r="F25">
        <v>-58</v>
      </c>
      <c r="G25">
        <v>-54</v>
      </c>
      <c r="H25">
        <v>-26</v>
      </c>
      <c r="I25">
        <v>-279</v>
      </c>
      <c r="J25">
        <v>-14</v>
      </c>
      <c r="K25">
        <v>-8</v>
      </c>
      <c r="L25">
        <v>-25</v>
      </c>
    </row>
    <row r="26" spans="2:12" x14ac:dyDescent="0.25">
      <c r="B26" t="s">
        <v>107</v>
      </c>
      <c r="C26">
        <v>-42</v>
      </c>
      <c r="D26">
        <v>-35</v>
      </c>
      <c r="E26">
        <v>-40</v>
      </c>
      <c r="F26">
        <v>-36</v>
      </c>
      <c r="G26">
        <v>-35</v>
      </c>
      <c r="H26">
        <v>-106</v>
      </c>
      <c r="I26">
        <v>-101</v>
      </c>
      <c r="J26">
        <v>-89</v>
      </c>
      <c r="K26">
        <v>-94</v>
      </c>
      <c r="L26">
        <v>-142</v>
      </c>
    </row>
    <row r="27" spans="2:12" x14ac:dyDescent="0.25">
      <c r="B27" t="s">
        <v>108</v>
      </c>
      <c r="C27">
        <v>-547</v>
      </c>
      <c r="D27">
        <v>-695</v>
      </c>
      <c r="E27">
        <v>-764</v>
      </c>
      <c r="F27">
        <v>-947</v>
      </c>
      <c r="G27" s="25">
        <v>-1218</v>
      </c>
      <c r="H27" s="25">
        <v>-1049</v>
      </c>
      <c r="I27" s="25">
        <v>-2121</v>
      </c>
      <c r="J27">
        <v>-499</v>
      </c>
      <c r="K27" s="25">
        <v>-1763</v>
      </c>
      <c r="L27" s="25">
        <v>-1936</v>
      </c>
    </row>
    <row r="28" spans="2:12" x14ac:dyDescent="0.25">
      <c r="B28" t="s">
        <v>109</v>
      </c>
      <c r="C28">
        <v>0</v>
      </c>
      <c r="D28">
        <v>0</v>
      </c>
      <c r="E28">
        <v>0</v>
      </c>
      <c r="F28">
        <v>0</v>
      </c>
      <c r="G28">
        <v>0</v>
      </c>
      <c r="H28">
        <v>-180</v>
      </c>
      <c r="I28">
        <v>-179</v>
      </c>
      <c r="J28">
        <v>-203</v>
      </c>
      <c r="K28">
        <v>-221</v>
      </c>
      <c r="L28">
        <v>-256</v>
      </c>
    </row>
    <row r="29" spans="2:12" x14ac:dyDescent="0.25">
      <c r="B29" t="s">
        <v>110</v>
      </c>
      <c r="C29">
        <v>0</v>
      </c>
      <c r="D29">
        <v>0</v>
      </c>
      <c r="E29">
        <v>66</v>
      </c>
      <c r="F29">
        <v>13</v>
      </c>
      <c r="G29">
        <v>-82</v>
      </c>
      <c r="H29">
        <v>0</v>
      </c>
      <c r="I29">
        <v>-209</v>
      </c>
      <c r="J29">
        <v>0</v>
      </c>
      <c r="K29">
        <v>-140</v>
      </c>
      <c r="L29">
        <v>-36</v>
      </c>
    </row>
    <row r="30" spans="2:12" x14ac:dyDescent="0.25">
      <c r="B30" t="s">
        <v>3</v>
      </c>
      <c r="C30">
        <v>190</v>
      </c>
      <c r="D30">
        <v>147</v>
      </c>
      <c r="E30">
        <v>528</v>
      </c>
      <c r="F30">
        <v>90</v>
      </c>
      <c r="G30">
        <v>-822</v>
      </c>
      <c r="H30">
        <v>434</v>
      </c>
      <c r="I30">
        <v>-351</v>
      </c>
      <c r="J30" s="25">
        <v>2492</v>
      </c>
      <c r="K30" s="25">
        <v>-1138</v>
      </c>
      <c r="L30">
        <v>771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41"/>
  <sheetViews>
    <sheetView showGridLines="0" topLeftCell="B1" workbookViewId="0">
      <pane ySplit="3" topLeftCell="A4" activePane="bottomLeft" state="frozen"/>
      <selection pane="bottomLeft" activeCell="C11" sqref="C11"/>
    </sheetView>
  </sheetViews>
  <sheetFormatPr defaultRowHeight="15" x14ac:dyDescent="0.25"/>
  <cols>
    <col min="1" max="1" width="1.85546875" customWidth="1"/>
    <col min="2" max="2" width="24.85546875" bestFit="1" customWidth="1"/>
  </cols>
  <sheetData>
    <row r="3" spans="2:12" x14ac:dyDescent="0.25">
      <c r="B3" s="75" t="s">
        <v>156</v>
      </c>
      <c r="C3" s="76">
        <v>41699</v>
      </c>
      <c r="D3" s="76">
        <v>42064</v>
      </c>
      <c r="E3" s="76">
        <v>42430</v>
      </c>
      <c r="F3" s="76">
        <v>42795</v>
      </c>
      <c r="G3" s="76">
        <v>43160</v>
      </c>
      <c r="H3" s="76">
        <v>43525</v>
      </c>
      <c r="I3" s="76">
        <v>43891</v>
      </c>
      <c r="J3" s="76">
        <v>44256</v>
      </c>
      <c r="K3" s="76">
        <v>44621</v>
      </c>
      <c r="L3" s="76">
        <v>44986</v>
      </c>
    </row>
    <row r="4" spans="2:12" x14ac:dyDescent="0.25">
      <c r="B4" s="77"/>
      <c r="C4" s="78"/>
      <c r="D4" s="78"/>
      <c r="E4" s="78"/>
      <c r="F4" s="78"/>
      <c r="G4" s="78"/>
      <c r="H4" s="78"/>
      <c r="I4" s="78"/>
      <c r="J4" s="78"/>
      <c r="K4" s="78"/>
      <c r="L4" s="78"/>
    </row>
    <row r="5" spans="2:12" x14ac:dyDescent="0.25">
      <c r="B5" s="24" t="s">
        <v>159</v>
      </c>
      <c r="C5" s="79">
        <v>96</v>
      </c>
      <c r="D5" s="79">
        <v>96</v>
      </c>
      <c r="E5" s="79">
        <v>96</v>
      </c>
      <c r="F5" s="79">
        <v>96</v>
      </c>
      <c r="G5" s="79">
        <v>96</v>
      </c>
      <c r="H5" s="79">
        <v>96</v>
      </c>
      <c r="I5" s="79">
        <v>96</v>
      </c>
      <c r="J5" s="79">
        <v>96</v>
      </c>
      <c r="K5" s="79">
        <v>96</v>
      </c>
      <c r="L5" s="79">
        <v>96</v>
      </c>
    </row>
    <row r="6" spans="2:12" x14ac:dyDescent="0.25">
      <c r="B6" s="24" t="s">
        <v>22</v>
      </c>
      <c r="C6" s="79">
        <v>3943</v>
      </c>
      <c r="D6" s="79">
        <v>4646</v>
      </c>
      <c r="E6" s="79">
        <v>6429</v>
      </c>
      <c r="F6" s="79">
        <v>7508</v>
      </c>
      <c r="G6" s="79">
        <v>8314</v>
      </c>
      <c r="H6" s="79">
        <v>9375</v>
      </c>
      <c r="I6" s="79">
        <v>10034</v>
      </c>
      <c r="J6" s="79">
        <v>12710</v>
      </c>
      <c r="K6" s="79">
        <v>13716</v>
      </c>
      <c r="L6" s="79">
        <v>15896</v>
      </c>
    </row>
    <row r="7" spans="2:12" x14ac:dyDescent="0.25">
      <c r="B7" s="24" t="s">
        <v>160</v>
      </c>
      <c r="C7" s="79"/>
      <c r="D7" s="79"/>
      <c r="E7" s="79"/>
      <c r="F7" s="79"/>
      <c r="G7" s="79"/>
      <c r="H7" s="79"/>
      <c r="I7" s="79"/>
      <c r="J7" s="79"/>
      <c r="K7" s="79"/>
      <c r="L7" s="79"/>
    </row>
    <row r="8" spans="2:12" x14ac:dyDescent="0.25">
      <c r="B8" t="s">
        <v>161</v>
      </c>
      <c r="C8" s="79">
        <v>41</v>
      </c>
      <c r="D8" s="79">
        <v>78</v>
      </c>
      <c r="E8" s="79">
        <v>73</v>
      </c>
      <c r="F8" s="79">
        <v>41</v>
      </c>
      <c r="G8" s="79">
        <v>28</v>
      </c>
      <c r="H8" s="79">
        <v>19</v>
      </c>
      <c r="I8" s="79">
        <v>19</v>
      </c>
      <c r="J8" s="79">
        <v>15</v>
      </c>
      <c r="K8" s="79">
        <v>45</v>
      </c>
      <c r="L8" s="79">
        <v>76</v>
      </c>
    </row>
    <row r="9" spans="2:12" x14ac:dyDescent="0.25">
      <c r="B9" t="s">
        <v>162</v>
      </c>
      <c r="C9" s="79">
        <v>199</v>
      </c>
      <c r="D9" s="79">
        <v>332</v>
      </c>
      <c r="E9" s="79">
        <v>231</v>
      </c>
      <c r="F9" s="79">
        <v>504</v>
      </c>
      <c r="G9" s="79">
        <v>492</v>
      </c>
      <c r="H9" s="79">
        <v>597</v>
      </c>
      <c r="I9" s="79">
        <v>321</v>
      </c>
      <c r="J9" s="79">
        <v>334</v>
      </c>
      <c r="K9" s="79">
        <v>731</v>
      </c>
      <c r="L9" s="79">
        <v>896</v>
      </c>
    </row>
    <row r="10" spans="2:12" x14ac:dyDescent="0.25">
      <c r="B10" t="s">
        <v>163</v>
      </c>
      <c r="C10" s="79">
        <v>0</v>
      </c>
      <c r="D10" s="79">
        <v>0</v>
      </c>
      <c r="E10" s="79">
        <v>0</v>
      </c>
      <c r="F10" s="79">
        <v>0</v>
      </c>
      <c r="G10" s="79">
        <v>0</v>
      </c>
      <c r="H10" s="79">
        <v>693</v>
      </c>
      <c r="I10" s="79">
        <v>764</v>
      </c>
      <c r="J10" s="79">
        <v>745</v>
      </c>
      <c r="K10" s="79">
        <v>811</v>
      </c>
      <c r="L10" s="79">
        <v>960</v>
      </c>
    </row>
    <row r="11" spans="2:12" x14ac:dyDescent="0.25">
      <c r="B11" t="s">
        <v>164</v>
      </c>
      <c r="C11" s="79">
        <v>9</v>
      </c>
      <c r="D11" s="79">
        <v>8</v>
      </c>
      <c r="E11" s="79">
        <v>20</v>
      </c>
      <c r="F11" s="79">
        <v>15</v>
      </c>
      <c r="G11" s="79">
        <v>13</v>
      </c>
      <c r="H11" s="79">
        <v>11</v>
      </c>
      <c r="I11" s="79">
        <v>15</v>
      </c>
      <c r="J11" s="79">
        <v>0</v>
      </c>
      <c r="K11" s="79">
        <v>0</v>
      </c>
      <c r="L11" s="79">
        <v>0</v>
      </c>
    </row>
    <row r="12" spans="2:12" x14ac:dyDescent="0.25">
      <c r="B12" s="24" t="s">
        <v>165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</row>
    <row r="13" spans="2:12" x14ac:dyDescent="0.25">
      <c r="B13" t="s">
        <v>166</v>
      </c>
      <c r="C13" s="79">
        <v>246</v>
      </c>
      <c r="D13" s="79">
        <v>264</v>
      </c>
      <c r="E13" s="79">
        <v>384</v>
      </c>
      <c r="F13" s="79">
        <v>375</v>
      </c>
      <c r="G13" s="79">
        <v>328</v>
      </c>
      <c r="H13" s="79">
        <v>361</v>
      </c>
      <c r="I13" s="79">
        <v>404</v>
      </c>
      <c r="J13" s="79">
        <v>423</v>
      </c>
      <c r="K13" s="79">
        <v>388</v>
      </c>
      <c r="L13" s="79">
        <v>454</v>
      </c>
    </row>
    <row r="14" spans="2:12" x14ac:dyDescent="0.25">
      <c r="B14" t="s">
        <v>167</v>
      </c>
      <c r="C14" s="79">
        <v>1746</v>
      </c>
      <c r="D14" s="79">
        <v>1549</v>
      </c>
      <c r="E14" s="79">
        <v>1565</v>
      </c>
      <c r="F14" s="79">
        <v>1923</v>
      </c>
      <c r="G14" s="79">
        <v>2160</v>
      </c>
      <c r="H14" s="79">
        <v>2394</v>
      </c>
      <c r="I14" s="79">
        <v>2137</v>
      </c>
      <c r="J14" s="79">
        <v>3379</v>
      </c>
      <c r="K14" s="79">
        <v>4164</v>
      </c>
      <c r="L14" s="79">
        <v>3635</v>
      </c>
    </row>
    <row r="15" spans="2:12" x14ac:dyDescent="0.25">
      <c r="B15" t="s">
        <v>168</v>
      </c>
      <c r="C15" s="79">
        <v>0</v>
      </c>
      <c r="D15" s="79">
        <v>5</v>
      </c>
      <c r="E15" s="79">
        <v>12</v>
      </c>
      <c r="F15" s="79">
        <v>17</v>
      </c>
      <c r="G15" s="79">
        <v>16</v>
      </c>
      <c r="H15" s="79">
        <v>13</v>
      </c>
      <c r="I15" s="79">
        <v>29</v>
      </c>
      <c r="J15" s="79">
        <v>41</v>
      </c>
      <c r="K15" s="79">
        <v>76</v>
      </c>
      <c r="L15" s="79">
        <v>108</v>
      </c>
    </row>
    <row r="16" spans="2:12" x14ac:dyDescent="0.25">
      <c r="B16" t="s">
        <v>169</v>
      </c>
      <c r="C16" s="81">
        <v>1795</v>
      </c>
      <c r="D16" s="81">
        <v>1937</v>
      </c>
      <c r="E16" s="81">
        <v>1750</v>
      </c>
      <c r="F16" s="81">
        <v>1925</v>
      </c>
      <c r="G16" s="81">
        <v>2316</v>
      </c>
      <c r="H16" s="81">
        <v>2690</v>
      </c>
      <c r="I16" s="81">
        <v>2320</v>
      </c>
      <c r="J16" s="81">
        <v>2613</v>
      </c>
      <c r="K16" s="81">
        <v>2932</v>
      </c>
      <c r="L16" s="81">
        <v>3657</v>
      </c>
    </row>
    <row r="17" spans="2:15" x14ac:dyDescent="0.25">
      <c r="B17" s="24" t="s">
        <v>81</v>
      </c>
      <c r="C17" s="83">
        <v>8075</v>
      </c>
      <c r="D17" s="83">
        <v>8914</v>
      </c>
      <c r="E17" s="83">
        <v>10559</v>
      </c>
      <c r="F17" s="83">
        <v>12405</v>
      </c>
      <c r="G17" s="83">
        <v>13763</v>
      </c>
      <c r="H17" s="83">
        <v>16249</v>
      </c>
      <c r="I17" s="83">
        <v>16138</v>
      </c>
      <c r="J17" s="83">
        <v>20355</v>
      </c>
      <c r="K17" s="83">
        <v>22958</v>
      </c>
      <c r="L17" s="83">
        <v>25779</v>
      </c>
    </row>
    <row r="18" spans="2:15" x14ac:dyDescent="0.25"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2:15" x14ac:dyDescent="0.25">
      <c r="B19" s="24" t="s">
        <v>170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spans="2:15" x14ac:dyDescent="0.25">
      <c r="B20" t="s">
        <v>171</v>
      </c>
      <c r="C20" s="79">
        <v>247</v>
      </c>
      <c r="D20" s="79">
        <v>251</v>
      </c>
      <c r="E20" s="79">
        <v>429</v>
      </c>
      <c r="F20" s="79">
        <v>408</v>
      </c>
      <c r="G20" s="79">
        <v>586</v>
      </c>
      <c r="H20" s="79">
        <v>605</v>
      </c>
      <c r="I20" s="79">
        <v>640</v>
      </c>
      <c r="J20" s="79">
        <v>644</v>
      </c>
      <c r="K20" s="79">
        <v>644</v>
      </c>
      <c r="L20" s="79">
        <v>799</v>
      </c>
    </row>
    <row r="21" spans="2:15" x14ac:dyDescent="0.25">
      <c r="B21" t="s">
        <v>172</v>
      </c>
      <c r="C21" s="79">
        <v>931</v>
      </c>
      <c r="D21" s="79">
        <v>962</v>
      </c>
      <c r="E21" s="79">
        <v>923</v>
      </c>
      <c r="F21" s="79">
        <v>931</v>
      </c>
      <c r="G21" s="79">
        <v>957</v>
      </c>
      <c r="H21" s="79">
        <v>2402</v>
      </c>
      <c r="I21" s="79">
        <v>2257</v>
      </c>
      <c r="J21" s="79">
        <v>2249</v>
      </c>
      <c r="K21" s="79">
        <v>2325</v>
      </c>
      <c r="L21" s="79">
        <v>2617</v>
      </c>
    </row>
    <row r="22" spans="2:15" x14ac:dyDescent="0.25">
      <c r="B22" t="s">
        <v>173</v>
      </c>
      <c r="C22" s="79">
        <v>2054</v>
      </c>
      <c r="D22" s="79">
        <v>2132</v>
      </c>
      <c r="E22" s="79">
        <v>1793</v>
      </c>
      <c r="F22" s="79">
        <v>1980</v>
      </c>
      <c r="G22" s="79">
        <v>2157</v>
      </c>
      <c r="H22" s="79">
        <v>4006</v>
      </c>
      <c r="I22" s="79">
        <v>4208</v>
      </c>
      <c r="J22" s="79">
        <v>4340</v>
      </c>
      <c r="K22" s="79">
        <v>4531</v>
      </c>
      <c r="L22" s="79">
        <v>4825</v>
      </c>
    </row>
    <row r="23" spans="2:15" x14ac:dyDescent="0.25">
      <c r="B23" t="s">
        <v>174</v>
      </c>
      <c r="C23" s="79">
        <v>155</v>
      </c>
      <c r="D23" s="79">
        <v>171</v>
      </c>
      <c r="E23" s="79">
        <v>97</v>
      </c>
      <c r="F23" s="79">
        <v>119</v>
      </c>
      <c r="G23" s="79">
        <v>200</v>
      </c>
      <c r="H23" s="79">
        <v>221</v>
      </c>
      <c r="I23" s="79">
        <v>241</v>
      </c>
      <c r="J23" s="79">
        <v>243</v>
      </c>
      <c r="K23" s="79">
        <v>253</v>
      </c>
      <c r="L23" s="79">
        <v>270</v>
      </c>
    </row>
    <row r="24" spans="2:15" x14ac:dyDescent="0.25">
      <c r="B24" t="s">
        <v>175</v>
      </c>
      <c r="C24" s="79">
        <v>71</v>
      </c>
      <c r="D24" s="79">
        <v>83</v>
      </c>
      <c r="E24" s="79">
        <v>49</v>
      </c>
      <c r="F24" s="79">
        <v>59</v>
      </c>
      <c r="G24" s="79">
        <v>72</v>
      </c>
      <c r="H24" s="79">
        <v>88</v>
      </c>
      <c r="I24" s="79">
        <v>94</v>
      </c>
      <c r="J24" s="79">
        <v>99</v>
      </c>
      <c r="K24" s="79">
        <v>113</v>
      </c>
      <c r="L24" s="79">
        <v>146</v>
      </c>
    </row>
    <row r="25" spans="2:15" x14ac:dyDescent="0.25">
      <c r="B25" t="s">
        <v>176</v>
      </c>
      <c r="C25" s="79">
        <v>14</v>
      </c>
      <c r="D25" s="79">
        <v>18</v>
      </c>
      <c r="E25" s="79">
        <v>11</v>
      </c>
      <c r="F25" s="79">
        <v>14</v>
      </c>
      <c r="G25" s="79">
        <v>27</v>
      </c>
      <c r="H25" s="79">
        <v>47</v>
      </c>
      <c r="I25" s="79">
        <v>43</v>
      </c>
      <c r="J25" s="79">
        <v>38</v>
      </c>
      <c r="K25" s="79">
        <v>32</v>
      </c>
      <c r="L25" s="79">
        <v>30</v>
      </c>
      <c r="O25" s="25"/>
    </row>
    <row r="26" spans="2:15" x14ac:dyDescent="0.25">
      <c r="B26" t="s">
        <v>177</v>
      </c>
      <c r="C26" s="79">
        <v>203</v>
      </c>
      <c r="D26" s="79">
        <v>351</v>
      </c>
      <c r="E26" s="79">
        <v>339</v>
      </c>
      <c r="F26" s="79">
        <v>276</v>
      </c>
      <c r="G26" s="79">
        <v>468</v>
      </c>
      <c r="H26" s="79">
        <v>512</v>
      </c>
      <c r="I26" s="79">
        <v>505</v>
      </c>
      <c r="J26" s="79">
        <v>476</v>
      </c>
      <c r="K26" s="79">
        <v>345</v>
      </c>
      <c r="L26" s="79">
        <v>330</v>
      </c>
    </row>
    <row r="27" spans="2:15" x14ac:dyDescent="0.25">
      <c r="B27" t="s">
        <v>178</v>
      </c>
      <c r="C27" s="79">
        <v>128</v>
      </c>
      <c r="D27" s="79">
        <v>145</v>
      </c>
      <c r="E27" s="79">
        <v>103</v>
      </c>
      <c r="F27" s="79">
        <v>128</v>
      </c>
      <c r="G27" s="79">
        <v>238</v>
      </c>
      <c r="H27" s="79">
        <v>261</v>
      </c>
      <c r="I27" s="79">
        <v>293</v>
      </c>
      <c r="J27" s="79">
        <v>302</v>
      </c>
      <c r="K27" s="79">
        <v>294</v>
      </c>
      <c r="L27" s="79">
        <v>289</v>
      </c>
    </row>
    <row r="28" spans="2:15" x14ac:dyDescent="0.25">
      <c r="B28" s="24" t="s">
        <v>179</v>
      </c>
      <c r="C28" s="79">
        <v>3804</v>
      </c>
      <c r="D28" s="79">
        <v>4112</v>
      </c>
      <c r="E28" s="79">
        <v>3744</v>
      </c>
      <c r="F28" s="79">
        <v>3914</v>
      </c>
      <c r="G28" s="79">
        <v>4705</v>
      </c>
      <c r="H28" s="79">
        <v>8141</v>
      </c>
      <c r="I28" s="79">
        <v>8282</v>
      </c>
      <c r="J28" s="79">
        <v>8392</v>
      </c>
      <c r="K28" s="79">
        <v>8538</v>
      </c>
      <c r="L28" s="79">
        <v>9307</v>
      </c>
    </row>
    <row r="29" spans="2:15" x14ac:dyDescent="0.25">
      <c r="B29" s="24" t="s">
        <v>180</v>
      </c>
      <c r="C29" s="81">
        <v>1223</v>
      </c>
      <c r="D29" s="81">
        <v>1438</v>
      </c>
      <c r="E29" s="81">
        <v>275</v>
      </c>
      <c r="F29" s="81">
        <v>610</v>
      </c>
      <c r="G29" s="81">
        <v>973</v>
      </c>
      <c r="H29" s="81">
        <v>1592</v>
      </c>
      <c r="I29" s="81">
        <v>2010</v>
      </c>
      <c r="J29" s="81">
        <v>2533</v>
      </c>
      <c r="K29" s="81">
        <v>3019</v>
      </c>
      <c r="L29" s="81">
        <v>3536</v>
      </c>
    </row>
    <row r="30" spans="2:15" x14ac:dyDescent="0.25">
      <c r="B30" s="84" t="s">
        <v>19</v>
      </c>
      <c r="C30" s="85">
        <f>C28-C29</f>
        <v>2581</v>
      </c>
      <c r="D30" s="85">
        <f t="shared" ref="D30:L30" si="0">D28-D29</f>
        <v>2674</v>
      </c>
      <c r="E30" s="85">
        <f t="shared" si="0"/>
        <v>3469</v>
      </c>
      <c r="F30" s="85">
        <f t="shared" si="0"/>
        <v>3304</v>
      </c>
      <c r="G30" s="85">
        <f t="shared" si="0"/>
        <v>3732</v>
      </c>
      <c r="H30" s="85">
        <f t="shared" si="0"/>
        <v>6549</v>
      </c>
      <c r="I30" s="85">
        <f t="shared" si="0"/>
        <v>6272</v>
      </c>
      <c r="J30" s="85">
        <f t="shared" si="0"/>
        <v>5859</v>
      </c>
      <c r="K30" s="85">
        <f t="shared" si="0"/>
        <v>5519</v>
      </c>
      <c r="L30" s="85">
        <f t="shared" si="0"/>
        <v>5771</v>
      </c>
    </row>
    <row r="31" spans="2:15" x14ac:dyDescent="0.25">
      <c r="B31" s="86"/>
      <c r="C31" s="87"/>
      <c r="D31" s="87"/>
      <c r="E31" s="87"/>
      <c r="F31" s="87"/>
      <c r="G31" s="87"/>
      <c r="H31" s="87"/>
      <c r="I31" s="87"/>
      <c r="J31" s="87"/>
      <c r="K31" s="87"/>
      <c r="L31" s="87"/>
    </row>
    <row r="32" spans="2:15" x14ac:dyDescent="0.25">
      <c r="B32" s="24" t="s">
        <v>181</v>
      </c>
      <c r="C32" s="80">
        <v>72</v>
      </c>
      <c r="D32" s="80">
        <v>196</v>
      </c>
      <c r="E32" s="80">
        <v>107</v>
      </c>
      <c r="F32" s="80">
        <v>258</v>
      </c>
      <c r="G32" s="80">
        <v>1405</v>
      </c>
      <c r="H32" s="80">
        <v>210</v>
      </c>
      <c r="I32" s="80">
        <v>140</v>
      </c>
      <c r="J32" s="80">
        <v>183</v>
      </c>
      <c r="K32" s="80">
        <v>426</v>
      </c>
      <c r="L32" s="80">
        <v>1020</v>
      </c>
    </row>
    <row r="33" spans="2:12" x14ac:dyDescent="0.25">
      <c r="B33" s="24" t="s">
        <v>17</v>
      </c>
      <c r="C33" s="79">
        <v>1424</v>
      </c>
      <c r="D33" s="79">
        <v>1588</v>
      </c>
      <c r="E33" s="79">
        <v>2712</v>
      </c>
      <c r="F33" s="79">
        <v>2652</v>
      </c>
      <c r="G33" s="79">
        <v>2141</v>
      </c>
      <c r="H33" s="79">
        <v>2569</v>
      </c>
      <c r="I33" s="79">
        <v>2019</v>
      </c>
      <c r="J33" s="79">
        <v>4737</v>
      </c>
      <c r="K33" s="79">
        <v>3248</v>
      </c>
      <c r="L33" s="79">
        <v>4262</v>
      </c>
    </row>
    <row r="34" spans="2:12" x14ac:dyDescent="0.25">
      <c r="B34" s="24"/>
      <c r="C34" s="81"/>
      <c r="D34" s="81"/>
      <c r="E34" s="81"/>
      <c r="F34" s="81"/>
      <c r="G34" s="81"/>
      <c r="H34" s="81"/>
      <c r="I34" s="81"/>
      <c r="J34" s="81"/>
      <c r="K34" s="81"/>
      <c r="L34" s="81"/>
    </row>
    <row r="35" spans="2:12" x14ac:dyDescent="0.25">
      <c r="B35" s="24" t="s">
        <v>182</v>
      </c>
      <c r="C35" s="88"/>
      <c r="D35" s="88"/>
      <c r="E35" s="88"/>
      <c r="F35" s="88"/>
      <c r="G35" s="88"/>
      <c r="H35" s="88"/>
      <c r="I35" s="88"/>
      <c r="J35" s="88"/>
      <c r="K35" s="88"/>
      <c r="L35" s="88"/>
    </row>
    <row r="36" spans="2:12" x14ac:dyDescent="0.25">
      <c r="B36" t="s">
        <v>183</v>
      </c>
      <c r="C36" s="80">
        <v>2070</v>
      </c>
      <c r="D36" s="80">
        <v>2259</v>
      </c>
      <c r="E36" s="80">
        <v>1998</v>
      </c>
      <c r="F36" s="80">
        <v>2627</v>
      </c>
      <c r="G36" s="80">
        <v>2658</v>
      </c>
      <c r="H36" s="80">
        <v>3150</v>
      </c>
      <c r="I36" s="80">
        <v>3390</v>
      </c>
      <c r="J36" s="80">
        <v>3799</v>
      </c>
      <c r="K36" s="80">
        <v>6153</v>
      </c>
      <c r="L36" s="80">
        <v>6211</v>
      </c>
    </row>
    <row r="37" spans="2:12" x14ac:dyDescent="0.25">
      <c r="B37" t="s">
        <v>184</v>
      </c>
      <c r="C37" s="79">
        <v>1110</v>
      </c>
      <c r="D37" s="79">
        <v>1182</v>
      </c>
      <c r="E37" s="79">
        <v>1187</v>
      </c>
      <c r="F37" s="79">
        <v>1447</v>
      </c>
      <c r="G37" s="79">
        <v>1731</v>
      </c>
      <c r="H37" s="79">
        <v>1907</v>
      </c>
      <c r="I37" s="79">
        <v>1795</v>
      </c>
      <c r="J37" s="79">
        <v>2602</v>
      </c>
      <c r="K37" s="79">
        <v>3871</v>
      </c>
      <c r="L37" s="79">
        <v>4637</v>
      </c>
    </row>
    <row r="38" spans="2:12" x14ac:dyDescent="0.25">
      <c r="B38" t="s">
        <v>185</v>
      </c>
      <c r="C38" s="79">
        <v>229</v>
      </c>
      <c r="D38" s="79">
        <v>204</v>
      </c>
      <c r="E38" s="79">
        <v>424</v>
      </c>
      <c r="F38" s="79">
        <v>801</v>
      </c>
      <c r="G38" s="79">
        <v>405</v>
      </c>
      <c r="H38" s="79">
        <v>445</v>
      </c>
      <c r="I38" s="79">
        <v>783</v>
      </c>
      <c r="J38" s="79">
        <v>611</v>
      </c>
      <c r="K38" s="79">
        <v>864</v>
      </c>
      <c r="L38" s="79">
        <v>844</v>
      </c>
    </row>
    <row r="39" spans="2:12" x14ac:dyDescent="0.25">
      <c r="B39" t="s">
        <v>186</v>
      </c>
      <c r="C39" s="79">
        <v>7</v>
      </c>
      <c r="D39" s="79">
        <v>9</v>
      </c>
      <c r="E39" s="79">
        <v>9</v>
      </c>
      <c r="F39" s="79">
        <v>14</v>
      </c>
      <c r="G39" s="79">
        <v>13</v>
      </c>
      <c r="H39" s="79">
        <v>16</v>
      </c>
      <c r="I39" s="79">
        <v>12</v>
      </c>
      <c r="J39" s="79">
        <v>11</v>
      </c>
      <c r="K39" s="79">
        <v>8</v>
      </c>
      <c r="L39" s="79">
        <v>12</v>
      </c>
    </row>
    <row r="40" spans="2:12" x14ac:dyDescent="0.25">
      <c r="B40" t="s">
        <v>187</v>
      </c>
      <c r="C40" s="81">
        <v>603</v>
      </c>
      <c r="D40" s="81">
        <v>817</v>
      </c>
      <c r="E40" s="81">
        <v>705</v>
      </c>
      <c r="F40" s="81">
        <v>1303</v>
      </c>
      <c r="G40" s="81">
        <v>1678</v>
      </c>
      <c r="H40" s="81">
        <v>1456</v>
      </c>
      <c r="I40" s="81">
        <v>1727</v>
      </c>
      <c r="J40" s="81">
        <v>2555</v>
      </c>
      <c r="K40" s="81">
        <v>2869</v>
      </c>
      <c r="L40" s="81">
        <v>3024</v>
      </c>
    </row>
    <row r="41" spans="2:12" x14ac:dyDescent="0.25">
      <c r="B41" s="24" t="s">
        <v>85</v>
      </c>
      <c r="C41" s="82">
        <v>8075</v>
      </c>
      <c r="D41" s="82">
        <v>8914</v>
      </c>
      <c r="E41" s="82">
        <v>10559</v>
      </c>
      <c r="F41" s="82">
        <v>12405</v>
      </c>
      <c r="G41" s="82">
        <v>13763</v>
      </c>
      <c r="H41" s="82">
        <v>16249</v>
      </c>
      <c r="I41" s="82">
        <v>16138</v>
      </c>
      <c r="J41" s="82">
        <v>20355</v>
      </c>
      <c r="K41" s="82">
        <v>22958</v>
      </c>
      <c r="L41" s="82">
        <v>25779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showGridLines="0" workbookViewId="0">
      <selection activeCell="L19" sqref="L19"/>
    </sheetView>
  </sheetViews>
  <sheetFormatPr defaultRowHeight="15" x14ac:dyDescent="0.25"/>
  <cols>
    <col min="1" max="1" width="1.85546875" customWidth="1"/>
    <col min="2" max="2" width="5.7109375" customWidth="1"/>
    <col min="3" max="3" width="14.7109375" bestFit="1" customWidth="1"/>
    <col min="4" max="4" width="14.140625" bestFit="1" customWidth="1"/>
    <col min="5" max="5" width="10.7109375" bestFit="1" customWidth="1"/>
  </cols>
  <sheetData>
    <row r="2" spans="2:6" x14ac:dyDescent="0.25">
      <c r="B2" s="51"/>
    </row>
    <row r="3" spans="2:6" x14ac:dyDescent="0.25">
      <c r="B3" s="51" t="s">
        <v>212</v>
      </c>
      <c r="C3" t="s">
        <v>213</v>
      </c>
      <c r="D3" t="s">
        <v>214</v>
      </c>
      <c r="E3" t="s">
        <v>215</v>
      </c>
      <c r="F3" t="s">
        <v>216</v>
      </c>
    </row>
    <row r="4" spans="2:6" x14ac:dyDescent="0.25">
      <c r="B4" s="51">
        <v>1</v>
      </c>
      <c r="C4" t="s">
        <v>217</v>
      </c>
      <c r="D4">
        <v>285634.71000000002</v>
      </c>
      <c r="E4">
        <v>2326.77</v>
      </c>
      <c r="F4">
        <v>0.14000000000000001</v>
      </c>
    </row>
    <row r="5" spans="2:6" x14ac:dyDescent="0.25">
      <c r="B5" s="51">
        <v>2</v>
      </c>
      <c r="C5" t="s">
        <v>218</v>
      </c>
      <c r="D5">
        <v>64481.08</v>
      </c>
      <c r="E5">
        <v>1154.17</v>
      </c>
      <c r="F5">
        <v>0.24</v>
      </c>
    </row>
    <row r="6" spans="2:6" x14ac:dyDescent="0.25">
      <c r="B6" s="51">
        <v>3</v>
      </c>
      <c r="C6" t="s">
        <v>219</v>
      </c>
      <c r="D6">
        <v>24655.58</v>
      </c>
      <c r="E6">
        <v>323.27</v>
      </c>
      <c r="F6">
        <v>0.06</v>
      </c>
    </row>
    <row r="7" spans="2:6" x14ac:dyDescent="0.25">
      <c r="B7" s="51">
        <v>4</v>
      </c>
      <c r="C7" t="s">
        <v>220</v>
      </c>
      <c r="D7">
        <v>11123.45</v>
      </c>
      <c r="E7">
        <v>62.8</v>
      </c>
      <c r="F7">
        <v>0.05</v>
      </c>
    </row>
    <row r="8" spans="2:6" x14ac:dyDescent="0.25">
      <c r="B8" s="51">
        <v>5</v>
      </c>
      <c r="C8" t="s">
        <v>221</v>
      </c>
      <c r="D8">
        <v>6970.29</v>
      </c>
      <c r="E8">
        <v>13.68</v>
      </c>
      <c r="F8">
        <v>0.02</v>
      </c>
    </row>
    <row r="9" spans="2:6" x14ac:dyDescent="0.25">
      <c r="B9" s="51"/>
    </row>
    <row r="10" spans="2:6" x14ac:dyDescent="0.25">
      <c r="B10" s="51"/>
    </row>
    <row r="11" spans="2:6" x14ac:dyDescent="0.25">
      <c r="B11" s="51">
        <v>6</v>
      </c>
      <c r="C11" t="s">
        <v>222</v>
      </c>
      <c r="D11">
        <v>1303.1500000000001</v>
      </c>
      <c r="E11">
        <v>140.06</v>
      </c>
      <c r="F11">
        <v>0.4</v>
      </c>
    </row>
    <row r="12" spans="2:6" x14ac:dyDescent="0.25">
      <c r="B12" s="51">
        <v>7</v>
      </c>
      <c r="C12" t="s">
        <v>223</v>
      </c>
      <c r="D12">
        <v>88.25</v>
      </c>
      <c r="E12">
        <v>8.4700000000000006</v>
      </c>
      <c r="F12">
        <v>0.63</v>
      </c>
    </row>
    <row r="13" spans="2:6" x14ac:dyDescent="0.25">
      <c r="B13" s="51">
        <v>8</v>
      </c>
      <c r="C13" t="s">
        <v>224</v>
      </c>
      <c r="D13">
        <v>84.34</v>
      </c>
      <c r="E13">
        <v>4.29</v>
      </c>
      <c r="F13">
        <v>0.34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0"/>
  <sheetViews>
    <sheetView showGridLines="0" workbookViewId="0">
      <selection activeCell="O8" sqref="O8"/>
    </sheetView>
  </sheetViews>
  <sheetFormatPr defaultRowHeight="15" x14ac:dyDescent="0.25"/>
  <cols>
    <col min="1" max="1" width="1.85546875" customWidth="1"/>
    <col min="2" max="2" width="5.7109375" bestFit="1" customWidth="1"/>
    <col min="3" max="3" width="14.7109375" bestFit="1" customWidth="1"/>
    <col min="4" max="4" width="12" bestFit="1" customWidth="1"/>
    <col min="5" max="5" width="14.140625" bestFit="1" customWidth="1"/>
    <col min="6" max="6" width="16.5703125" bestFit="1" customWidth="1"/>
    <col min="7" max="7" width="10.7109375" bestFit="1" customWidth="1"/>
    <col min="8" max="8" width="11" bestFit="1" customWidth="1"/>
    <col min="9" max="9" width="11" customWidth="1"/>
    <col min="10" max="10" width="13.140625" bestFit="1" customWidth="1"/>
    <col min="11" max="11" width="13.140625" customWidth="1"/>
    <col min="12" max="13" width="14.42578125" bestFit="1" customWidth="1"/>
    <col min="14" max="14" width="14.28515625" bestFit="1" customWidth="1"/>
  </cols>
  <sheetData>
    <row r="2" spans="2:15" x14ac:dyDescent="0.25">
      <c r="B2" t="s">
        <v>212</v>
      </c>
      <c r="C2" t="s">
        <v>213</v>
      </c>
      <c r="D2" t="s">
        <v>371</v>
      </c>
      <c r="E2" t="s">
        <v>372</v>
      </c>
      <c r="F2" t="s">
        <v>214</v>
      </c>
      <c r="G2" t="s">
        <v>215</v>
      </c>
      <c r="H2" t="s">
        <v>375</v>
      </c>
      <c r="I2" t="s">
        <v>347</v>
      </c>
      <c r="J2" t="s">
        <v>373</v>
      </c>
      <c r="K2" s="127" t="s">
        <v>378</v>
      </c>
      <c r="L2" t="s">
        <v>374</v>
      </c>
      <c r="M2" t="s">
        <v>376</v>
      </c>
      <c r="N2" t="s">
        <v>377</v>
      </c>
      <c r="O2" t="s">
        <v>64</v>
      </c>
    </row>
    <row r="3" spans="2:15" x14ac:dyDescent="0.25">
      <c r="B3">
        <v>1</v>
      </c>
      <c r="C3" t="s">
        <v>217</v>
      </c>
      <c r="D3">
        <v>3029.3</v>
      </c>
      <c r="E3">
        <v>95.92</v>
      </c>
      <c r="F3" s="22">
        <f>E3*D3</f>
        <v>290570.45600000001</v>
      </c>
      <c r="G3">
        <v>2326.77</v>
      </c>
      <c r="H3">
        <v>843.82</v>
      </c>
      <c r="I3">
        <f>G3-H3</f>
        <v>1482.9499999999998</v>
      </c>
      <c r="J3">
        <v>35084.959999999999</v>
      </c>
      <c r="K3" s="22">
        <f>F3+G3-H3</f>
        <v>292053.40600000002</v>
      </c>
      <c r="L3">
        <v>4195.33</v>
      </c>
      <c r="M3">
        <v>7145.56</v>
      </c>
      <c r="N3">
        <v>841.26</v>
      </c>
      <c r="O3">
        <f>M3+N3</f>
        <v>7986.8200000000006</v>
      </c>
    </row>
    <row r="4" spans="2:15" x14ac:dyDescent="0.25">
      <c r="B4">
        <v>2</v>
      </c>
      <c r="C4" t="s">
        <v>218</v>
      </c>
      <c r="D4">
        <v>569.15</v>
      </c>
      <c r="E4">
        <v>116.57</v>
      </c>
      <c r="F4" s="22">
        <f t="shared" ref="F4:F10" si="0">E4*D4</f>
        <v>66345.815499999997</v>
      </c>
      <c r="G4">
        <v>1154.17</v>
      </c>
      <c r="H4">
        <v>244.69</v>
      </c>
      <c r="I4">
        <f t="shared" ref="I4:I10" si="1">G4-H4</f>
        <v>909.48</v>
      </c>
      <c r="J4">
        <v>10934.03</v>
      </c>
      <c r="K4" s="22">
        <f t="shared" ref="K4:K10" si="2">F4+G4-H4</f>
        <v>67255.295499999993</v>
      </c>
      <c r="L4">
        <v>860.4</v>
      </c>
      <c r="M4">
        <v>1491.68</v>
      </c>
      <c r="N4">
        <v>299.83999999999997</v>
      </c>
      <c r="O4">
        <f t="shared" ref="O4:O10" si="3">M4+N4</f>
        <v>1791.52</v>
      </c>
    </row>
    <row r="5" spans="2:15" x14ac:dyDescent="0.25">
      <c r="B5">
        <v>3</v>
      </c>
      <c r="C5" t="s">
        <v>219</v>
      </c>
      <c r="D5">
        <v>305.8</v>
      </c>
      <c r="E5">
        <v>80.84</v>
      </c>
      <c r="F5" s="22">
        <f t="shared" si="0"/>
        <v>24720.872000000003</v>
      </c>
      <c r="G5">
        <v>323.27</v>
      </c>
      <c r="H5">
        <v>126.86</v>
      </c>
      <c r="I5">
        <f t="shared" si="1"/>
        <v>196.40999999999997</v>
      </c>
      <c r="J5">
        <v>7673.74</v>
      </c>
      <c r="K5" s="22">
        <f t="shared" si="2"/>
        <v>24917.282000000003</v>
      </c>
      <c r="L5">
        <v>468.47</v>
      </c>
      <c r="M5">
        <v>838.76</v>
      </c>
      <c r="N5">
        <v>185.88</v>
      </c>
      <c r="O5">
        <f t="shared" si="3"/>
        <v>1024.6399999999999</v>
      </c>
    </row>
    <row r="6" spans="2:15" x14ac:dyDescent="0.25">
      <c r="B6">
        <v>4</v>
      </c>
      <c r="C6" t="s">
        <v>220</v>
      </c>
      <c r="D6">
        <v>2440.25</v>
      </c>
      <c r="E6">
        <v>4.55</v>
      </c>
      <c r="F6" s="22">
        <f t="shared" si="0"/>
        <v>11103.137499999999</v>
      </c>
      <c r="G6">
        <v>62.8</v>
      </c>
      <c r="H6">
        <v>563.20000000000005</v>
      </c>
      <c r="I6">
        <f t="shared" si="1"/>
        <v>-500.40000000000003</v>
      </c>
      <c r="J6">
        <v>3893.7</v>
      </c>
      <c r="K6" s="22">
        <f t="shared" si="2"/>
        <v>10602.737499999997</v>
      </c>
      <c r="L6">
        <v>335.1</v>
      </c>
      <c r="M6">
        <v>553.1</v>
      </c>
      <c r="N6">
        <v>84</v>
      </c>
      <c r="O6">
        <f t="shared" si="3"/>
        <v>637.1</v>
      </c>
    </row>
    <row r="7" spans="2:15" x14ac:dyDescent="0.25">
      <c r="B7">
        <v>5</v>
      </c>
      <c r="C7" t="s">
        <v>221</v>
      </c>
      <c r="D7">
        <v>1421.05</v>
      </c>
      <c r="E7">
        <v>4.76</v>
      </c>
      <c r="F7" s="22">
        <f t="shared" si="0"/>
        <v>6764.1979999999994</v>
      </c>
      <c r="G7">
        <v>13.68</v>
      </c>
      <c r="H7">
        <v>48.79</v>
      </c>
      <c r="I7">
        <f t="shared" si="1"/>
        <v>-35.11</v>
      </c>
      <c r="J7">
        <v>1154.22</v>
      </c>
      <c r="K7" s="22">
        <f t="shared" si="2"/>
        <v>6729.0879999999997</v>
      </c>
      <c r="L7">
        <v>131.94</v>
      </c>
      <c r="M7">
        <v>178.67</v>
      </c>
      <c r="N7">
        <v>36.22</v>
      </c>
      <c r="O7">
        <f t="shared" si="3"/>
        <v>214.89</v>
      </c>
    </row>
    <row r="8" spans="2:15" x14ac:dyDescent="0.25">
      <c r="B8">
        <v>6</v>
      </c>
      <c r="C8" t="s">
        <v>222</v>
      </c>
      <c r="D8">
        <v>176.05</v>
      </c>
      <c r="E8">
        <v>7.22</v>
      </c>
      <c r="F8" s="22">
        <f t="shared" si="0"/>
        <v>1271.0810000000001</v>
      </c>
      <c r="G8">
        <v>140.06</v>
      </c>
      <c r="H8">
        <v>23.42</v>
      </c>
      <c r="I8">
        <f t="shared" si="1"/>
        <v>116.64</v>
      </c>
      <c r="J8">
        <v>501.23</v>
      </c>
      <c r="K8" s="22">
        <f t="shared" si="2"/>
        <v>1387.721</v>
      </c>
      <c r="L8">
        <v>-36.15</v>
      </c>
      <c r="M8">
        <v>-21.37</v>
      </c>
      <c r="N8">
        <v>12.59</v>
      </c>
      <c r="O8">
        <f t="shared" si="3"/>
        <v>-8.7800000000000011</v>
      </c>
    </row>
    <row r="9" spans="2:15" x14ac:dyDescent="0.25">
      <c r="B9">
        <v>7</v>
      </c>
      <c r="C9" t="s">
        <v>223</v>
      </c>
      <c r="D9">
        <v>146.5</v>
      </c>
      <c r="E9">
        <v>0.63</v>
      </c>
      <c r="F9" s="22">
        <f t="shared" si="0"/>
        <v>92.295000000000002</v>
      </c>
      <c r="G9">
        <v>8.4700000000000006</v>
      </c>
      <c r="H9">
        <v>0.28000000000000003</v>
      </c>
      <c r="I9">
        <f t="shared" si="1"/>
        <v>8.1900000000000013</v>
      </c>
      <c r="J9">
        <v>31</v>
      </c>
      <c r="K9" s="22">
        <f t="shared" si="2"/>
        <v>100.485</v>
      </c>
      <c r="L9">
        <v>1.1399999999999999</v>
      </c>
      <c r="M9">
        <v>2.2999999999999998</v>
      </c>
      <c r="N9">
        <v>0.38</v>
      </c>
      <c r="O9">
        <f t="shared" si="3"/>
        <v>2.6799999999999997</v>
      </c>
    </row>
    <row r="10" spans="2:15" x14ac:dyDescent="0.25">
      <c r="B10">
        <v>8</v>
      </c>
      <c r="C10" t="s">
        <v>224</v>
      </c>
      <c r="D10">
        <v>60</v>
      </c>
      <c r="E10">
        <v>1.39</v>
      </c>
      <c r="F10" s="22">
        <f t="shared" si="0"/>
        <v>83.399999999999991</v>
      </c>
      <c r="G10">
        <v>4.29</v>
      </c>
      <c r="H10">
        <v>0.36</v>
      </c>
      <c r="I10">
        <f t="shared" si="1"/>
        <v>3.93</v>
      </c>
      <c r="J10">
        <v>10.039999999999999</v>
      </c>
      <c r="K10" s="22">
        <f t="shared" si="2"/>
        <v>87.33</v>
      </c>
      <c r="L10">
        <v>0.3</v>
      </c>
      <c r="M10">
        <v>0.81</v>
      </c>
      <c r="N10">
        <v>0.31</v>
      </c>
      <c r="O10">
        <f t="shared" si="3"/>
        <v>1.1200000000000001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P5" sqref="P5"/>
    </sheetView>
  </sheetViews>
  <sheetFormatPr defaultRowHeight="15" x14ac:dyDescent="0.25"/>
  <cols>
    <col min="1" max="16384" width="9.140625" style="129"/>
  </cols>
  <sheetData>
    <row r="1" spans="1:14" x14ac:dyDescent="0.25">
      <c r="A1" s="129" t="s">
        <v>154</v>
      </c>
      <c r="B1" s="129" t="s">
        <v>315</v>
      </c>
      <c r="C1" s="129" t="s">
        <v>314</v>
      </c>
      <c r="D1" s="129" t="s">
        <v>313</v>
      </c>
      <c r="E1" s="129" t="s">
        <v>312</v>
      </c>
      <c r="F1" s="129" t="s">
        <v>311</v>
      </c>
      <c r="G1" s="129" t="s">
        <v>310</v>
      </c>
      <c r="H1" s="129" t="s">
        <v>309</v>
      </c>
      <c r="I1" s="129" t="s">
        <v>308</v>
      </c>
      <c r="J1" s="129" t="s">
        <v>307</v>
      </c>
      <c r="K1" s="129" t="s">
        <v>306</v>
      </c>
      <c r="L1" s="129" t="s">
        <v>305</v>
      </c>
      <c r="M1" s="129" t="s">
        <v>304</v>
      </c>
      <c r="N1" s="129" t="s">
        <v>303</v>
      </c>
    </row>
    <row r="2" spans="1:14" x14ac:dyDescent="0.25">
      <c r="A2" s="129">
        <v>2000</v>
      </c>
      <c r="B2" s="129">
        <v>4.4400000000000004</v>
      </c>
      <c r="C2" s="129">
        <v>7.02</v>
      </c>
      <c r="D2" s="129">
        <v>-7.64</v>
      </c>
      <c r="E2" s="129">
        <v>-7.98</v>
      </c>
      <c r="F2" s="129">
        <v>-1.86</v>
      </c>
      <c r="G2" s="129">
        <v>6.59</v>
      </c>
      <c r="H2" s="129">
        <v>-9.42</v>
      </c>
      <c r="I2" s="129">
        <v>4.5999999999999996</v>
      </c>
      <c r="J2" s="129">
        <v>-8.7799999999999994</v>
      </c>
      <c r="K2" s="129">
        <v>-7.78</v>
      </c>
      <c r="L2" s="129">
        <v>8.1300000000000008</v>
      </c>
      <c r="M2" s="129">
        <v>-0.36</v>
      </c>
      <c r="N2" s="129">
        <v>-14.65</v>
      </c>
    </row>
    <row r="3" spans="1:14" x14ac:dyDescent="0.25">
      <c r="A3" s="129">
        <v>2001</v>
      </c>
      <c r="B3" s="129">
        <v>8.56</v>
      </c>
      <c r="C3" s="129">
        <v>-1.48</v>
      </c>
      <c r="D3" s="129">
        <v>-15.04</v>
      </c>
      <c r="E3" s="129">
        <v>-2</v>
      </c>
      <c r="F3" s="129">
        <v>3.79</v>
      </c>
      <c r="G3" s="129">
        <v>-5.14</v>
      </c>
      <c r="H3" s="129">
        <v>-3.16</v>
      </c>
      <c r="I3" s="129">
        <v>-1.78</v>
      </c>
      <c r="J3" s="129">
        <v>-13.28</v>
      </c>
      <c r="K3" s="129">
        <v>6.35</v>
      </c>
      <c r="L3" s="129">
        <v>9.8000000000000007</v>
      </c>
      <c r="M3" s="129">
        <v>-0.76</v>
      </c>
      <c r="N3" s="129">
        <v>-16.18</v>
      </c>
    </row>
    <row r="4" spans="1:14" x14ac:dyDescent="0.25">
      <c r="A4" s="129">
        <v>2002</v>
      </c>
      <c r="B4" s="129">
        <v>1.54</v>
      </c>
      <c r="C4" s="129">
        <v>6.2</v>
      </c>
      <c r="D4" s="129">
        <v>-1.0900000000000001</v>
      </c>
      <c r="E4" s="129">
        <v>-3.99</v>
      </c>
      <c r="F4" s="129">
        <v>-5.14</v>
      </c>
      <c r="G4" s="129">
        <v>2.82</v>
      </c>
      <c r="H4" s="129">
        <v>-9.35</v>
      </c>
      <c r="I4" s="129">
        <v>5.39</v>
      </c>
      <c r="J4" s="129">
        <v>-4.7</v>
      </c>
      <c r="K4" s="129">
        <v>-1.22</v>
      </c>
      <c r="L4" s="129">
        <v>10.38</v>
      </c>
      <c r="M4" s="129">
        <v>4.13</v>
      </c>
      <c r="N4" s="129">
        <v>3.25</v>
      </c>
    </row>
    <row r="5" spans="1:14" x14ac:dyDescent="0.25">
      <c r="A5" s="129">
        <v>2003</v>
      </c>
      <c r="B5" s="129">
        <v>-4.72</v>
      </c>
      <c r="C5" s="129">
        <v>2.0699999999999998</v>
      </c>
      <c r="D5" s="129">
        <v>-8.01</v>
      </c>
      <c r="E5" s="129">
        <v>-4.51</v>
      </c>
      <c r="F5" s="129">
        <v>7.79</v>
      </c>
      <c r="G5" s="129">
        <v>12.65</v>
      </c>
      <c r="H5" s="129">
        <v>4.5599999999999996</v>
      </c>
      <c r="I5" s="129">
        <v>14.39</v>
      </c>
      <c r="J5" s="129">
        <v>4.46</v>
      </c>
      <c r="K5" s="129">
        <v>9.7899999999999991</v>
      </c>
      <c r="L5" s="129">
        <v>3.81</v>
      </c>
      <c r="M5" s="129">
        <v>16.38</v>
      </c>
      <c r="N5" s="129">
        <v>71.900000000000006</v>
      </c>
    </row>
    <row r="6" spans="1:14" x14ac:dyDescent="0.25">
      <c r="A6" s="129">
        <v>2004</v>
      </c>
      <c r="B6" s="129">
        <v>-3.72</v>
      </c>
      <c r="C6" s="129">
        <v>-0.52</v>
      </c>
      <c r="D6" s="129">
        <v>-1.58</v>
      </c>
      <c r="E6" s="129">
        <v>1.37</v>
      </c>
      <c r="F6" s="129">
        <v>-17.399999999999999</v>
      </c>
      <c r="G6" s="129">
        <v>1.48</v>
      </c>
      <c r="H6" s="129">
        <v>8.42</v>
      </c>
      <c r="I6" s="129">
        <v>-0.03</v>
      </c>
      <c r="J6" s="129">
        <v>6.97</v>
      </c>
      <c r="K6" s="129">
        <v>2.37</v>
      </c>
      <c r="L6" s="129">
        <v>9.6199999999999992</v>
      </c>
      <c r="M6" s="129">
        <v>6.21</v>
      </c>
      <c r="N6" s="129">
        <v>10.68</v>
      </c>
    </row>
    <row r="7" spans="1:14" x14ac:dyDescent="0.25">
      <c r="A7" s="129">
        <v>2005</v>
      </c>
      <c r="B7" s="129">
        <v>-1.1000000000000001</v>
      </c>
      <c r="C7" s="129">
        <v>2.2200000000000002</v>
      </c>
      <c r="D7" s="129">
        <v>-3.21</v>
      </c>
      <c r="E7" s="129">
        <v>-6.54</v>
      </c>
      <c r="F7" s="129">
        <v>9.73</v>
      </c>
      <c r="G7" s="129">
        <v>6.37</v>
      </c>
      <c r="H7" s="129">
        <v>4.13</v>
      </c>
      <c r="I7" s="129">
        <v>3.13</v>
      </c>
      <c r="J7" s="129">
        <v>9.09</v>
      </c>
      <c r="K7" s="129">
        <v>-8.86</v>
      </c>
      <c r="L7" s="129">
        <v>11.86</v>
      </c>
      <c r="M7" s="129">
        <v>6.95</v>
      </c>
      <c r="N7" s="129">
        <v>36.340000000000003</v>
      </c>
    </row>
    <row r="8" spans="1:14" x14ac:dyDescent="0.25">
      <c r="A8" s="129">
        <v>2006</v>
      </c>
      <c r="B8" s="129">
        <v>5.8</v>
      </c>
      <c r="C8" s="129">
        <v>2.4500000000000002</v>
      </c>
      <c r="D8" s="129">
        <v>10.66</v>
      </c>
      <c r="E8" s="129">
        <v>4.5599999999999996</v>
      </c>
      <c r="F8" s="129">
        <v>-13.68</v>
      </c>
      <c r="G8" s="129">
        <v>1.86</v>
      </c>
      <c r="H8" s="129">
        <v>0.48</v>
      </c>
      <c r="I8" s="129">
        <v>8.61</v>
      </c>
      <c r="J8" s="129">
        <v>5.1100000000000003</v>
      </c>
      <c r="K8" s="129">
        <v>4.34</v>
      </c>
      <c r="L8" s="129">
        <v>5.62</v>
      </c>
      <c r="M8" s="129">
        <v>0.3</v>
      </c>
      <c r="N8" s="129">
        <v>39.83</v>
      </c>
    </row>
    <row r="9" spans="1:14" x14ac:dyDescent="0.25">
      <c r="A9" s="129">
        <v>2007</v>
      </c>
      <c r="B9" s="129">
        <v>2.93</v>
      </c>
      <c r="C9" s="129">
        <v>-8.26</v>
      </c>
      <c r="D9" s="129">
        <v>2.04</v>
      </c>
      <c r="E9" s="129">
        <v>6.97</v>
      </c>
      <c r="F9" s="129">
        <v>5.09</v>
      </c>
      <c r="G9" s="129">
        <v>0.52</v>
      </c>
      <c r="H9" s="129">
        <v>4.88</v>
      </c>
      <c r="I9" s="129">
        <v>-1.43</v>
      </c>
      <c r="J9" s="129">
        <v>12.49</v>
      </c>
      <c r="K9" s="129">
        <v>17.510000000000002</v>
      </c>
      <c r="L9" s="129">
        <v>-2.34</v>
      </c>
      <c r="M9" s="129">
        <v>6.52</v>
      </c>
      <c r="N9" s="129">
        <v>54.77</v>
      </c>
    </row>
    <row r="10" spans="1:14" x14ac:dyDescent="0.25">
      <c r="A10" s="129">
        <v>2008</v>
      </c>
      <c r="B10" s="129">
        <v>-16.309999999999999</v>
      </c>
      <c r="C10" s="129">
        <v>1.67</v>
      </c>
      <c r="D10" s="129">
        <v>-9.36</v>
      </c>
      <c r="E10" s="129">
        <v>9.11</v>
      </c>
      <c r="F10" s="129">
        <v>-5.73</v>
      </c>
      <c r="G10" s="129">
        <v>-17.03</v>
      </c>
      <c r="H10" s="129">
        <v>7.24</v>
      </c>
      <c r="I10" s="129">
        <v>0.62</v>
      </c>
      <c r="J10" s="129">
        <v>-10.06</v>
      </c>
      <c r="K10" s="129">
        <v>-26.41</v>
      </c>
      <c r="L10" s="129">
        <v>-4.5199999999999996</v>
      </c>
      <c r="M10" s="129">
        <v>7.41</v>
      </c>
      <c r="N10" s="129">
        <v>-51.79</v>
      </c>
    </row>
    <row r="11" spans="1:14" x14ac:dyDescent="0.25">
      <c r="A11" s="129">
        <v>2009</v>
      </c>
      <c r="B11" s="129">
        <v>-2.85</v>
      </c>
      <c r="C11" s="129">
        <v>-3.87</v>
      </c>
      <c r="D11" s="129">
        <v>9.31</v>
      </c>
      <c r="E11" s="129">
        <v>15</v>
      </c>
      <c r="F11" s="129">
        <v>28.07</v>
      </c>
      <c r="G11" s="129">
        <v>-3.55</v>
      </c>
      <c r="H11" s="129">
        <v>8.0500000000000007</v>
      </c>
      <c r="I11" s="129">
        <v>0.55000000000000004</v>
      </c>
      <c r="J11" s="129">
        <v>9.0500000000000007</v>
      </c>
      <c r="K11" s="129">
        <v>-7.32</v>
      </c>
      <c r="L11" s="129">
        <v>6.81</v>
      </c>
      <c r="M11" s="129">
        <v>3.35</v>
      </c>
      <c r="N11" s="129">
        <v>75.760000000000005</v>
      </c>
    </row>
    <row r="12" spans="1:14" x14ac:dyDescent="0.25">
      <c r="A12" s="129">
        <v>2010</v>
      </c>
      <c r="B12" s="129">
        <v>-6.13</v>
      </c>
      <c r="C12" s="129">
        <v>0.82</v>
      </c>
      <c r="D12" s="129">
        <v>6.64</v>
      </c>
      <c r="E12" s="129">
        <v>0.55000000000000004</v>
      </c>
      <c r="F12" s="129">
        <v>-3.63</v>
      </c>
      <c r="G12" s="129">
        <v>4.45</v>
      </c>
      <c r="H12" s="129">
        <v>1.04</v>
      </c>
      <c r="I12" s="129">
        <v>0.65</v>
      </c>
      <c r="J12" s="129">
        <v>11.62</v>
      </c>
      <c r="K12" s="129">
        <v>-0.2</v>
      </c>
      <c r="L12" s="129">
        <v>-2.58</v>
      </c>
      <c r="M12" s="129">
        <v>4.6399999999999997</v>
      </c>
      <c r="N12" s="129">
        <v>17.95</v>
      </c>
    </row>
    <row r="13" spans="1:14" x14ac:dyDescent="0.25">
      <c r="A13" s="129">
        <v>2011</v>
      </c>
      <c r="B13" s="129">
        <v>-10.25</v>
      </c>
      <c r="C13" s="129">
        <v>-3.14</v>
      </c>
      <c r="D13" s="129">
        <v>9.3800000000000008</v>
      </c>
      <c r="E13" s="129">
        <v>-1.44</v>
      </c>
      <c r="F13" s="129">
        <v>-3.29</v>
      </c>
      <c r="G13" s="129">
        <v>1.57</v>
      </c>
      <c r="H13" s="129">
        <v>-2.93</v>
      </c>
      <c r="I13" s="129">
        <v>-8.77</v>
      </c>
      <c r="J13" s="129">
        <v>-1.1499999999999999</v>
      </c>
      <c r="K13" s="129">
        <v>7.76</v>
      </c>
      <c r="L13" s="129">
        <v>-9.2799999999999994</v>
      </c>
      <c r="M13" s="129">
        <v>-4.3</v>
      </c>
      <c r="N13" s="129">
        <v>-24.62</v>
      </c>
    </row>
    <row r="14" spans="1:14" x14ac:dyDescent="0.25">
      <c r="A14" s="129">
        <v>2012</v>
      </c>
      <c r="B14" s="129">
        <v>12.43</v>
      </c>
      <c r="C14" s="129">
        <v>3.58</v>
      </c>
      <c r="D14" s="129">
        <v>-1.66</v>
      </c>
      <c r="E14" s="129">
        <v>-0.9</v>
      </c>
      <c r="F14" s="129">
        <v>-6.17</v>
      </c>
      <c r="G14" s="129">
        <v>7.2</v>
      </c>
      <c r="H14" s="129">
        <v>-0.95</v>
      </c>
      <c r="I14" s="129">
        <v>0.56000000000000005</v>
      </c>
      <c r="J14" s="129">
        <v>8.4600000000000009</v>
      </c>
      <c r="K14" s="129">
        <v>-1.47</v>
      </c>
      <c r="L14" s="129">
        <v>4.63</v>
      </c>
      <c r="M14" s="129">
        <v>0.43</v>
      </c>
      <c r="N14" s="129">
        <v>27.7</v>
      </c>
    </row>
    <row r="15" spans="1:14" x14ac:dyDescent="0.25">
      <c r="A15" s="129">
        <v>2013</v>
      </c>
      <c r="B15" s="129">
        <v>2.2000000000000002</v>
      </c>
      <c r="C15" s="129">
        <v>-5.66</v>
      </c>
      <c r="D15" s="129">
        <v>-0.18</v>
      </c>
      <c r="E15" s="129">
        <v>4.3600000000000003</v>
      </c>
      <c r="F15" s="129">
        <v>0.94</v>
      </c>
      <c r="G15" s="129">
        <v>-2.4</v>
      </c>
      <c r="H15" s="129">
        <v>-1.72</v>
      </c>
      <c r="I15" s="129">
        <v>-4.71</v>
      </c>
      <c r="J15" s="129">
        <v>4.82</v>
      </c>
      <c r="K15" s="129">
        <v>9.83</v>
      </c>
      <c r="L15" s="129">
        <v>-1.95</v>
      </c>
      <c r="M15" s="129">
        <v>2.0699999999999998</v>
      </c>
      <c r="N15" s="129">
        <v>6.76</v>
      </c>
    </row>
    <row r="16" spans="1:14" x14ac:dyDescent="0.25">
      <c r="A16" s="129">
        <v>2014</v>
      </c>
      <c r="B16" s="129">
        <v>-3.4</v>
      </c>
      <c r="C16" s="129">
        <v>3.08</v>
      </c>
      <c r="D16" s="129">
        <v>6.81</v>
      </c>
      <c r="E16" s="129">
        <v>-0.12</v>
      </c>
      <c r="F16" s="129">
        <v>7.97</v>
      </c>
      <c r="G16" s="129">
        <v>5.28</v>
      </c>
      <c r="H16" s="129">
        <v>1.44</v>
      </c>
      <c r="I16" s="129">
        <v>3.02</v>
      </c>
      <c r="J16" s="129">
        <v>0.13</v>
      </c>
      <c r="K16" s="129">
        <v>4.49</v>
      </c>
      <c r="L16" s="129">
        <v>3.2</v>
      </c>
      <c r="M16" s="129">
        <v>-3.56</v>
      </c>
      <c r="N16" s="129">
        <v>31.39</v>
      </c>
    </row>
    <row r="17" spans="1:14" x14ac:dyDescent="0.25">
      <c r="A17" s="129">
        <v>2015</v>
      </c>
      <c r="B17" s="129">
        <v>6.35</v>
      </c>
      <c r="C17" s="129">
        <v>1.06</v>
      </c>
      <c r="D17" s="129">
        <v>-4.62</v>
      </c>
      <c r="E17" s="129">
        <v>-3.65</v>
      </c>
      <c r="F17" s="129">
        <v>3.08</v>
      </c>
      <c r="G17" s="129">
        <v>-0.77</v>
      </c>
      <c r="H17" s="129">
        <v>1.96</v>
      </c>
      <c r="I17" s="129">
        <v>-6.58</v>
      </c>
      <c r="J17" s="129">
        <v>-0.28000000000000003</v>
      </c>
      <c r="K17" s="129">
        <v>1.47</v>
      </c>
      <c r="L17" s="129">
        <v>-1.62</v>
      </c>
      <c r="M17" s="129">
        <v>0.14000000000000001</v>
      </c>
      <c r="N17" s="129">
        <v>-4.0599999999999996</v>
      </c>
    </row>
    <row r="18" spans="1:14" x14ac:dyDescent="0.25">
      <c r="A18" s="129">
        <v>2016</v>
      </c>
      <c r="B18" s="129">
        <v>-4.82</v>
      </c>
      <c r="C18" s="129">
        <v>-7.62</v>
      </c>
      <c r="D18" s="129">
        <v>10.75</v>
      </c>
      <c r="E18" s="129">
        <v>1.44</v>
      </c>
      <c r="F18" s="129">
        <v>3.95</v>
      </c>
      <c r="G18" s="129">
        <v>1.56</v>
      </c>
      <c r="H18" s="129">
        <v>4.2300000000000004</v>
      </c>
      <c r="I18" s="129">
        <v>1.71</v>
      </c>
      <c r="J18" s="129">
        <v>-1.99</v>
      </c>
      <c r="K18" s="129">
        <v>0.17</v>
      </c>
      <c r="L18" s="129">
        <v>-4.6500000000000004</v>
      </c>
      <c r="M18" s="129">
        <v>-0.47</v>
      </c>
      <c r="N18" s="129">
        <v>3.01</v>
      </c>
    </row>
    <row r="19" spans="1:14" x14ac:dyDescent="0.25">
      <c r="A19" s="129">
        <v>2017</v>
      </c>
      <c r="B19" s="129">
        <v>4.59</v>
      </c>
      <c r="C19" s="129">
        <v>3.72</v>
      </c>
      <c r="D19" s="129">
        <v>3.31</v>
      </c>
      <c r="E19" s="129">
        <v>1.42</v>
      </c>
      <c r="F19" s="129">
        <v>3.41</v>
      </c>
      <c r="G19" s="129">
        <v>-1.04</v>
      </c>
      <c r="H19" s="129">
        <v>5.84</v>
      </c>
      <c r="I19" s="129">
        <v>-1.58</v>
      </c>
      <c r="J19" s="129">
        <v>-1.3</v>
      </c>
      <c r="K19" s="129">
        <v>5.59</v>
      </c>
      <c r="L19" s="129">
        <v>-1.05</v>
      </c>
      <c r="M19" s="129">
        <v>2.97</v>
      </c>
      <c r="N19" s="129">
        <v>28.65</v>
      </c>
    </row>
    <row r="20" spans="1:14" x14ac:dyDescent="0.25">
      <c r="A20" s="129">
        <v>2018</v>
      </c>
      <c r="B20" s="129">
        <v>4.72</v>
      </c>
      <c r="C20" s="129">
        <v>-4.8499999999999996</v>
      </c>
      <c r="D20" s="129">
        <v>-3.61</v>
      </c>
      <c r="E20" s="129">
        <v>6.19</v>
      </c>
      <c r="F20" s="129">
        <v>-0.03</v>
      </c>
      <c r="G20" s="129">
        <v>-0.2</v>
      </c>
      <c r="H20" s="129">
        <v>5.99</v>
      </c>
      <c r="I20" s="129">
        <v>2.85</v>
      </c>
      <c r="J20" s="129">
        <v>-6.42</v>
      </c>
      <c r="K20" s="129">
        <v>-4.9800000000000004</v>
      </c>
      <c r="L20" s="129">
        <v>4.72</v>
      </c>
      <c r="M20" s="129">
        <v>-0.13</v>
      </c>
      <c r="N20" s="129">
        <v>3.15</v>
      </c>
    </row>
    <row r="21" spans="1:14" x14ac:dyDescent="0.25">
      <c r="A21" s="129">
        <v>2019</v>
      </c>
      <c r="B21" s="129">
        <v>-0.28999999999999998</v>
      </c>
      <c r="C21" s="129">
        <v>-0.36</v>
      </c>
      <c r="D21" s="129">
        <v>7.7</v>
      </c>
      <c r="E21" s="129">
        <v>1.07</v>
      </c>
      <c r="F21" s="129">
        <v>1.49</v>
      </c>
      <c r="G21" s="129">
        <v>-1.1200000000000001</v>
      </c>
      <c r="H21" s="129">
        <v>-5.69</v>
      </c>
      <c r="I21" s="129">
        <v>-0.85</v>
      </c>
      <c r="J21" s="129">
        <v>4.09</v>
      </c>
      <c r="K21" s="129">
        <v>3.51</v>
      </c>
      <c r="L21" s="129">
        <v>1.5</v>
      </c>
      <c r="M21" s="129">
        <v>0.93</v>
      </c>
      <c r="N21" s="129">
        <v>12.02</v>
      </c>
    </row>
    <row r="22" spans="1:14" x14ac:dyDescent="0.25">
      <c r="A22" s="129">
        <v>2020</v>
      </c>
      <c r="B22" s="129">
        <v>-1.7</v>
      </c>
      <c r="C22" s="129">
        <v>-6.36</v>
      </c>
      <c r="D22" s="129">
        <v>-23.25</v>
      </c>
      <c r="E22" s="129">
        <v>14.68</v>
      </c>
      <c r="F22" s="129">
        <v>-2.84</v>
      </c>
      <c r="G22" s="129">
        <v>7.53</v>
      </c>
      <c r="H22" s="129">
        <v>7.49</v>
      </c>
      <c r="I22" s="129">
        <v>2.84</v>
      </c>
      <c r="J22" s="129">
        <v>-1.23</v>
      </c>
      <c r="K22" s="129">
        <v>3.51</v>
      </c>
      <c r="L22" s="129">
        <v>11.39</v>
      </c>
      <c r="M22" s="129">
        <v>7.81</v>
      </c>
      <c r="N22" s="129">
        <v>14.9</v>
      </c>
    </row>
    <row r="23" spans="1:14" x14ac:dyDescent="0.25">
      <c r="A23" s="129">
        <v>2021</v>
      </c>
      <c r="B23" s="129">
        <v>-2.48</v>
      </c>
      <c r="C23" s="129">
        <v>6.56</v>
      </c>
      <c r="D23" s="129">
        <v>1.1100000000000001</v>
      </c>
      <c r="E23" s="129">
        <v>-0.41</v>
      </c>
      <c r="F23" s="129">
        <v>6.5</v>
      </c>
      <c r="G23" s="129">
        <v>0.89</v>
      </c>
      <c r="H23" s="129">
        <v>0.26</v>
      </c>
      <c r="I23" s="129">
        <v>8.69</v>
      </c>
      <c r="J23" s="129">
        <v>2.77</v>
      </c>
      <c r="K23" s="129">
        <v>0.37</v>
      </c>
      <c r="L23" s="129">
        <v>-3.89</v>
      </c>
      <c r="M23" s="129">
        <v>2.1800000000000002</v>
      </c>
      <c r="N23" s="129">
        <v>24.12</v>
      </c>
    </row>
    <row r="24" spans="1:14" x14ac:dyDescent="0.25">
      <c r="A24" s="129">
        <v>2022</v>
      </c>
      <c r="B24" s="129">
        <v>-0.09</v>
      </c>
      <c r="C24" s="129">
        <v>-3.46</v>
      </c>
      <c r="D24" s="129">
        <v>4.33</v>
      </c>
      <c r="E24" s="129">
        <v>-2.0699999999999998</v>
      </c>
      <c r="F24" s="129">
        <v>-3.03</v>
      </c>
      <c r="G24" s="129">
        <v>-4.8499999999999996</v>
      </c>
      <c r="H24" s="129">
        <v>8.73</v>
      </c>
      <c r="I24" s="129">
        <v>3.5</v>
      </c>
      <c r="J24" s="129">
        <v>-3.75</v>
      </c>
      <c r="K24" s="129">
        <v>5.37</v>
      </c>
      <c r="L24" s="129">
        <v>4.1399999999999997</v>
      </c>
      <c r="M24" s="129">
        <v>-3.48</v>
      </c>
      <c r="N24" s="129">
        <v>4.32</v>
      </c>
    </row>
    <row r="25" spans="1:14" x14ac:dyDescent="0.25">
      <c r="A25" s="129">
        <v>2023</v>
      </c>
      <c r="B25" s="129">
        <v>-2.4500000000000002</v>
      </c>
      <c r="C25" s="129">
        <v>-2.0299999999999998</v>
      </c>
      <c r="D25" s="129">
        <v>0.32</v>
      </c>
      <c r="E25" s="129">
        <v>4.0599999999999996</v>
      </c>
      <c r="F25" s="129">
        <v>2.6</v>
      </c>
      <c r="G25" s="129">
        <v>3.53</v>
      </c>
      <c r="H25" s="129">
        <v>2.94</v>
      </c>
      <c r="I25" s="129">
        <v>-2.5299999999999998</v>
      </c>
      <c r="J25" s="129">
        <v>2</v>
      </c>
      <c r="K25" s="129">
        <v>-2.84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Financial Statement&gt;</vt:lpstr>
      <vt:lpstr>HistoricalFS</vt:lpstr>
      <vt:lpstr>Common Size Statement</vt:lpstr>
      <vt:lpstr>Ratio Analysis</vt:lpstr>
      <vt:lpstr>Forecasting</vt:lpstr>
      <vt:lpstr>Intrinsic Growth</vt:lpstr>
      <vt:lpstr>DCF&gt;</vt:lpstr>
      <vt:lpstr>WACC</vt:lpstr>
      <vt:lpstr>Beta Regression</vt:lpstr>
      <vt:lpstr>Rm</vt:lpstr>
      <vt:lpstr>Comps Valuation </vt:lpstr>
      <vt:lpstr>Data Room&gt;</vt:lpstr>
      <vt:lpstr>Data Sheet</vt:lpstr>
      <vt:lpstr>Cash Flow Data</vt:lpstr>
      <vt:lpstr>Raw FS</vt:lpstr>
      <vt:lpstr>Comps</vt:lpstr>
      <vt:lpstr>Comps Data</vt:lpstr>
      <vt:lpstr>Nifty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cp:lastPrinted>2023-11-05T22:08:53Z</cp:lastPrinted>
  <dcterms:created xsi:type="dcterms:W3CDTF">2023-10-24T10:14:03Z</dcterms:created>
  <dcterms:modified xsi:type="dcterms:W3CDTF">2023-11-13T11:29:16Z</dcterms:modified>
</cp:coreProperties>
</file>